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Т-ТН'!$184:$187</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Т-ТН'!$188:$191</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тарифов'!$94:$118</definedName>
    <definedName name="BLOCK_PT_HEAT">'Перечень тарифов'!$13:$92</definedName>
    <definedName name="BLOCK_PT_HOTVSNA">'Перечень тарифов'!$120:$134</definedName>
    <definedName name="BLOCK_PT_VOTV">'Перечень тарифов'!$136:$150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территорий'!$E$27:$I$27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тарифов'!$Z$12:$Z$152</definedName>
    <definedName name="DIFFERENTIATION_TARIFF_VD_ID">'Перечень тарифов'!$AB$12:$AB$152</definedName>
    <definedName name="DIFFERENTIATION_TARIFF_VTAR_ID">'Перечень тарифов'!$AA$12:$AA$152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Предложение!$50:$52</definedName>
    <definedName name="OFFER_TARIFF_A_COLDVSNA_2">Предложение!$112:$114</definedName>
    <definedName name="OFFER_TARIFF_A_COLDVSNA_3">Предложение!$172:$174</definedName>
    <definedName name="OFFER_TARIFF_A_COLDVSNA_4">Предложение!$232:$234</definedName>
    <definedName name="OFFER_TARIFF_A_COLDVSNA_5">Предложение!$292:$294</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Предложение!$247:$249</definedName>
    <definedName name="OFFER_TARIFF_A_HOTVSNA_5">Предложение!$307:$309</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Предложение!$256:$258</definedName>
    <definedName name="OFFER_TARIFF_A_VOTV_5">Предложение!$316:$318</definedName>
    <definedName name="OFFER_TARIFF_B_1">Предложение!$27:$29</definedName>
    <definedName name="OFFER_TARIFF_B_2">Предложение!$89:$91</definedName>
    <definedName name="OFFER_TARIFF_B_3">Предложение!$149:$151</definedName>
    <definedName name="OFFER_TARIFF_B_4">Предложение!$209:$211</definedName>
    <definedName name="OFFER_TARIFF_B_5">Предложение!$269:$271</definedName>
    <definedName name="OFFER_TARIFF_B_COLDVSNA_1">Предложение!$53:$55</definedName>
    <definedName name="OFFER_TARIFF_B_COLDVSNA_2">Предложение!$115:$117</definedName>
    <definedName name="OFFER_TARIFF_B_COLDVSNA_3">Предложение!$175:$177</definedName>
    <definedName name="OFFER_TARIFF_B_COLDVSNA_4">Предложение!$235:$237</definedName>
    <definedName name="OFFER_TARIFF_B_COLDVSNA_5">Предложение!$295:$297</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Предложение!$250:$252</definedName>
    <definedName name="OFFER_TARIFF_B_HOTVSNA_5">Предложение!$310:$312</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Предложение!$30:$34</definedName>
    <definedName name="OFFER_TARIFF_C_2">Предложение!$92:$96</definedName>
    <definedName name="OFFER_TARIFF_C_3">Предложение!$152:$156</definedName>
    <definedName name="OFFER_TARIFF_C_4">Предложение!$212:$216</definedName>
    <definedName name="OFFER_TARIFF_C_5">Предложение!$272:$276</definedName>
    <definedName name="OFFER_TARIFF_C_COLDVSNA_1">Предложение!$56:$58</definedName>
    <definedName name="OFFER_TARIFF_C_COLDVSNA_2">Предложение!$118:$120</definedName>
    <definedName name="OFFER_TARIFF_C_COLDVSNA_3">Предложение!$178:$180</definedName>
    <definedName name="OFFER_TARIFF_C_COLDVSNA_4">Предложение!$238:$240</definedName>
    <definedName name="OFFER_TARIFF_C_COLDVSNA_5">Предложение!$298:$300</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Предложение!$253:$255</definedName>
    <definedName name="OFFER_TARIFF_C_HOTVSNA_5">Предложение!$313:$315</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Предложение!$35:$37</definedName>
    <definedName name="OFFER_TARIFF_D_2">Предложение!$97:$99</definedName>
    <definedName name="OFFER_TARIFF_D_3">Предложение!$157:$159</definedName>
    <definedName name="OFFER_TARIFF_D_4">Предложение!$217:$219</definedName>
    <definedName name="OFFER_TARIFF_D_5">Предложение!$277:$279</definedName>
    <definedName name="OFFER_TARIFF_D_COLDVSNA_1">Предложение!$59:$61</definedName>
    <definedName name="OFFER_TARIFF_D_COLDVSNA_2">Предложение!$121:$123</definedName>
    <definedName name="OFFER_TARIFF_D_COLDVSNA_3">Предложение!$181:$183</definedName>
    <definedName name="OFFER_TARIFF_D_COLDVSNA_4">Предложение!$241:$243</definedName>
    <definedName name="OFFER_TARIFF_D_COLDVSNA_5">Предложение!$301:$303</definedName>
    <definedName name="OFFER_TARIFF_E_COLDVSNA_1">Предложение!$62:$64</definedName>
    <definedName name="OFFER_TARIFF_E_COLDVSNA_2">Предложение!$124:$126</definedName>
    <definedName name="OFFER_TARIFF_E_COLDVSNA_3">Предложение!$184:$186</definedName>
    <definedName name="OFFER_TARIFF_E_COLDVSNA_4">Предложение!$244:$246</definedName>
    <definedName name="OFFER_TARIFF_E_COLDVSNA_5">Предложение!$304:$306</definedName>
    <definedName name="OFFER_TARIFF_E1_1">Предложение!$38:$40</definedName>
    <definedName name="OFFER_TARIFF_E1_2">Предложение!$100:$102</definedName>
    <definedName name="OFFER_TARIFF_E1_3">Предложение!$160:$162</definedName>
    <definedName name="OFFER_TARIFF_E1_4">Предложение!$220:$222</definedName>
    <definedName name="OFFER_TARIFF_E1_5">Предложение!$280:$282</definedName>
    <definedName name="OFFER_TARIFF_E2_1">Предложение!$41:$43</definedName>
    <definedName name="OFFER_TARIFF_E2_2">Предложение!$103:$105</definedName>
    <definedName name="OFFER_TARIFF_E2_3">Предложение!$163:$165</definedName>
    <definedName name="OFFER_TARIFF_E2_4">Предложение!$223:$225</definedName>
    <definedName name="OFFER_TARIFF_E2_5">Предложение!$283:$285</definedName>
    <definedName name="OFFER_TARIFF_F_1">Предложение!$44:$46</definedName>
    <definedName name="OFFER_TARIFF_F_2">Предложение!$106:$108</definedName>
    <definedName name="OFFER_TARIFF_F_3">Предложение!$166:$168</definedName>
    <definedName name="OFFER_TARIFF_F_4">Предложение!$226:$228</definedName>
    <definedName name="OFFER_TARIFF_F_5">Предложение!$286:$288</definedName>
    <definedName name="OFFER_TARIFF_G_1">Предложение!$47:$49</definedName>
    <definedName name="OFFER_TARIFF_G_2">Предложение!$109:$111</definedName>
    <definedName name="OFFER_TARIFF_G_3">Предложение!$169:$171</definedName>
    <definedName name="OFFER_TARIFF_G_4">Предложение!$229:$231</definedName>
    <definedName name="OFFER_TARIFF_G_5">Предложение!$289:$291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территорий'!$C$12:$C$27</definedName>
    <definedName name="pDel_LT_MO">'Список территорий'!$D$11:$D$27</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ТП'!$C$26:$C$51</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ТП'!$A$21:$A$51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территорий'!$G$27</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ТП'!$E$36</definedName>
    <definedName name="pIns_P_PROCEDURE_TC_2">'Порядок ТП'!$E$40</definedName>
    <definedName name="pIns_P_PROCEDURE_TC_3">'Порядок ТП'!$E$44</definedName>
    <definedName name="pIns_P_PROCEDURE_TC_4">'Порядок ТП'!$E$48</definedName>
    <definedName name="pIns_P_PROCEDURE_TC_5">'Порядок ТП'!$E$51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Предложение!$G$52</definedName>
    <definedName name="pIns_PT_VTAR_A_COLDVSNA_OFFER_2">Предложение!$G$114</definedName>
    <definedName name="pIns_PT_VTAR_A_COLDVSNA_OFFER_3">Предложение!$G$174</definedName>
    <definedName name="pIns_PT_VTAR_A_COLDVSNA_OFFER_4">Предложение!$G$234</definedName>
    <definedName name="pIns_PT_VTAR_A_COLDVSNA_OFFER_5">Предложение!$G$294</definedName>
    <definedName name="pIns_PT_VTAR_A_COLDVSNA_OFFER5">Предложение!$G$294</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Предложение!$G$249</definedName>
    <definedName name="pIns_PT_VTAR_A_HOTVSNA_OFFER_5">Предложение!$G$309</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ТСО'!$T$57</definedName>
    <definedName name="pIns_PT_VTAR_B_COLDVSNA">'ХВС. Т-тех'!$T$53</definedName>
    <definedName name="pIns_PT_VTAR_B_COLDVSNA_OFFER_1">Предложение!$G$55</definedName>
    <definedName name="pIns_PT_VTAR_B_COLDVSNA_OFFER_2">Предложение!$G$117</definedName>
    <definedName name="pIns_PT_VTAR_B_COLDVSNA_OFFER_3">Предложение!$G$177</definedName>
    <definedName name="pIns_PT_VTAR_B_COLDVSNA_OFFER_4">Предложение!$G$237</definedName>
    <definedName name="pIns_PT_VTAR_B_COLDVSNA_OFFER_5">Предложение!$G$297</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Предложение!$G$252</definedName>
    <definedName name="pIns_PT_VTAR_B_HOTVSNA_OFFER_5">Предложение!$G$312</definedName>
    <definedName name="pIns_PT_VTAR_B_OFFER_1">Предложение!$G$29</definedName>
    <definedName name="pIns_PT_VTAR_B_OFFER_2">Предложение!$G$91</definedName>
    <definedName name="pIns_PT_VTAR_B_OFFER_3">Предложение!$G$151</definedName>
    <definedName name="pIns_PT_VTAR_B_OFFER_4">Предложение!$G$211</definedName>
    <definedName name="pIns_PT_VTAR_B_OFFER_5">Предложение!$G$271</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Т-ТН'!$T$183</definedName>
    <definedName name="pIns_PT_VTAR_C_COLDVSNA">'ХВС. Т-транс'!$T$53</definedName>
    <definedName name="pIns_PT_VTAR_C_COLDVSNA_OFFER_1">Предложение!$G$58</definedName>
    <definedName name="pIns_PT_VTAR_C_COLDVSNA_OFFER_2">Предложение!$G$120</definedName>
    <definedName name="pIns_PT_VTAR_C_COLDVSNA_OFFER_3">Предложение!$G$180</definedName>
    <definedName name="pIns_PT_VTAR_C_COLDVSNA_OFFER_4">Предложение!$G$240</definedName>
    <definedName name="pIns_PT_VTAR_C_COLDVSNA_OFFER_5">Предложение!$G$300</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Предложение!$G$255</definedName>
    <definedName name="pIns_PT_VTAR_C_HOTVSNA_OFFER_5">Предложение!$G$315</definedName>
    <definedName name="pIns_PT_VTAR_C_OFFER_1">Предложение!$G$34</definedName>
    <definedName name="pIns_PT_VTAR_C_OFFER_2">Предложение!$G$96</definedName>
    <definedName name="pIns_PT_VTAR_C_OFFER_3">Предложение!$G$156</definedName>
    <definedName name="pIns_PT_VTAR_C_OFFER_4">Предложение!$G$216</definedName>
    <definedName name="pIns_PT_VTAR_C_OFFER_5">Предложение!$G$276</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Т-гор.вода'!$V$65</definedName>
    <definedName name="pIns_PT_VTAR_D_COLDVSNA">'ХВС. Т-подвоз'!$T$53</definedName>
    <definedName name="pIns_PT_VTAR_D_COLDVSNA_OFFER_1">Предложение!$G$61</definedName>
    <definedName name="pIns_PT_VTAR_D_COLDVSNA_OFFER_2">Предложение!$G$123</definedName>
    <definedName name="pIns_PT_VTAR_D_COLDVSNA_OFFER_3">Предложение!$G$183</definedName>
    <definedName name="pIns_PT_VTAR_D_COLDVSNA_OFFER_4">Предложение!$G$243</definedName>
    <definedName name="pIns_PT_VTAR_D_COLDVSNA_OFFER_5">Предложение!$G$303</definedName>
    <definedName name="pIns_PT_VTAR_D_OFFER_1">Предложение!$G$37</definedName>
    <definedName name="pIns_PT_VTAR_D_OFFER_2">Предложение!$G$99</definedName>
    <definedName name="pIns_PT_VTAR_D_OFFER_3">Предложение!$G$159</definedName>
    <definedName name="pIns_PT_VTAR_D_OFFER_4">Предложение!$G$219</definedName>
    <definedName name="pIns_PT_VTAR_D_OFFER_5">Предложение!$G$279</definedName>
    <definedName name="pIns_PT_VTAR_E_COLDVSNA">'ХВС. Т-подкл'!$T$63</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Предложение!$G$246</definedName>
    <definedName name="pIns_PT_VTAR_E_COLDVSNA_OFFER_5">Предложение!$G$306</definedName>
    <definedName name="pIns_PT_VTAR_E1">'ТС. Т-передача ТЭ'!$T$57</definedName>
    <definedName name="pIns_PT_VTAR_E1_OFFER_1">Предложение!$G$40</definedName>
    <definedName name="pIns_PT_VTAR_E1_OFFER_2">Предложение!$G$102</definedName>
    <definedName name="pIns_PT_VTAR_E1_OFFER_3">Предложение!$G$162</definedName>
    <definedName name="pIns_PT_VTAR_E1_OFFER_4">Предложение!$G$222</definedName>
    <definedName name="pIns_PT_VTAR_E1_OFFER_5">Предложение!$G$282</definedName>
    <definedName name="pIns_PT_VTAR_E2">'ТС. Т-передача ТН'!$T$57</definedName>
    <definedName name="pIns_PT_VTAR_E2_OFFER_1">Предложение!$G$43</definedName>
    <definedName name="pIns_PT_VTAR_E2_OFFER_2">Предложение!$G$105</definedName>
    <definedName name="pIns_PT_VTAR_E2_OFFER_3">Предложение!$G$165</definedName>
    <definedName name="pIns_PT_VTAR_E2_OFFER_4">Предложение!$G$225</definedName>
    <definedName name="pIns_PT_VTAR_E2_OFFER_5">Предложение!$G$285</definedName>
    <definedName name="pIns_PT_VTAR_F">'ТС. Резерв мощности'!$T$57</definedName>
    <definedName name="pIns_PT_VTAR_F_OFFER_1">Предложение!$G$46</definedName>
    <definedName name="pIns_PT_VTAR_F_OFFER_2">Предложение!$G$108</definedName>
    <definedName name="pIns_PT_VTAR_F_OFFER_3">Предложение!$G$168</definedName>
    <definedName name="pIns_PT_VTAR_F_OFFER_4">Предложение!$G$228</definedName>
    <definedName name="pIns_PT_VTAR_F_OFFER_5">Предложение!$G$288</definedName>
    <definedName name="pIns_PT_VTAR_G">'ТС. Т-подкл'!$T$62</definedName>
    <definedName name="pIns_PT_VTAR_G_OFFER_1">Предложение!$G$49</definedName>
    <definedName name="pIns_PT_VTAR_G_OFFER_2">Предложение!$G$111</definedName>
    <definedName name="pIns_PT_VTAR_G_OFFER_3">Предложение!$G$171</definedName>
    <definedName name="pIns_PT_VTAR_G_OFFER_4">Предложение!$G$231</definedName>
    <definedName name="pIns_PT_VTAR_G_OFFER_5">Предложение!$G$291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Т-ТН'!$DF$39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тарифов'!$AL$12:$AL$152</definedName>
    <definedName name="PT_DIFFERENTIATION_CS_ID">'Перечень тарифов'!$AF$12:$AF$152</definedName>
    <definedName name="PT_DIFFERENTIATION_IST_TE">'Перечень тарифов'!$AM$12:$AM$152</definedName>
    <definedName name="PT_DIFFERENTIATION_IST_TE_ID">'Перечень тарифов'!$AG$12:$AG$152</definedName>
    <definedName name="PT_DIFFERENTIATION_NTAR">'Перечень тарифов'!$AJ$12:$AJ$152</definedName>
    <definedName name="PT_DIFFERENTIATION_NTAR_ID">'Перечень тарифов'!$AD$12:$AD$152</definedName>
    <definedName name="PT_DIFFERENTIATION_NUM_CS">'Перечень тарифов'!$AP$12:$AP$152</definedName>
    <definedName name="PT_DIFFERENTIATION_NUM_IST_TE">'Перечень тарифов'!$AQ$12:$AQ$152</definedName>
    <definedName name="PT_DIFFERENTIATION_NUM_NTAR">'Перечень тарифов'!$AN$12:$AN$152</definedName>
    <definedName name="PT_DIFFERENTIATION_NUM_TER">'Перечень тарифов'!$AO$12:$AO$152</definedName>
    <definedName name="PT_DIFFERENTIATION_TER">'Перечень тарифов'!$AK$12:$AK$152</definedName>
    <definedName name="PT_DIFFERENTIATION_TER_ID">'Перечень тарифов'!$AE$12:$AE$152</definedName>
    <definedName name="PT_DIFFERENTIATION_VDET">'Перечень тарифов'!$AI$12:$AI$152</definedName>
    <definedName name="PT_DIFFERENTIATION_VTAR">'Перечень тарифов'!$AH$12:$AH$152</definedName>
    <definedName name="PT_DIFFERENTIATION_VTAR_ID">'Перечень тарифов'!$AC$12:$AC$152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Т-ТН'!$43:$112</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территорий'!$E$11:$I$27</definedName>
    <definedName name="TERRITORY_ID">TEHSHEET!$E$56</definedName>
    <definedName name="TERRITORY_LIST_ID">'Список территорий'!$F$11:$F$27</definedName>
    <definedName name="TERRITORY_MO_LIST">'Список территорий'!$H$11:$H$27</definedName>
    <definedName name="TERRITORY_MR_LIST">'Список территорий'!$G$11:$G$27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REESTR_IP!$A$2:$D$54</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pt_ter_30">'ТС. Т-ТН'!$56:$67</definedName>
    <definedName name="pt_cs_30">'ТС. Т-ТН'!$57:$66</definedName>
    <definedName name="pt_ist_te_30">'ТС. Т-ТН'!$58:$65</definedName>
    <definedName name="pt_ter_31">'ТС. Т-ТН'!$68:$79</definedName>
    <definedName name="pt_cs_31">'ТС. Т-ТН'!$69:$78</definedName>
    <definedName name="pt_ist_te_31">'ТС. Т-ТН'!$70:$77</definedName>
    <definedName name="pt_ter_32">'ТС. Т-ТН'!$80:$91</definedName>
    <definedName name="pt_cs_32">'ТС. Т-ТН'!$81:$90</definedName>
    <definedName name="pt_ist_te_32">'ТС. Т-ТН'!$82:$89</definedName>
    <definedName name="pt_ter_33">'ТС. Т-ТН'!$92:$111</definedName>
    <definedName name="pt_cs_33">'ТС. Т-ТН'!$93:$110</definedName>
    <definedName name="pt_ist_te_33">'ТС. Т-ТН'!$94:$101</definedName>
    <definedName name="pt_ist_te_34">'ТС. Т-ТН'!$102:$109</definedName>
    <definedName name="pt_ntar_26">'ТС. Т-ТН'!$113:$182</definedName>
    <definedName name="pt_ter_34">'ТС. Т-ТН'!$114:$125</definedName>
    <definedName name="pt_cs_34">'ТС. Т-ТН'!$115:$124</definedName>
    <definedName name="pt_ist_te_35">'ТС. Т-ТН'!$116:$123</definedName>
    <definedName name="pt_ter_35">'ТС. Т-ТН'!$126:$137</definedName>
    <definedName name="pt_cs_35">'ТС. Т-ТН'!$127:$136</definedName>
    <definedName name="pt_ist_te_36">'ТС. Т-ТН'!$128:$135</definedName>
    <definedName name="pt_ter_36">'ТС. Т-ТН'!$138:$149</definedName>
    <definedName name="pt_cs_36">'ТС. Т-ТН'!$139:$148</definedName>
    <definedName name="pt_ist_te_37">'ТС. Т-ТН'!$140:$147</definedName>
    <definedName name="pt_ter_37">'ТС. Т-ТН'!$150:$161</definedName>
    <definedName name="pt_cs_37">'ТС. Т-ТН'!$151:$160</definedName>
    <definedName name="pt_ist_te_38">'ТС. Т-ТН'!$152:$159</definedName>
    <definedName name="pt_ter_38">'ТС. Т-ТН'!$162:$181</definedName>
    <definedName name="pt_cs_38">'ТС. Т-ТН'!$163:$180</definedName>
    <definedName name="pt_ist_te_39">'ТС. Т-ТН'!$164:$171</definedName>
    <definedName name="DESCRIPTION_TERRITORY">REESTR_DS!$B$2:$B$6</definedName>
    <definedName name="pt_ist_te_40">'ТС. Т-ТН'!$172:$179</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<sst xmlns="http://schemas.openxmlformats.org/spreadsheetml/2006/main" count="11977" uniqueCount="2997">
  <si>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</si>
  <si>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</si>
  <si>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</si>
  <si>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</si>
  <si>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</si>
  <si>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</si>
  <si>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</si>
  <si>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</si>
  <si>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</si>
  <si>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</si>
  <si>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</si>
  <si>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</si>
  <si>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</si>
  <si>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</si>
  <si>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</si>
  <si>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</si>
  <si>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</si>
  <si>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</si>
  <si>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</si>
  <si>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</si>
  <si>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</si>
  <si>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</si>
  <si>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</si>
  <si>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</si>
  <si>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</si>
  <si>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</si>
  <si>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</si>
  <si>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</si>
  <si>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</si>
  <si>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</si>
  <si>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</si>
  <si>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</si>
  <si>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</si>
  <si>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</si>
  <si>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</si>
  <si>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</si>
  <si>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</si>
  <si>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51/11</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</si>
  <si>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</si>
  <si>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</si>
  <si>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</si>
  <si>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https://npa.gov-murman.ru/bitrix/components/b1team/govmurman.element.file/download.php?ID=508451&amp;FID=750724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</si>
  <si>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</si>
  <si>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</si>
  <si>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</si>
  <si>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</si>
  <si>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</si>
  <si>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</si>
  <si>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</si>
  <si>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</si>
  <si>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</si>
  <si>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</si>
  <si>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</si>
  <si>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</si>
  <si>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</si>
  <si>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</si>
  <si>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</si>
  <si>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</si>
  <si>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</si>
  <si>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</si>
  <si>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</si>
  <si>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</si>
  <si>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</si>
  <si>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</si>
  <si>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</si>
  <si>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</si>
  <si>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</si>
  <si>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</si>
  <si>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</si>
  <si>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</si>
  <si>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183034, г. Мурманск, ул. Свердлова, д. 39, корп.1</t>
  </si>
  <si>
    <t>Фамилия, имя, отчество руководителя</t>
  </si>
  <si>
    <t>Истомина Алла Павловна</t>
  </si>
  <si>
    <t>Ответственный за заполнение формы</t>
  </si>
  <si>
    <t>Фамилия, имя, отчество</t>
  </si>
  <si>
    <t>Луханина Ольга Викторовна</t>
  </si>
  <si>
    <t>Должность</t>
  </si>
  <si>
    <t>ведущий экономист</t>
  </si>
  <si>
    <t>Контактный телефон</t>
  </si>
  <si>
    <t>686449</t>
  </si>
  <si>
    <t>E-mail</t>
  </si>
  <si>
    <t>luhaninaov@mures.ru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</si>
  <si>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</si>
  <si>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</si>
  <si>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</si>
  <si>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</si>
  <si>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</si>
  <si>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</si>
  <si>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</si>
  <si>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</si>
  <si>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</si>
  <si>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</si>
  <si>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</si>
  <si>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</si>
  <si>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</si>
  <si>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</si>
  <si>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</si>
  <si>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</si>
  <si>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t>
  </si>
  <si>
    <t>город-герой Мурманск</t>
  </si>
  <si>
    <t>47701000</t>
  </si>
  <si>
    <t>Добавить МО</t>
  </si>
  <si>
    <t>2</t>
  </si>
  <si>
    <t>×</t>
  </si>
  <si>
    <t>ter_55</t>
  </si>
  <si>
    <t>ЗАТО город Александровск</t>
  </si>
  <si>
    <t>47737000</t>
  </si>
  <si>
    <t>ter_56</t>
  </si>
  <si>
    <t>36</t>
  </si>
  <si>
    <t>Печенгский муниципальный район</t>
  </si>
  <si>
    <t>Поселок Никель</t>
  </si>
  <si>
    <t>47615151</t>
  </si>
  <si>
    <t>ter_57</t>
  </si>
  <si>
    <t>34</t>
  </si>
  <si>
    <t>Город Заполярный</t>
  </si>
  <si>
    <t>47615103</t>
  </si>
  <si>
    <t>5</t>
  </si>
  <si>
    <t>ter_58</t>
  </si>
  <si>
    <t>12</t>
  </si>
  <si>
    <t>Кандалакшский муниципальный район</t>
  </si>
  <si>
    <t>Город Кандалакша</t>
  </si>
  <si>
    <t>47608101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</si>
  <si>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</si>
  <si>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</si>
  <si>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</si>
  <si>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</si>
  <si>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</si>
  <si>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</si>
  <si>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</si>
  <si>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</si>
  <si>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</si>
  <si>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</si>
  <si>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</si>
  <si>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</si>
  <si>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</si>
  <si>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</si>
  <si>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</si>
  <si>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</si>
  <si>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</si>
  <si>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</si>
  <si>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</si>
  <si>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</si>
  <si>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</si>
  <si>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</si>
  <si>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</si>
  <si>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</si>
  <si>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</si>
  <si>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</si>
  <si>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</si>
  <si>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</si>
  <si>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</si>
  <si>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</si>
  <si>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</si>
  <si>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</si>
  <si>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</si>
  <si>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</si>
  <si>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</si>
  <si>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</si>
  <si>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</si>
  <si>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</si>
  <si>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</si>
  <si>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</si>
  <si>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</si>
  <si>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</si>
  <si>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</si>
  <si>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</si>
  <si>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</si>
  <si>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</si>
  <si>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</si>
  <si>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</si>
  <si>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</si>
  <si>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</si>
  <si>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</si>
  <si>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</si>
  <si>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</si>
  <si>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</si>
  <si>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</si>
  <si>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</si>
  <si>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</si>
  <si>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</si>
  <si>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</si>
  <si>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</si>
  <si>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</si>
  <si>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</si>
  <si>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город-герой Мурманск (кроме р-на Росляково)</t>
  </si>
  <si>
    <t>4190067; 4190069; 4190071</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</si>
  <si>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</si>
  <si>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</si>
  <si>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</si>
  <si>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</si>
  <si>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</si>
  <si>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</si>
  <si>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</si>
  <si>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город Снежногорск</t>
  </si>
  <si>
    <t>pt_ter_30</t>
  </si>
  <si>
    <t>pt_cs_30</t>
  </si>
  <si>
    <t>pt_ist_te_30</t>
  </si>
  <si>
    <t>гп Никель</t>
  </si>
  <si>
    <t>pt_ter_31</t>
  </si>
  <si>
    <t>pt_cs_31</t>
  </si>
  <si>
    <t>pt_ist_te_31</t>
  </si>
  <si>
    <t>гп Заполярный</t>
  </si>
  <si>
    <t>pt_ter_32</t>
  </si>
  <si>
    <t>pt_cs_32</t>
  </si>
  <si>
    <t>pt_ist_te_32</t>
  </si>
  <si>
    <t>город Кандалакша (кроме микрорайона Нива-3)</t>
  </si>
  <si>
    <t>pt_ter_33</t>
  </si>
  <si>
    <t>pt_cs_33</t>
  </si>
  <si>
    <t>pt_ist_te_33</t>
  </si>
  <si>
    <t>город Кандалакша (микрорайон Нива-3)</t>
  </si>
  <si>
    <t>pt_ist_te_34</t>
  </si>
  <si>
    <t>Добавить территорию для дифференциации</t>
  </si>
  <si>
    <t>Тарифы на теплоноситель, поставляемый группе потребителей "население"</t>
  </si>
  <si>
    <t>pt_ntar_26</t>
  </si>
  <si>
    <t>pt_ter_34</t>
  </si>
  <si>
    <t>pt_cs_34</t>
  </si>
  <si>
    <t>pt_ist_te_35</t>
  </si>
  <si>
    <t>pt_ter_35</t>
  </si>
  <si>
    <t>pt_cs_35</t>
  </si>
  <si>
    <t>pt_ist_te_36</t>
  </si>
  <si>
    <t>pt_ter_36</t>
  </si>
  <si>
    <t>pt_cs_36</t>
  </si>
  <si>
    <t>pt_ist_te_37</t>
  </si>
  <si>
    <t>pt_ter_37</t>
  </si>
  <si>
    <t>pt_cs_37</t>
  </si>
  <si>
    <t>pt_ist_te_38</t>
  </si>
  <si>
    <t>pt_ter_38</t>
  </si>
  <si>
    <t>pt_cs_38</t>
  </si>
  <si>
    <t>pt_ist_te_39</t>
  </si>
  <si>
    <t>pt_ist_te_40</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</si>
  <si>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</si>
  <si>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</si>
  <si>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</si>
  <si>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</si>
  <si>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</si>
  <si>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</si>
  <si>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</si>
  <si>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</si>
  <si>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</si>
  <si>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</si>
  <si>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</si>
  <si>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</si>
  <si>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</si>
  <si>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</si>
  <si>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</si>
  <si>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</si>
  <si>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</si>
  <si>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</si>
  <si>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</si>
  <si>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</si>
  <si>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</si>
  <si>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</si>
  <si>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</si>
  <si>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</si>
  <si>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</si>
  <si>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</si>
  <si>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</si>
  <si>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</si>
  <si>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</si>
  <si>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</si>
  <si>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</si>
  <si>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</si>
  <si>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</si>
  <si>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</si>
  <si>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</si>
  <si>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</si>
  <si>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</si>
  <si>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</si>
  <si>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</si>
  <si>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</si>
  <si>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</si>
  <si>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</si>
  <si>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</si>
  <si>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</si>
  <si>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</si>
  <si>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</si>
  <si>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</si>
  <si>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</si>
  <si>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</si>
  <si>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</si>
  <si>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</si>
  <si>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</si>
  <si>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</si>
  <si>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</si>
  <si>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</si>
  <si>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</si>
  <si>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</si>
  <si>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</si>
  <si>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</si>
  <si>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</si>
  <si>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</si>
  <si>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</si>
  <si>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</si>
  <si>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</si>
  <si>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</si>
  <si>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</si>
  <si>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</si>
  <si>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</si>
  <si>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</si>
  <si>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</si>
  <si>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</si>
  <si>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</si>
  <si>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</si>
  <si>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</si>
  <si>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</si>
  <si>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</si>
  <si>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</si>
  <si>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</si>
  <si>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</si>
  <si>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</si>
  <si>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</si>
  <si>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</si>
  <si>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</si>
  <si>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</si>
  <si>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</si>
  <si>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</si>
  <si>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</si>
  <si>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</si>
  <si>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</si>
  <si>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</si>
  <si>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</si>
  <si>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</si>
  <si>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</si>
  <si>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</si>
  <si>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</si>
  <si>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</si>
  <si>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</si>
  <si>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</si>
  <si>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</si>
  <si>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</si>
  <si>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</si>
  <si>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</si>
  <si>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</si>
  <si>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</si>
  <si>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</si>
  <si>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</si>
  <si>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</si>
  <si>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</si>
  <si>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</si>
  <si>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</si>
  <si>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</si>
  <si>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</si>
  <si>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</si>
  <si>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</si>
  <si>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</si>
  <si>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</si>
  <si>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</si>
  <si>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</si>
  <si>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</si>
  <si>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</si>
  <si>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</si>
  <si>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</si>
  <si>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</si>
  <si>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</si>
  <si>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</si>
  <si>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</si>
  <si>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</si>
  <si>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</si>
  <si>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</si>
  <si>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</si>
  <si>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</si>
  <si>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</si>
  <si>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</si>
  <si>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</si>
  <si>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</si>
  <si>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</si>
  <si>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</si>
  <si>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</si>
  <si>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</si>
  <si>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</si>
  <si>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</si>
  <si>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</si>
  <si>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</si>
  <si>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</si>
  <si>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</si>
  <si>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</si>
  <si>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</si>
  <si>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</si>
  <si>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</si>
  <si>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</si>
  <si>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</si>
  <si>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</si>
  <si>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</si>
  <si>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</si>
  <si>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</si>
  <si>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</si>
  <si>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</si>
  <si>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</si>
  <si>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</si>
  <si>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</si>
  <si>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</si>
  <si>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</si>
  <si>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</si>
  <si>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</si>
  <si>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</si>
  <si>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</si>
  <si>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</si>
  <si>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</si>
  <si>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</si>
  <si>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</si>
  <si>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</si>
  <si>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</si>
  <si>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</si>
  <si>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</si>
  <si>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</si>
  <si>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</si>
  <si>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</si>
  <si>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</si>
  <si>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</si>
  <si>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</si>
  <si>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</si>
  <si>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</si>
  <si>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</si>
  <si>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</si>
  <si>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</si>
  <si>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</si>
  <si>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</si>
  <si>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</si>
  <si>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</si>
  <si>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</si>
  <si>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</si>
  <si>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</si>
  <si>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</si>
  <si>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</si>
  <si>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</si>
  <si>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</si>
  <si>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</si>
  <si>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</si>
  <si>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</si>
  <si>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</si>
  <si>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</si>
  <si>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</si>
  <si>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</si>
  <si>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</si>
  <si>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</si>
  <si>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</si>
  <si>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</si>
  <si>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</si>
  <si>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</si>
  <si>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</si>
  <si>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</si>
  <si>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</si>
  <si>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</si>
  <si>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</si>
  <si>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</si>
  <si>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</si>
  <si>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</si>
  <si>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</si>
  <si>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</si>
  <si>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</si>
  <si>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</si>
  <si>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</si>
  <si>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</si>
  <si>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</si>
  <si>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</si>
  <si>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</si>
  <si>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</si>
  <si>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</si>
  <si>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</si>
  <si>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</si>
  <si>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</si>
  <si>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</si>
  <si>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</si>
  <si>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</si>
  <si>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</si>
  <si>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</si>
  <si>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</si>
  <si>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</si>
  <si>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</si>
  <si>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</si>
  <si>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</si>
  <si>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</si>
  <si>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</si>
  <si>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</si>
  <si>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</si>
  <si>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</si>
  <si>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</si>
  <si>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</si>
  <si>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</si>
  <si>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</si>
  <si>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</si>
  <si>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</si>
  <si>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</si>
  <si>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</si>
  <si>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</si>
  <si>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</si>
  <si>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</si>
  <si>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</si>
  <si>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</si>
  <si>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</si>
  <si>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</si>
  <si>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</si>
  <si>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</si>
  <si>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</si>
  <si>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прочие</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</si>
  <si>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</si>
  <si>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</si>
  <si>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население</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</si>
  <si>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</si>
  <si>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</si>
  <si>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</si>
  <si>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</si>
  <si>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</si>
  <si>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</si>
  <si>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</si>
  <si>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</si>
  <si>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</si>
  <si>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</si>
  <si>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</si>
  <si>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</si>
  <si>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</si>
  <si>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</si>
  <si>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</si>
  <si>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</si>
  <si>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</si>
  <si>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</si>
  <si>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</si>
  <si>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</si>
  <si>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</si>
  <si>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</si>
  <si>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</si>
  <si>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</si>
  <si>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</si>
  <si>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</si>
  <si>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</si>
  <si>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</si>
  <si>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</si>
  <si>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</si>
  <si>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</si>
  <si>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</si>
  <si>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</si>
  <si>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</si>
  <si>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</si>
  <si>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</si>
  <si>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</si>
  <si>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</si>
  <si>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</si>
  <si>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</si>
  <si>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</si>
  <si>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</si>
  <si>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</si>
  <si>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</si>
  <si>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</si>
  <si>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</si>
  <si>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</si>
  <si>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</si>
  <si>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</si>
  <si>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</si>
  <si>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</si>
  <si>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</si>
  <si>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</si>
  <si>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</si>
  <si>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</si>
  <si>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</si>
  <si>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</si>
  <si>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</si>
  <si>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</si>
  <si>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</si>
  <si>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</si>
  <si>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</si>
  <si>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</si>
  <si>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</si>
  <si>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</si>
  <si>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</si>
  <si>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</si>
  <si>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</si>
  <si>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</si>
  <si>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</si>
  <si>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</si>
  <si>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</si>
  <si>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</si>
  <si>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</si>
  <si>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</si>
  <si>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</si>
  <si>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</si>
  <si>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</si>
  <si>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</si>
  <si>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</si>
  <si>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</si>
  <si>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</si>
  <si>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</si>
  <si>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</si>
  <si>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</si>
  <si>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</si>
  <si>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</si>
  <si>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</si>
  <si>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</si>
  <si>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</si>
  <si>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</si>
  <si>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</si>
  <si>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</si>
  <si>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</si>
  <si>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</si>
  <si>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</si>
  <si>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</si>
  <si>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</si>
  <si>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</si>
  <si>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</si>
  <si>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</si>
  <si>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</si>
  <si>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</si>
  <si>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</si>
  <si>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</si>
  <si>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</si>
  <si>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</si>
  <si>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</si>
  <si>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</si>
  <si>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</si>
  <si>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</si>
  <si>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</si>
  <si>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</si>
  <si>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</si>
  <si>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</si>
  <si>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</si>
  <si>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</si>
  <si>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</si>
  <si>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</si>
  <si>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</si>
  <si>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</si>
  <si>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</si>
  <si>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</si>
  <si>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</si>
  <si>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</si>
  <si>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</si>
  <si>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</si>
  <si>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</si>
  <si>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</si>
  <si>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</si>
  <si>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</si>
  <si>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</si>
  <si>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</si>
  <si>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</si>
  <si>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</si>
  <si>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</si>
  <si>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</si>
  <si>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</si>
  <si>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</si>
  <si>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</si>
  <si>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</si>
  <si>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</si>
  <si>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</si>
  <si>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</si>
  <si>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</si>
  <si>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</si>
  <si>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</si>
  <si>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</si>
  <si>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</si>
  <si>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</si>
  <si>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</si>
  <si>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</si>
  <si>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</si>
  <si>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</si>
  <si>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</si>
  <si>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</si>
  <si>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</si>
  <si>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</si>
  <si>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</si>
  <si>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</si>
  <si>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</si>
  <si>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</si>
  <si>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</si>
  <si>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</si>
  <si>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</si>
  <si>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</si>
  <si>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</si>
  <si>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</si>
  <si>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</si>
  <si>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</si>
  <si>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</si>
  <si>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</si>
  <si>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</si>
  <si>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</si>
  <si>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</si>
  <si>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</si>
  <si>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</si>
  <si>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</si>
  <si>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</si>
  <si>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</si>
  <si>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</si>
  <si>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</si>
  <si>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</si>
  <si>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</si>
  <si>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</si>
  <si>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</si>
  <si>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</si>
  <si>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</si>
  <si>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</si>
  <si>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</si>
  <si>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</si>
  <si>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</si>
  <si>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</si>
  <si>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</si>
  <si>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</si>
  <si>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</si>
  <si>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</si>
  <si>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</si>
  <si>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</si>
  <si>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</si>
  <si>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</si>
  <si>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</si>
  <si>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</si>
  <si>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</si>
  <si>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</si>
  <si>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</si>
  <si>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</si>
  <si>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</si>
  <si>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</si>
  <si>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</si>
  <si>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</si>
  <si>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</si>
  <si>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</si>
  <si>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</si>
  <si>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</si>
  <si>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</si>
  <si>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</si>
  <si>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</si>
  <si>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</si>
  <si>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</si>
  <si>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</si>
  <si>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</si>
  <si>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</si>
  <si>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</si>
  <si>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</si>
  <si>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</si>
  <si>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</si>
  <si>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</si>
  <si>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</si>
  <si>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</si>
  <si>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</si>
  <si>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</si>
  <si>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</si>
  <si>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</si>
  <si>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</si>
  <si>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</si>
  <si>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</si>
  <si>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</si>
  <si>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</si>
  <si>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</si>
  <si>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</si>
  <si>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</si>
  <si>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</si>
  <si>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</si>
  <si>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</si>
  <si>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</si>
  <si>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</si>
  <si>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</si>
  <si>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</si>
  <si>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</si>
  <si>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</si>
  <si>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</si>
  <si>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</si>
  <si>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</si>
  <si>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</si>
  <si>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</si>
  <si>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</si>
  <si>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</si>
  <si>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</si>
  <si>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</si>
  <si>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</si>
  <si>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</si>
  <si>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</si>
  <si>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</si>
  <si>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</si>
  <si>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</si>
  <si>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</si>
  <si>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</si>
  <si>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</si>
  <si>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</si>
  <si>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</si>
  <si>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</si>
  <si>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</si>
  <si>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</si>
  <si>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</si>
  <si>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</si>
  <si>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</si>
  <si>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</si>
  <si>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</si>
  <si>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</si>
  <si>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</si>
  <si>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</si>
  <si>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</si>
  <si>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</si>
  <si>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</si>
  <si>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</si>
  <si>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</si>
  <si>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</si>
  <si>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</si>
  <si>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</si>
  <si>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</si>
  <si>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</si>
  <si>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</si>
  <si>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</si>
  <si>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</si>
  <si>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</si>
  <si>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</si>
  <si>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</si>
  <si>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</si>
  <si>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</si>
  <si>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</si>
  <si>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</si>
  <si>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</si>
  <si>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</si>
  <si>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</si>
  <si>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</si>
  <si>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</si>
  <si>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</si>
  <si>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</si>
  <si>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</si>
  <si>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</si>
  <si>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</si>
  <si>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</si>
  <si>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</si>
  <si>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</si>
  <si>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</si>
  <si>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</si>
  <si>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</si>
  <si>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</si>
  <si>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</si>
  <si>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</si>
  <si>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</si>
  <si>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</si>
  <si>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</si>
  <si>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</si>
  <si>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</si>
  <si>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</si>
  <si>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</si>
  <si>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</si>
  <si>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</si>
  <si>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</si>
  <si>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</si>
  <si>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</si>
  <si>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</si>
  <si>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</si>
  <si>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</si>
  <si>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</si>
  <si>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</si>
  <si>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</si>
  <si>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</si>
  <si>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</si>
  <si>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</si>
  <si>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</si>
  <si>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</si>
  <si>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</si>
  <si>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</si>
  <si>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</si>
  <si>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</si>
  <si>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</si>
  <si>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</si>
  <si>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</si>
  <si>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</si>
  <si>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</si>
  <si>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</si>
  <si>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</si>
  <si>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</si>
  <si>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</si>
  <si>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</si>
  <si>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</si>
  <si>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</si>
  <si>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</si>
  <si>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</si>
  <si>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</si>
  <si>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</si>
  <si>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</si>
  <si>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</si>
  <si>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</si>
  <si>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</si>
  <si>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</si>
  <si>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</si>
  <si>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</si>
  <si>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</si>
  <si>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</si>
  <si>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</si>
  <si>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</si>
  <si>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</si>
  <si>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</si>
  <si>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</si>
  <si>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</si>
  <si>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</si>
  <si>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</si>
  <si>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</si>
  <si>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</si>
  <si>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</si>
  <si>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</si>
  <si>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</si>
  <si>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</si>
  <si>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</si>
  <si>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</si>
  <si>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</si>
  <si>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</si>
  <si>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</si>
  <si>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</si>
  <si>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</si>
  <si>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</si>
  <si>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</si>
  <si>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</si>
  <si>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</si>
  <si>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</si>
  <si>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</si>
  <si>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</si>
  <si>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</si>
  <si>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</si>
  <si>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</si>
  <si>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</si>
  <si>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</si>
  <si>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</si>
  <si>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</si>
  <si>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</si>
  <si>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</si>
  <si>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</si>
  <si>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</si>
  <si>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</si>
  <si>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</si>
  <si>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</si>
  <si>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</si>
  <si>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</si>
  <si>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</si>
  <si>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</si>
  <si>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</si>
  <si>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</si>
  <si>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</si>
  <si>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</si>
  <si>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</si>
  <si>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</si>
  <si>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</si>
  <si>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</si>
  <si>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</si>
  <si>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</si>
  <si>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</si>
  <si>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</si>
  <si>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</si>
  <si>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</si>
  <si>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</si>
  <si>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</si>
  <si>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</si>
  <si>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</si>
  <si>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</si>
  <si>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</si>
  <si>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</si>
  <si>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</si>
  <si>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</si>
  <si>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</si>
  <si>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</si>
  <si>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</si>
  <si>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</si>
  <si>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</si>
  <si>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</si>
  <si>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</si>
  <si>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</si>
  <si>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</si>
  <si>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</si>
  <si>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</si>
  <si>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</si>
  <si>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</si>
  <si>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</si>
  <si>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</si>
  <si>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</si>
  <si>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</si>
  <si>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</si>
  <si>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</si>
  <si>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</si>
  <si>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</si>
  <si>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</si>
  <si>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</si>
  <si>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</si>
  <si>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</si>
  <si>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</si>
  <si>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</si>
  <si>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</si>
  <si>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</si>
  <si>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</si>
  <si>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</si>
  <si>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</si>
  <si>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</si>
  <si>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</si>
  <si>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</si>
  <si>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</si>
  <si>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</si>
  <si>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</si>
  <si>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</si>
  <si>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</si>
  <si>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</si>
  <si>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</si>
  <si>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</si>
  <si>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</si>
  <si>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</si>
  <si>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</si>
  <si>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</si>
  <si>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</si>
  <si>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</si>
  <si>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</si>
  <si>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</si>
  <si>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</si>
  <si>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</si>
  <si>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</si>
  <si>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</si>
  <si>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</si>
  <si>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</si>
  <si>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</si>
  <si>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</si>
  <si>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</si>
  <si>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</si>
  <si>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</si>
  <si>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</si>
  <si>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</si>
  <si>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</si>
  <si>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</si>
  <si>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</si>
  <si>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</si>
  <si>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</si>
  <si>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</si>
  <si>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</si>
  <si>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</si>
  <si>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</si>
  <si>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</si>
  <si>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</si>
  <si>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</si>
  <si>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</si>
  <si>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</si>
  <si>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</si>
  <si>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</si>
  <si>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</si>
  <si>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</si>
  <si>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</si>
  <si>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</si>
  <si>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</si>
  <si>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</si>
  <si>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</si>
  <si>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</si>
  <si>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</si>
  <si>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</si>
  <si>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</si>
  <si>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</si>
  <si>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</si>
  <si>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</si>
  <si>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</si>
  <si>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</si>
  <si>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</si>
  <si>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</si>
  <si>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</si>
  <si>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</si>
  <si>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</si>
  <si>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</si>
  <si>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</si>
  <si>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</si>
  <si>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</si>
  <si>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</si>
  <si>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</si>
  <si>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</si>
  <si>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</si>
  <si>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</si>
  <si>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</si>
  <si>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</si>
  <si>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</si>
  <si>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</si>
  <si>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</si>
  <si>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</si>
  <si>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</si>
  <si>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</si>
  <si>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</si>
  <si>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</si>
  <si>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</si>
  <si>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</si>
  <si>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</si>
  <si>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</si>
  <si>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</si>
  <si>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</si>
  <si>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</si>
  <si>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</si>
  <si>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</si>
  <si>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</si>
  <si>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</si>
  <si>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</si>
  <si>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</si>
  <si>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</si>
  <si>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</si>
  <si>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</si>
  <si>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</si>
  <si>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</si>
  <si>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</si>
  <si>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</si>
  <si>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</si>
  <si>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</si>
  <si>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</si>
  <si>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</si>
  <si>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</si>
  <si>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</si>
  <si>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</si>
  <si>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</si>
  <si>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</si>
  <si>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</si>
  <si>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</si>
  <si>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https://portal.eias.ru/Portal/DownloadPage.aspx?type=12&amp;guid=8447d47f-1d8d-40e5-8d4b-0e6ffd0ec6fc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</si>
  <si>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</si>
  <si>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https://portal.eias.ru/Portal/DownloadPage.aspx?type=12&amp;guid=013560a3-7bef-4eee-83d3-968cf080ed07</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</si>
  <si>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 с датой выдачи не ранее 30 дней), заверенные заявителем</t>
  </si>
  <si>
    <t>https://portal.eias.ru/Portal/DownloadPage.aspx?type=12&amp;guid=b17cdf5f-1aa5-4f59-8ff5-39f1b52db66e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</si>
  <si>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</si>
  <si>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</si>
  <si>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</si>
  <si>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копии документов, подтверждающих полномочия лица, действующего от имени заявителя (в случае если заявка подается представителем заявителя), заверенные заявителем</t>
  </si>
  <si>
    <t>для юридических лиц - копии учредительных документов, действующие банковские реквизиты, заверенные заявителем, для индивидуальных предпринимателей - копии основного государственного регистрационного номера индивидуального предпринимателя и идентификационного номера налогоплательщика, заверенные заявителем, действующие банковские реквизиты, для физических лиц - копии паспорта или иного удостоверяющего личность документа и идентификационного номера налогоплательщика, заверенные заявителем</t>
  </si>
  <si>
    <t>при наличии утвержденная комплексная схема инженерного обеспечения территории, утвержденный проект планировки территории и
(или) разрешение на строительство</t>
  </si>
  <si>
    <t>в случае строительства объектов федерального значения, объектов регионального значения, объектов местного значения вместо 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могут прилагаться следующие документы (при этом договор о подключении должен содержать обязательства заявителя по представлению исполнителю копий правоустанавливающих документов на земельный участок, заверенных заявителем, в срок, установленный договором о подключении):</t>
  </si>
  <si>
    <t>3.8</t>
  </si>
  <si>
    <t>решение о предварительном согласовании предоставления земельного участка в целях строительства объектов капитального строительства;
копия утвержденного проекта межевания территории и (или) градостроительного плана земельного участка, заверенная заявителем;
схема расположения земельного участка (земельных участков) на кадастровом плане территории;
документ о характерных точках границ земельного участка в системе координат, установленной для ведения Единого государственного реестра недвижимости в соответствии с Федеральным законом "О государственной регистрации недвижимости", на котором планируется осуществить строительство (реконструкцию, модернизацию) подключаемого объекта;</t>
  </si>
  <si>
    <t>3.9</t>
  </si>
  <si>
    <t>в случае подключения к системам теплоснабжения объекта при уступке права на использование тепловой мощности к заявке дополнительно прилагаются:
документ о проведении энергетического обследования объекта капитального строительства (в случае, если уступка осуществляется в отношении части тепловой нагрузки объекта капитального строительства);
документ о согласии иных собственников или владельцев помещений в объекте теплопотребления;
документ о подтверждении теплоснабжающей или теплосетевой организацией соблюдения безопасного гидравлического и температурного режимов системы теплоснабжения;
согласие в письменной форме теплоснабжающей или теплосетевой организации на переуступку права на использование мощности;
копии акта о подключении или иных документов, подтверждающих параметры подключения;
заверенная сторонами копия соглашения об уступке права на использование мощности;</t>
  </si>
  <si>
    <t>3.10</t>
  </si>
  <si>
    <t>документы, удостоверяющие размер снижения тепловой нагрузки и подтверждающие соблюдение требований положений законодательства Российской Федерации об установлении, изменении (пересмотре) тепловых нагрузок, а также требований к безопасной эксплуатации зданий и сооружений.</t>
  </si>
  <si>
    <t xml:space="preserve">Постановление Правительства РФ от 05.07.2018 N 787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</si>
  <si>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</si>
  <si>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2115</t>
  </si>
  <si>
    <t>5.1.1</t>
  </si>
  <si>
    <t>(8152) 68-63-28,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</si>
  <si>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</si>
  <si>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</si>
  <si>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183034,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</si>
  <si>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</si>
  <si>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</si>
  <si>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Производственно-технический отдел (обработка заявок): 183034, г. Мурманск, ул. Промышленная, 15</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</si>
  <si>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</si>
  <si>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</si>
  <si>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</si>
  <si>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</si>
  <si>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</si>
  <si>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</si>
  <si>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</si>
  <si>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</si>
  <si>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</si>
  <si>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</si>
  <si>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</si>
  <si>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</si>
  <si>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</si>
  <si>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</si>
  <si>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</si>
  <si>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</si>
  <si>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</si>
  <si>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</si>
  <si>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</si>
  <si>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</si>
  <si>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</si>
  <si>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</si>
  <si>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</si>
  <si>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</si>
  <si>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</si>
  <si>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</si>
  <si>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</si>
  <si>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</si>
  <si>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</si>
  <si>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</si>
  <si>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</si>
  <si>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</si>
  <si>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</si>
  <si>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</si>
  <si>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</si>
  <si>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</si>
  <si>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</si>
  <si>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</si>
  <si>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</si>
  <si>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</si>
  <si>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</si>
  <si>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</si>
  <si>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</si>
  <si>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</si>
  <si>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</si>
  <si>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</si>
  <si>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</si>
  <si>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</si>
  <si>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</si>
  <si>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</si>
  <si>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</si>
  <si>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</si>
  <si>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</si>
  <si>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</si>
  <si>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</si>
  <si>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</si>
  <si>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</si>
  <si>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</si>
  <si>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</si>
  <si>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</si>
  <si>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</si>
  <si>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</si>
  <si>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</si>
  <si>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</si>
  <si>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</si>
  <si>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</si>
  <si>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</si>
  <si>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</si>
  <si>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</si>
  <si>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</si>
  <si>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</si>
  <si>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</si>
  <si>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тарифы указаны с учетом Постановления КТР МО от 20.12.2023 № 51/11 "Об установлении АО "МЭС" тарифов в сфере теплоснабжения"</t>
  </si>
  <si>
    <t>льготный тариф для группы потребителей "население" указываются с учетом НДС в целях реализации пункта 6 статьи 168 Налогового кодекса РФ (часть вторая)</t>
  </si>
  <si>
    <t>тариф для группы потребителей "прочие" установлены без учета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</si>
  <si>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</si>
  <si>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</si>
  <si>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</si>
  <si>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</si>
  <si>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</si>
  <si>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</si>
  <si>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</si>
  <si>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</si>
  <si>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</si>
  <si>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</si>
  <si>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</si>
  <si>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</si>
  <si>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</si>
  <si>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</si>
  <si>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</si>
  <si>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</si>
  <si>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</si>
  <si>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</si>
  <si>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</si>
  <si>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</si>
  <si>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</si>
  <si>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</si>
  <si>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</si>
  <si>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</si>
  <si>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</si>
  <si>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</si>
  <si>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</si>
  <si>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</si>
  <si>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</si>
  <si>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</si>
  <si>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</si>
  <si>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</si>
  <si>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</si>
  <si>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</si>
  <si>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</si>
  <si>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</si>
  <si>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</si>
  <si>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</si>
  <si>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</si>
  <si>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</si>
  <si>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</si>
  <si>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</si>
  <si>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</si>
  <si>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</si>
  <si>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</si>
  <si>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</si>
  <si>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</si>
  <si>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</si>
  <si>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</si>
  <si>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</si>
  <si>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</si>
  <si>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</si>
  <si>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</si>
  <si>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</si>
  <si>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</si>
  <si>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</si>
  <si>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</si>
  <si>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</si>
  <si>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</si>
  <si>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</si>
  <si>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</si>
  <si>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</si>
  <si>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</si>
  <si>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</si>
  <si>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</si>
  <si>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</si>
  <si>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</si>
  <si>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</si>
  <si>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</si>
  <si>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</si>
  <si>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</si>
  <si>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</si>
  <si>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</si>
  <si>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</si>
  <si>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</si>
  <si>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</si>
  <si>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</si>
  <si>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</si>
  <si>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</si>
  <si>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</si>
  <si>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</si>
  <si>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</si>
  <si>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</si>
  <si>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</si>
  <si>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</si>
  <si>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</si>
  <si>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</si>
  <si>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</si>
  <si>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</si>
  <si>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</si>
  <si>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</si>
  <si>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</si>
  <si>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</si>
  <si>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</si>
  <si>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</si>
  <si>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</si>
  <si>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</si>
  <si>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</si>
  <si>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</si>
  <si>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</si>
  <si>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</si>
  <si>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</si>
  <si>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</si>
  <si>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</si>
  <si>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</si>
  <si>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</si>
  <si>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</si>
  <si>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</si>
  <si>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</si>
  <si>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</si>
  <si>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</si>
  <si>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</si>
  <si>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</si>
  <si>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</si>
  <si>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</si>
  <si>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</si>
  <si>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</si>
  <si>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</si>
  <si>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</si>
  <si>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</si>
  <si>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</si>
  <si>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</si>
  <si>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</si>
  <si>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</si>
  <si>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</si>
  <si>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</si>
  <si>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</si>
  <si>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</si>
  <si>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</si>
  <si>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</si>
  <si>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</si>
  <si>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</si>
  <si>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</si>
  <si>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</si>
  <si>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</si>
  <si>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</si>
  <si>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</si>
  <si>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</si>
  <si>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</si>
  <si>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</si>
  <si>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</si>
  <si>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</si>
  <si>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</si>
  <si>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</si>
  <si>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</si>
  <si>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</si>
  <si>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</si>
  <si>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</si>
  <si>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</si>
  <si>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</si>
  <si>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</si>
  <si>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</si>
  <si>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</si>
  <si>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</si>
  <si>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</si>
  <si>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</si>
  <si>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</si>
  <si>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</si>
  <si>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</si>
  <si>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</si>
  <si>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</si>
  <si>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</si>
  <si>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</si>
  <si>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</si>
  <si>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</si>
  <si>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</si>
  <si>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</si>
  <si>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</si>
  <si>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</si>
  <si>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</si>
  <si>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</si>
  <si>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</si>
  <si>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</si>
  <si>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</si>
  <si>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</si>
  <si>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</si>
  <si>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</si>
  <si>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</si>
  <si>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</si>
  <si>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</si>
  <si>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</si>
  <si>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</si>
  <si>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</si>
  <si>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</si>
  <si>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</si>
  <si>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</si>
  <si>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</si>
  <si>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</si>
  <si>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</si>
  <si>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</si>
  <si>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</si>
  <si>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</si>
  <si>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</si>
  <si>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</si>
  <si>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</si>
  <si>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</si>
  <si>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</si>
  <si>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</si>
  <si>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</si>
  <si>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</si>
  <si>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</si>
  <si>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</si>
  <si>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</si>
  <si>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</si>
  <si>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</si>
  <si>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</si>
  <si>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</si>
  <si>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</si>
  <si>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</si>
  <si>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</si>
  <si>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</si>
  <si>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</si>
  <si>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</si>
  <si>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</si>
  <si>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</si>
  <si>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</si>
  <si>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</si>
  <si>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</si>
  <si>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</si>
  <si>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</si>
  <si>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</si>
  <si>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</si>
  <si>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</si>
  <si>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</si>
  <si>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</si>
  <si>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</si>
  <si>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</si>
  <si>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</si>
  <si>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</si>
  <si>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</si>
  <si>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</si>
  <si>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</si>
  <si>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</si>
  <si>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</si>
  <si>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</si>
  <si>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</si>
  <si>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</si>
  <si>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</si>
  <si>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</si>
  <si>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</si>
  <si>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</si>
  <si>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</si>
  <si>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</si>
  <si>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</si>
  <si>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</si>
  <si>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</si>
  <si>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</si>
  <si>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</si>
  <si>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</si>
  <si>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</si>
  <si>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</si>
  <si>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</si>
  <si>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</si>
  <si>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</si>
  <si>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</si>
  <si>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</si>
  <si>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</si>
  <si>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</si>
  <si>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</si>
  <si>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</si>
  <si>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</si>
  <si>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</si>
  <si>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</si>
  <si>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</si>
  <si>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</si>
  <si>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</si>
  <si>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</si>
  <si>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</si>
  <si>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</si>
  <si>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</si>
  <si>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</si>
  <si>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</si>
  <si>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</si>
  <si>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</si>
  <si>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</si>
  <si>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</si>
  <si>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</si>
  <si>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</si>
  <si>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</si>
  <si>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</si>
  <si>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</si>
  <si>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</si>
  <si>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</si>
  <si>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</si>
  <si>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</si>
  <si>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</si>
  <si>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</si>
  <si>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</si>
  <si>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</si>
  <si>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</si>
  <si>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</si>
  <si>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</si>
  <si>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</si>
  <si>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</si>
  <si>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</si>
  <si>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</si>
  <si>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</si>
  <si>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</si>
  <si>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</si>
  <si>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</si>
  <si>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</si>
  <si>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</si>
  <si>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</si>
  <si>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</si>
  <si>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</si>
  <si>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</si>
  <si>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</si>
  <si>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</si>
  <si>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</si>
  <si>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</si>
  <si>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</si>
  <si>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</si>
  <si>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</si>
  <si>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</si>
  <si>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</si>
  <si>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</si>
  <si>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</si>
  <si>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</si>
  <si>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</si>
  <si>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</si>
  <si>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</si>
  <si>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</si>
  <si>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</si>
  <si>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</si>
  <si>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</si>
  <si>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</si>
  <si>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</si>
  <si>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</si>
  <si>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</si>
  <si>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</si>
  <si>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</si>
  <si>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</si>
  <si>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</si>
  <si>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</si>
  <si>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</si>
  <si>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</si>
  <si>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</si>
  <si>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</si>
  <si>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</si>
  <si>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</si>
  <si>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</si>
  <si>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</si>
  <si>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</si>
  <si>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</si>
  <si>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</si>
  <si>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</si>
  <si>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</si>
  <si>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</si>
  <si>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</si>
  <si>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</si>
  <si>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</si>
  <si>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</si>
  <si>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</si>
  <si>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</si>
  <si>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</si>
  <si>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</si>
  <si>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</si>
  <si>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</si>
  <si>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</si>
  <si>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</si>
  <si>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</si>
  <si>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</si>
  <si>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</si>
  <si>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</si>
  <si>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</si>
  <si>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</si>
  <si>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</si>
  <si>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</si>
  <si>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</si>
  <si>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</si>
  <si>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</si>
  <si>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</si>
  <si>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</si>
  <si>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</si>
  <si>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</si>
  <si>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</si>
  <si>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</si>
  <si>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</si>
  <si>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</si>
  <si>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</si>
  <si>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</si>
  <si>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</si>
  <si>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</si>
  <si>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</si>
  <si>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</si>
  <si>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</si>
  <si>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</si>
  <si>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</si>
  <si>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</si>
  <si>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</si>
  <si>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</si>
  <si>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</si>
  <si>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</si>
  <si>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</si>
  <si>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</si>
  <si>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</si>
  <si>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</si>
  <si>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</si>
  <si>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</si>
  <si>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</si>
  <si>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</si>
  <si>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</si>
  <si>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</si>
  <si>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</si>
  <si>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</si>
  <si>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</si>
  <si>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</si>
  <si>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</si>
  <si>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</si>
  <si>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</si>
  <si>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</si>
  <si>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</si>
  <si>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</si>
  <si>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</si>
  <si>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</si>
  <si>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</si>
  <si>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</si>
  <si>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</si>
  <si>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</si>
  <si>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</si>
  <si>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</si>
  <si>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</si>
  <si>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</si>
  <si>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</si>
  <si>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</si>
  <si>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</si>
  <si>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</si>
  <si>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</si>
  <si>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</si>
  <si>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</si>
  <si>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</si>
  <si>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</si>
  <si>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</si>
  <si>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</si>
  <si>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</si>
  <si>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</si>
  <si>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</si>
  <si>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</si>
  <si>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</si>
  <si>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</si>
  <si>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</si>
  <si>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</si>
  <si>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</si>
  <si>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</si>
  <si>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</si>
  <si>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</si>
  <si>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</si>
  <si>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</si>
  <si>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</si>
  <si>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</si>
  <si>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</si>
  <si>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</si>
  <si>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</si>
  <si>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</si>
  <si>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</si>
  <si>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</si>
  <si>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</si>
  <si>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</si>
  <si>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</si>
  <si>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</si>
  <si>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</si>
  <si>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</si>
  <si>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</si>
  <si>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</si>
  <si>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</si>
  <si>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</si>
  <si>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</si>
  <si>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</si>
  <si>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</si>
  <si>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</si>
  <si>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</si>
  <si>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</si>
  <si>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</si>
  <si>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</si>
  <si>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</si>
  <si>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</si>
  <si>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</si>
  <si>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</si>
  <si>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</si>
  <si>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</si>
  <si>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</si>
  <si>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</si>
  <si>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</si>
  <si>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</si>
  <si>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</si>
  <si>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</si>
  <si>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</si>
  <si>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</si>
  <si>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</si>
  <si>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</si>
  <si>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</si>
  <si>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</si>
  <si>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</si>
  <si>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</si>
  <si>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</si>
  <si>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</si>
  <si>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</si>
  <si>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</si>
  <si>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</si>
  <si>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</si>
  <si>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</si>
  <si>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</si>
  <si>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</si>
  <si>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</si>
  <si>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</si>
  <si>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</si>
  <si>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</si>
  <si>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</si>
  <si>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</si>
  <si>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</si>
  <si>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</si>
  <si>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</si>
  <si>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</si>
  <si>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</si>
  <si>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</si>
  <si>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</si>
  <si>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</si>
  <si>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</si>
  <si>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</si>
  <si>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</si>
  <si>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</si>
  <si>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</si>
  <si>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</si>
  <si>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</si>
  <si>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</si>
  <si>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</si>
  <si>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</si>
  <si>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</si>
  <si>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</si>
  <si>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</si>
  <si>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</si>
  <si>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</si>
  <si>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</si>
  <si>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</si>
  <si>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</si>
  <si>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</si>
  <si>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</si>
  <si>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</si>
  <si>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</si>
  <si>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</si>
  <si>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</si>
  <si>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</si>
  <si>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</si>
  <si>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</si>
  <si>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</si>
  <si>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</si>
  <si>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</si>
  <si>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</si>
  <si>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</si>
  <si>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</si>
  <si>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</si>
  <si>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</si>
  <si>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</si>
  <si>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</si>
  <si>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</si>
  <si>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</si>
  <si>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</si>
  <si>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</si>
  <si>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</si>
  <si>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</si>
  <si>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</si>
  <si>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</si>
  <si>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</si>
  <si>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</si>
  <si>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</si>
  <si>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</si>
  <si>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</si>
  <si>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</si>
  <si>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</si>
  <si>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</si>
  <si>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</si>
  <si>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</si>
  <si>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</si>
  <si>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</si>
  <si>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</si>
  <si>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</si>
  <si>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</si>
  <si>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</si>
  <si>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</si>
  <si>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</si>
  <si>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</si>
  <si>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</si>
  <si>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</si>
  <si>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</si>
  <si>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</si>
  <si>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</si>
  <si>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</si>
  <si>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</si>
  <si>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</si>
  <si>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</si>
  <si>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</si>
  <si>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</si>
  <si>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</si>
  <si>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</si>
  <si>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</si>
  <si>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</si>
  <si>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</si>
  <si>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</si>
  <si>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</si>
  <si>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</si>
  <si>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</si>
  <si>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</si>
  <si>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</si>
  <si>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</si>
  <si>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</si>
  <si>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</si>
  <si>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</si>
  <si>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</si>
  <si>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</si>
  <si>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</si>
  <si>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</si>
  <si>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</si>
  <si>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</si>
  <si>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</si>
  <si>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</si>
  <si>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</si>
  <si>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</si>
  <si>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</si>
  <si>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</si>
  <si>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</si>
  <si>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</si>
  <si>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</si>
  <si>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</si>
  <si>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</si>
  <si>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</si>
  <si>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</si>
  <si>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</si>
  <si>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</si>
  <si>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</si>
  <si>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</si>
  <si>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</si>
  <si>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</si>
  <si>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</si>
  <si>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</si>
  <si>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</si>
  <si>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</si>
  <si>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</si>
  <si>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</si>
  <si>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</si>
  <si>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</si>
  <si>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</si>
  <si>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</si>
  <si>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</si>
  <si>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</si>
  <si>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</si>
  <si>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</si>
  <si>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</si>
  <si>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</si>
  <si>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</si>
  <si>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</si>
  <si>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</si>
  <si>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</si>
  <si>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</si>
  <si>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</si>
  <si>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</si>
  <si>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</si>
  <si>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</si>
  <si>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</si>
  <si>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</si>
  <si>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</si>
  <si>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</si>
  <si>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</si>
  <si>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</si>
  <si>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</si>
  <si>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</si>
  <si>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</si>
  <si>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</si>
  <si>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</si>
  <si>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</si>
  <si>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</si>
  <si>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</si>
  <si>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</si>
  <si>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</si>
  <si>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</si>
  <si>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</si>
  <si>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</si>
  <si>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</si>
  <si>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</si>
  <si>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</si>
  <si>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</si>
  <si>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</si>
  <si>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</si>
  <si>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</si>
  <si>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</si>
  <si>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</si>
  <si>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</si>
  <si>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</si>
  <si>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</si>
  <si>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</si>
  <si>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</si>
  <si>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</si>
  <si>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</si>
  <si>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</si>
  <si>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</si>
  <si>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</si>
  <si>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</si>
  <si>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</si>
  <si>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</si>
  <si>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</si>
  <si>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</si>
  <si>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</si>
  <si>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</si>
  <si>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</si>
  <si>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</si>
  <si>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</si>
  <si>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</si>
  <si>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</si>
  <si>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</si>
  <si>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</si>
  <si>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</si>
  <si>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</si>
  <si>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</si>
  <si>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</si>
  <si>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</si>
  <si>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</si>
  <si>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</si>
  <si>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</si>
  <si>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</si>
  <si>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</si>
  <si>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</si>
  <si>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</si>
  <si>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</si>
  <si>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</si>
  <si>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</si>
  <si>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</si>
  <si>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</si>
  <si>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</si>
  <si>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</si>
  <si>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</si>
  <si>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</si>
  <si>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</si>
  <si>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</si>
  <si>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</si>
  <si>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</si>
  <si>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</si>
  <si>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</si>
  <si>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</si>
  <si>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</si>
  <si>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</si>
  <si>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</si>
  <si>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</si>
  <si>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</si>
  <si>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</si>
  <si>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</si>
  <si>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</si>
  <si>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</si>
  <si>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</si>
  <si>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</si>
  <si>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</si>
  <si>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</si>
  <si>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</si>
  <si>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</si>
  <si>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</si>
  <si>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</si>
  <si>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</si>
  <si>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</si>
  <si>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</si>
  <si>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</si>
  <si>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</si>
  <si>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</si>
  <si>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</si>
  <si>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</si>
  <si>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</si>
  <si>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</si>
  <si>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</si>
  <si>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</si>
  <si>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</si>
  <si>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</si>
  <si>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</si>
  <si>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</si>
  <si>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</si>
  <si>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</si>
  <si>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</si>
  <si>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</si>
  <si>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</si>
  <si>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</si>
  <si>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</si>
  <si>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</si>
  <si>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</si>
  <si>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</si>
  <si>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</si>
  <si>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</si>
  <si>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</si>
  <si>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</si>
  <si>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</si>
  <si>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</si>
  <si>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</si>
  <si>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</si>
  <si>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</si>
  <si>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</si>
  <si>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</si>
  <si>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</si>
  <si>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</si>
  <si>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</si>
  <si>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</si>
  <si>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</si>
  <si>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</si>
  <si>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</si>
  <si>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</si>
  <si>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</si>
  <si>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</si>
  <si>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</si>
  <si>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</si>
  <si>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</si>
  <si>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</si>
  <si>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</si>
  <si>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</si>
  <si>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</si>
  <si>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</si>
  <si>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</si>
  <si>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</si>
  <si>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</si>
  <si>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</si>
  <si>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</si>
  <si>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</si>
  <si>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</si>
  <si>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</si>
  <si>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</si>
  <si>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</si>
  <si>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</si>
  <si>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</si>
  <si>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</si>
  <si>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</si>
  <si>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</si>
  <si>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</si>
  <si>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</si>
  <si>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</si>
  <si>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</si>
  <si>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</si>
  <si>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</si>
  <si>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</si>
  <si>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</si>
  <si>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</si>
  <si>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</si>
  <si>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</si>
  <si>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</si>
  <si>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</si>
  <si>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</si>
  <si>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</si>
  <si>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</si>
  <si>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</si>
  <si>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</si>
  <si>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</si>
  <si>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</si>
  <si>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</si>
  <si>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</si>
  <si>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</si>
  <si>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</si>
  <si>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</si>
  <si>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</si>
  <si>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</si>
  <si>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</si>
  <si>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</si>
  <si>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</si>
  <si>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</si>
  <si>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</si>
  <si>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</si>
  <si>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</si>
  <si>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</si>
  <si>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</si>
  <si>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</si>
  <si>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</si>
  <si>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</si>
  <si>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</si>
  <si>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</si>
  <si>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</si>
  <si>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</si>
  <si>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</si>
  <si>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</si>
  <si>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</si>
  <si>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</si>
  <si>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</si>
  <si>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</si>
  <si>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</si>
  <si>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</si>
  <si>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</si>
  <si>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</si>
  <si>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</si>
  <si>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</si>
  <si>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</si>
  <si>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</si>
  <si>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</si>
  <si>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</si>
  <si>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</si>
  <si>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</si>
  <si>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</si>
  <si>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</si>
  <si>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</si>
  <si>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</si>
  <si>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</si>
  <si>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</si>
  <si>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</si>
  <si>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</si>
  <si>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</si>
  <si>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</si>
  <si>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</si>
  <si>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</si>
  <si>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</si>
  <si>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</si>
  <si>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</si>
  <si>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</si>
  <si>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</si>
  <si>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</si>
  <si>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</si>
  <si>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</si>
  <si>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</si>
  <si>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</si>
  <si>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</si>
  <si>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</si>
  <si>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</si>
  <si>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</si>
  <si>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</si>
  <si>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</si>
  <si>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</si>
  <si>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</si>
  <si>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</si>
  <si>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</si>
  <si>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</si>
  <si>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</si>
  <si>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</si>
  <si>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</si>
  <si>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</si>
  <si>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</si>
  <si>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</si>
  <si>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</si>
  <si>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</si>
  <si>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</si>
  <si>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</si>
  <si>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</si>
  <si>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</si>
  <si>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</si>
  <si>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</si>
  <si>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</si>
  <si>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</si>
  <si>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</si>
  <si>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</si>
  <si>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</si>
  <si>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</si>
  <si>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</si>
  <si>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</si>
  <si>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</si>
  <si>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</si>
  <si>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</si>
  <si>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</si>
  <si>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</si>
  <si>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</si>
  <si>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</si>
  <si>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</si>
  <si>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</si>
  <si>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</si>
  <si>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</si>
  <si>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</si>
  <si>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</si>
  <si>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</si>
  <si>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</si>
  <si>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</si>
  <si>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</si>
  <si>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</si>
  <si>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</si>
  <si>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</si>
  <si>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</si>
  <si>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</si>
  <si>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</si>
  <si>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</si>
  <si>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</si>
  <si>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</si>
  <si>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</si>
  <si>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</si>
  <si>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</si>
  <si>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</si>
  <si>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</si>
  <si>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</si>
  <si>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</si>
  <si>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</si>
  <si>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</si>
  <si>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</si>
  <si>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</si>
  <si>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</si>
  <si>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</si>
  <si>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</si>
  <si>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</si>
  <si>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</si>
  <si>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</si>
  <si>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</si>
  <si>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</si>
  <si>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</si>
  <si>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</si>
  <si>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</si>
  <si>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</si>
  <si>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</si>
  <si>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</si>
  <si>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</si>
  <si>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</si>
  <si>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</si>
  <si>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</si>
  <si>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</si>
  <si>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</si>
  <si>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</si>
  <si>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</si>
  <si>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</si>
  <si>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</si>
  <si>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</si>
  <si>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</si>
  <si>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</si>
  <si>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</si>
  <si>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</si>
  <si>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</si>
  <si>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</si>
  <si>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</si>
  <si>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</si>
  <si>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</si>
  <si>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</si>
  <si>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</si>
  <si>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</si>
  <si>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</si>
  <si>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</si>
  <si>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</si>
  <si>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</si>
  <si>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</si>
  <si>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</si>
  <si>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</si>
  <si>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</si>
  <si>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</si>
  <si>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</si>
  <si>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</si>
  <si>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</si>
  <si>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</si>
  <si>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</si>
  <si>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</si>
  <si>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</si>
  <si>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</si>
  <si>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</si>
  <si>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</si>
  <si>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</si>
  <si>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</si>
  <si>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</si>
  <si>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</si>
  <si>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</si>
  <si>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</si>
  <si>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</si>
  <si>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</si>
  <si>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</si>
  <si>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</si>
  <si>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</si>
  <si>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</si>
  <si>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</si>
  <si>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</si>
  <si>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</si>
  <si>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</si>
  <si>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</si>
  <si>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</si>
  <si>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</si>
  <si>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</si>
  <si>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</si>
  <si>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</si>
  <si>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</si>
  <si>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</si>
  <si>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</si>
  <si>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</si>
  <si>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</si>
  <si>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</si>
  <si>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</si>
  <si>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</si>
  <si>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</si>
  <si>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</si>
  <si>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</si>
  <si>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</si>
  <si>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</si>
  <si>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</si>
  <si>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</si>
  <si>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</si>
  <si>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</si>
  <si>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</si>
  <si>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</si>
  <si>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</si>
  <si>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</si>
  <si>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</si>
  <si>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</si>
  <si>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</si>
  <si>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</si>
  <si>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</si>
  <si>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</si>
  <si>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</si>
  <si>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</si>
  <si>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</si>
  <si>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</si>
  <si>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</si>
  <si>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</si>
  <si>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</si>
  <si>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</si>
  <si>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</si>
  <si>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</si>
  <si>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</si>
  <si>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</si>
  <si>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</si>
  <si>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</si>
  <si>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</si>
  <si>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</si>
  <si>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</si>
  <si>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</si>
  <si>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</si>
  <si>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</si>
  <si>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</si>
  <si>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</si>
  <si>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</si>
  <si>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</si>
  <si>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</si>
  <si>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</si>
  <si>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</si>
  <si>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</si>
  <si>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</si>
  <si>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</si>
  <si>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</si>
  <si>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</si>
  <si>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</si>
  <si>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</si>
  <si>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</si>
  <si>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</si>
  <si>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</si>
  <si>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</si>
  <si>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</si>
  <si>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</si>
  <si>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</si>
  <si>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</si>
  <si>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</si>
  <si>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</si>
  <si>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</si>
  <si>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</si>
  <si>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</si>
  <si>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</si>
  <si>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</si>
  <si>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</si>
  <si>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</si>
  <si>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</si>
  <si>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</si>
  <si>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</si>
  <si>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</si>
  <si>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</si>
  <si>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</si>
  <si>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</si>
  <si>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</si>
  <si>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</si>
  <si>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</si>
  <si>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</si>
  <si>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</si>
  <si>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</si>
  <si>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</si>
  <si>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</si>
  <si>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</si>
  <si>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</si>
  <si>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</si>
  <si>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</si>
  <si>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</si>
  <si>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</si>
  <si>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</si>
  <si>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</si>
  <si>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</si>
  <si>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</si>
  <si>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</si>
  <si>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</si>
  <si>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</si>
  <si>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</si>
  <si>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</si>
  <si>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</si>
  <si>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</si>
  <si>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</si>
  <si>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</si>
  <si>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</si>
  <si>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</si>
  <si>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</si>
  <si>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</si>
  <si>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</si>
  <si>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</si>
  <si>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</si>
  <si>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</si>
  <si>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</si>
  <si>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</si>
  <si>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</si>
  <si>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</si>
  <si>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</si>
  <si>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</si>
  <si>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</si>
  <si>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</si>
  <si>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</si>
  <si>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</si>
  <si>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</si>
  <si>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</si>
  <si>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</si>
  <si>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</si>
  <si>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</si>
  <si>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</si>
  <si>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</si>
  <si>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</si>
  <si>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</si>
  <si>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</si>
  <si>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</si>
  <si>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</si>
  <si>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</si>
  <si>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</si>
  <si>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</si>
  <si>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</si>
  <si>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</si>
  <si>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</si>
  <si>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</si>
  <si>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</si>
  <si>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</si>
  <si>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</si>
  <si>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</si>
  <si>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</si>
  <si>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</si>
  <si>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</si>
  <si>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</si>
  <si>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</si>
  <si>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</si>
  <si>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</si>
  <si>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</si>
  <si>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</si>
  <si>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</si>
  <si>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</si>
  <si>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</si>
  <si>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</si>
  <si>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</si>
  <si>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</si>
  <si>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</si>
  <si>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</si>
  <si>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</si>
  <si>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</si>
  <si>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</si>
  <si>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</si>
  <si>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</si>
  <si>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</si>
  <si>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</si>
  <si>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</si>
  <si>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</si>
  <si>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</si>
  <si>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</si>
  <si>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</si>
  <si>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</si>
  <si>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</si>
  <si>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</si>
  <si>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</si>
  <si>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</si>
  <si>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</si>
  <si>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</si>
  <si>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</si>
  <si>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</si>
  <si>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</si>
  <si>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</si>
  <si>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</si>
  <si>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</si>
  <si>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</si>
  <si>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</si>
  <si>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</si>
  <si>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</si>
  <si>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</si>
  <si>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</si>
  <si>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</si>
  <si>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</si>
  <si>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</si>
  <si>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</si>
  <si>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</si>
  <si>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</si>
  <si>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</si>
  <si>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</si>
  <si>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</si>
  <si>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</si>
  <si>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</si>
  <si>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</si>
  <si>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</si>
  <si>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</si>
  <si>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</si>
  <si>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</si>
  <si>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</si>
  <si>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</si>
  <si>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</si>
  <si>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</si>
  <si>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</si>
  <si>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</si>
  <si>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</si>
  <si>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</si>
  <si>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</si>
  <si>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</si>
  <si>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</si>
  <si>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</si>
  <si>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</si>
  <si>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</si>
  <si>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</si>
  <si>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</si>
  <si>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</si>
  <si>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</si>
  <si>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</si>
  <si>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</si>
  <si>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</si>
  <si>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</si>
  <si>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</si>
  <si>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</si>
  <si>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</si>
  <si>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</si>
  <si>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</si>
  <si>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</si>
  <si>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</si>
  <si>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</si>
  <si>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</si>
  <si>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</si>
  <si>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</si>
  <si>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</si>
  <si>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</si>
  <si>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</si>
  <si>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</si>
  <si>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</si>
  <si>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</si>
  <si>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</si>
  <si>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</si>
  <si>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</si>
  <si>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</si>
  <si>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</si>
  <si>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</si>
  <si>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</si>
  <si>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</si>
  <si>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</si>
  <si>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</si>
  <si>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</si>
  <si>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</si>
  <si>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</si>
  <si>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</si>
  <si>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</si>
  <si>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</si>
  <si>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</si>
  <si>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</si>
  <si>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</si>
  <si>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</si>
  <si>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</si>
  <si>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</si>
  <si>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</si>
  <si>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</si>
  <si>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</si>
  <si>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</si>
  <si>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</si>
  <si>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</si>
  <si>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</si>
  <si>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</si>
  <si>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</si>
  <si>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</si>
  <si>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</si>
  <si>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</si>
  <si>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</si>
  <si>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</si>
  <si>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</si>
  <si>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</si>
  <si>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</si>
  <si>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</si>
  <si>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</si>
  <si>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</si>
  <si>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</si>
  <si>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</si>
  <si>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</si>
  <si>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</si>
  <si>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</si>
  <si>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</si>
  <si>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</si>
  <si>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</si>
  <si>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</si>
  <si>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</si>
  <si>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</si>
  <si>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</si>
  <si>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</si>
  <si>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</si>
  <si>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</si>
  <si>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</si>
  <si>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</si>
  <si>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</si>
  <si>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</si>
  <si>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</si>
  <si>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</si>
  <si>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</si>
  <si>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</si>
  <si>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</si>
  <si>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</si>
  <si>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</si>
  <si>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</si>
  <si>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</si>
  <si>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</si>
  <si>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</si>
  <si>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</si>
  <si>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</si>
  <si>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</si>
  <si>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</si>
  <si>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</si>
  <si>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</si>
  <si>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</si>
  <si>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</si>
  <si>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</si>
  <si>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</si>
  <si>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</si>
  <si>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</si>
  <si>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</si>
  <si>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</si>
  <si>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</si>
  <si>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</si>
  <si>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</si>
  <si>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</si>
  <si>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</si>
  <si>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</si>
  <si>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</si>
  <si>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</si>
  <si>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</si>
  <si>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</si>
  <si>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</si>
  <si>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</si>
  <si>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</si>
  <si>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</si>
  <si>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</si>
  <si>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</si>
  <si>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</si>
  <si>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</si>
  <si>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</si>
  <si>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</si>
  <si>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</si>
  <si>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</si>
  <si>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</si>
  <si>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</si>
  <si>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</si>
  <si>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</si>
  <si>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</si>
  <si>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</si>
  <si>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</si>
  <si>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</si>
  <si>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</si>
  <si>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</si>
  <si>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</si>
  <si>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</si>
  <si>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</si>
  <si>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</si>
  <si>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</si>
  <si>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Оленегорск</t>
  </si>
  <si>
    <t>47717000</t>
  </si>
  <si>
    <t>Город Полярные Зори</t>
  </si>
  <si>
    <t>47719000</t>
  </si>
  <si>
    <t>ЗАТО город Заозерск</t>
  </si>
  <si>
    <t>47733000</t>
  </si>
  <si>
    <t>ЗАТО город Островной</t>
  </si>
  <si>
    <t>47731000</t>
  </si>
  <si>
    <t>ЗАТО город Североморск</t>
  </si>
  <si>
    <t>47730000</t>
  </si>
  <si>
    <t>ЗАТО поселок Видяево</t>
  </si>
  <si>
    <t>47735000</t>
  </si>
  <si>
    <t>47608000</t>
  </si>
  <si>
    <t>Алакурттинское сельское поселение</t>
  </si>
  <si>
    <t>47608403</t>
  </si>
  <si>
    <t>сельское поселение</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</si>
  <si>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</si>
  <si>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</si>
  <si>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</si>
  <si>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</si>
  <si>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</si>
  <si>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</si>
  <si>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</si>
  <si>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</si>
  <si>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</si>
  <si>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</si>
  <si>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Ковдорский район</t>
  </si>
  <si>
    <t>47703000</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</si>
  <si>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</si>
  <si>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</si>
  <si>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</si>
  <si>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</si>
  <si>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</si>
  <si>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</si>
  <si>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</si>
  <si>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</si>
  <si>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</si>
  <si>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</si>
  <si>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</si>
  <si>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</si>
  <si>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</si>
  <si>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</si>
  <si>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</si>
  <si>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</si>
  <si>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</si>
  <si>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</si>
  <si>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</si>
  <si>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</si>
  <si>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</si>
  <si>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</si>
  <si>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</si>
  <si>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</si>
  <si>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</si>
  <si>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</si>
  <si>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</si>
  <si>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</si>
  <si>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</si>
  <si>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</si>
  <si>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</si>
  <si>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</si>
  <si>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47615000</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</si>
  <si>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</si>
  <si>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</si>
  <si>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</si>
  <si>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</si>
  <si>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</si>
  <si>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</si>
  <si>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</si>
  <si>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</si>
  <si>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</si>
  <si>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</si>
  <si>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</si>
  <si>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</si>
  <si>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</si>
  <si>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</si>
  <si>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</si>
  <si>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</si>
  <si>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</si>
  <si>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</si>
  <si>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</si>
  <si>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</si>
  <si>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NUMBER_POINT</t>
  </si>
  <si>
    <t>L_NAME</t>
  </si>
  <si>
    <t>L_START_DATE</t>
  </si>
  <si>
    <t>L_END_DATE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</si>
  <si>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</si>
  <si>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</si>
  <si>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</si>
  <si>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</si>
  <si>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</si>
  <si>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</si>
  <si>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</si>
  <si>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</si>
  <si>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</si>
  <si>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</si>
  <si>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</si>
  <si>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</si>
  <si>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</si>
  <si>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</si>
  <si>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</si>
  <si>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</si>
  <si>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</si>
  <si>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</si>
  <si>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</si>
  <si>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</si>
  <si>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</si>
  <si>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</si>
  <si>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</si>
  <si>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</si>
  <si>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</si>
  <si>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174 от 04.09.2019 АО "Мурманэнергосбыт" в сфере теплоснабжения по реконструкции и модернизации существующих объектов котельных, на территории городского округа Мурманск на 2020 год</t>
  </si>
  <si>
    <t>01.01.2020</t>
  </si>
  <si>
    <t>31.12.2020</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</si>
  <si>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</si>
  <si>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</si>
  <si>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</si>
  <si>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</si>
  <si>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</si>
  <si>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</si>
  <si>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</si>
  <si>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</si>
  <si>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</si>
  <si>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</si>
  <si>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</si>
  <si>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</si>
  <si>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200 от 25.10.2019 АО "Мурманэнергосбыт" в сфере теплоснабжения по строительству котельной, на территории городского округа ЗАТО Североморск на 2019-2020 годы</t>
  </si>
  <si>
    <t>25.10.2019</t>
  </si>
  <si>
    <t>Инвестиционная программа № 204 от 30.10.2019 АО "Мурманэнергосбыт" в сфере горячего водоснабжения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</si>
  <si>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204 от 30.10.2019 АО "Мурманэнергосбыт"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</si>
  <si>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</si>
  <si>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</si>
  <si>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</si>
  <si>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</si>
  <si>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</si>
  <si>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</si>
  <si>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</si>
  <si>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</si>
  <si>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</si>
  <si>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</si>
  <si>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238 от 30.10.2018 ПАО "Мурманская ТЭЦ" в сфере теплоснабжения по реконструкции и модернизации существующих объектов систем теплоснабжения на 2019-2023 годы</t>
  </si>
  <si>
    <t>01.01.2019</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</si>
  <si>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</si>
  <si>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</si>
  <si>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239 от 30.10.2018 МУП "ОТС" в сфере теплоснабжения по модернизации и реконструкции котельных и тепловых сетей, на территории городского округа Оленегорск на 2019-2023 годы</t>
  </si>
  <si>
    <t>31.01.2023</t>
  </si>
  <si>
    <t>Инвестиционная программа № 246 от 28.11.2017 Акционерное общество "Апатитыэнерго" в сфере теплоснабжения по модернизации тепловых сетей на 2018-2022 годы</t>
  </si>
  <si>
    <t>01.01.2018</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</si>
  <si>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</si>
  <si>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</si>
  <si>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</si>
  <si>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</si>
  <si>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</si>
  <si>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</si>
  <si>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</si>
  <si>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</si>
  <si>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</si>
  <si>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</si>
  <si>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</si>
  <si>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</si>
  <si>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26.12.2019 ООО «Тепло Людям. Умба» в сфере теплоснабжения по повышению надежности и энергетической эффективности котельных и тепловых сетей, на территории городского поселения Поселок Умба, Терский муниципальный район на 2020-2033 годы</t>
  </si>
  <si>
    <t>31.12.2033</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</si>
  <si>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</si>
  <si>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2019-2033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</si>
  <si>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территории городского поселения Поселок Умба, Терский муниципальный район на 2019-2033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</si>
  <si>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</si>
  <si>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</si>
  <si>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</si>
  <si>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Территория 2</t>
  </si>
  <si>
    <t>Территория 3</t>
  </si>
  <si>
    <t>Территория 4</t>
  </si>
  <si>
    <t>Территория 5</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</si>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</sst>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752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0" fillId="39"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0" fillId="34" borderId="12" xfId="0" applyFont="1" applyFill="1" applyBorder="1" applyNumberFormat="1">
      <alignment horizontal="left" vertical="center" wrapText="1"/>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19" fillId="0" borderId="0" xfId="0" applyFont="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37" fillId="0" borderId="0" xfId="0" applyFont="1" applyNumberFormat="1">
      <alignment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1"/>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19" fillId="34" borderId="12" xfId="0" applyFont="1" applyFill="1" applyBorder="1" applyNumberFormat="1">
      <alignment horizontal="left" vertical="center" wrapText="1" indent="3"/>
    </xf>
    <xf numFmtId="49" fontId="0" fillId="0" borderId="0" xfId="0" applyFont="1" applyNumberFormat="1">
      <alignment vertical="top"/>
    </xf>
    <xf numFmtId="0" fontId="36" fillId="0" borderId="12" xfId="0" applyFont="1" applyBorder="1" applyNumberFormat="1">
      <alignment horizontal="center" vertical="center" wrapText="1"/>
    </xf>
    <xf numFmtId="49" fontId="36" fillId="0" borderId="0" xfId="0" applyFont="1" applyNumberFormat="1">
      <alignment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0" fillId="0" borderId="0" xfId="0" applyFont="1" applyNumberFormat="1">
      <alignment vertical="top"/>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top"/>
    </xf>
    <xf numFmtId="49" fontId="28" fillId="0" borderId="0" xfId="0" applyFont="1" applyNumberFormat="1">
      <alignment vertical="top"/>
    </xf>
    <xf numFmtId="49" fontId="19" fillId="0" borderId="24" xfId="0" applyFont="1" applyBorder="1" applyNumberFormat="1">
      <alignment vertical="top"/>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3" xfId="0" applyFont="1" applyBorder="1" applyNumberFormat="1">
      <alignment horizontal="center" vertical="center" wrapText="1"/>
    </xf>
    <xf numFmtId="0" fontId="53"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0" fontId="53" fillId="0" borderId="0" xfId="0" applyFont="1" applyNumberFormat="1">
      <alignment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19" fillId="0" borderId="0" xfId="0" applyFont="1" applyNumberFormat="1">
      <alignment vertical="center" wrapText="1"/>
    </xf>
    <xf numFmtId="0" fontId="19" fillId="0" borderId="12"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49" fontId="37" fillId="0" borderId="0" xfId="0" applyFont="1" applyNumberFormat="1">
      <alignment horizontal="left" vertical="center" indent="1"/>
    </xf>
    <xf numFmtId="0" fontId="19" fillId="0" borderId="0" xfId="0" applyFont="1" applyNumberFormat="1">
      <alignment horizontal="left" vertical="top"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0" fontId="0" fillId="33" borderId="12" xfId="0" applyFont="1" applyFill="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62" fillId="0" borderId="0" xfId="0" applyFont="1" applyNumberFormat="1">
      <alignment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 fontId="0" fillId="38" borderId="12" xfId="0" applyFont="1" applyFill="1" applyBorder="1" applyNumberFormat="1">
      <alignment horizontal="right" vertical="center" wrapText="1"/>
      <protection locked="0"/>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19" fillId="39" borderId="12" xfId="0" applyFont="1" applyFill="1" applyBorder="1" applyNumberFormat="1">
      <alignment horizontal="left" vertical="top" wrapText="1"/>
    </xf>
    <xf numFmtId="49" fontId="0" fillId="38"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npa.gov-murman.ru/bitrix/components/b1team/govmurman.element.file/download.php?ID=508451&amp;FID=750724" TargetMode="External"/><Relationship Id="rId5" Type="http://schemas.openxmlformats.org/officeDocument/2006/relationships/hyperlink" Target="mailto:luhaninaov@mur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mures.ru" TargetMode="External"/><Relationship Id="rId3" Type="http://schemas.openxmlformats.org/officeDocument/2006/relationships/hyperlink" Target="https://portal.eias.ru/Portal/DownloadPage.aspx?type=12&amp;guid=8447d47f-1d8d-40e5-8d4b-0e6ffd0ec6fc" TargetMode="External"/><Relationship Id="rId4" Type="http://schemas.openxmlformats.org/officeDocument/2006/relationships/hyperlink" Target="https://portal.eias.ru/Portal/DownloadPage.aspx?type=12&amp;guid=013560a3-7bef-4eee-83d3-968cf080ed07" TargetMode="External"/><Relationship Id="rId5" Type="http://schemas.openxmlformats.org/officeDocument/2006/relationships/hyperlink" Target="https://portal.eias.ru/Portal/DownloadPage.aspx?type=12&amp;guid=b17cdf5f-1aa5-4f59-8ff5-39f1b52db66e" TargetMode="External"/><Relationship Id="rId6" Type="http://schemas.openxmlformats.org/officeDocument/2006/relationships/hyperlink" Target="https://portal.eias.ru/Portal/DownloadPage.aspx?type=12&amp;guid=b17cdf5f-1aa5-4f59-8ff5-39f1b52db66e" TargetMode="External"/><Relationship Id="rId7" Type="http://schemas.openxmlformats.org/officeDocument/2006/relationships/hyperlink" Target="https://portal.eias.ru/Portal/DownloadPage.aspx?type=12&amp;guid=b17cdf5f-1aa5-4f59-8ff5-39f1b52db66e" TargetMode="External"/><Relationship Id="rId8" Type="http://schemas.openxmlformats.org/officeDocument/2006/relationships/hyperlink" Target="https://portal.eias.ru/Portal/DownloadPage.aspx?type=12&amp;guid=b17cdf5f-1aa5-4f59-8ff5-39f1b52db66e" TargetMode="External"/><Relationship Id="rId9" Type="http://schemas.openxmlformats.org/officeDocument/2006/relationships/hyperlink" Target="https://portal.eias.ru/Portal/DownloadPage.aspx?type=12&amp;guid=b17cdf5f-1aa5-4f59-8ff5-39f1b52db66e" TargetMode="External"/><Relationship Id="rId10" Type="http://schemas.openxmlformats.org/officeDocument/2006/relationships/hyperlink" Target="https://portal.eias.ru/Portal/DownloadPage.aspx?type=12&amp;guid=b17cdf5f-1aa5-4f59-8ff5-39f1b52db66e" TargetMode="External"/><Relationship Id="rId11" Type="http://schemas.openxmlformats.org/officeDocument/2006/relationships/hyperlink" Target="https://portal.eias.ru/Portal/DownloadPage.aspx?type=12&amp;guid=b17cdf5f-1aa5-4f59-8ff5-39f1b52db66e" TargetMode="External"/><Relationship Id="rId12" Type="http://schemas.openxmlformats.org/officeDocument/2006/relationships/hyperlink" Target="https://portal.eias.ru/Portal/DownloadPage.aspx?type=12&amp;guid=b17cdf5f-1aa5-4f59-8ff5-39f1b52db66e" TargetMode="External"/><Relationship Id="rId13" Type="http://schemas.openxmlformats.org/officeDocument/2006/relationships/hyperlink" Target="https://portal.eias.ru/Portal/DownloadPage.aspx?type=12&amp;guid=b17cdf5f-1aa5-4f59-8ff5-39f1b52db66e" TargetMode="External"/><Relationship Id="rId14" Type="http://schemas.openxmlformats.org/officeDocument/2006/relationships/hyperlink" Target="https://portal.eias.ru/Portal/DownloadPage.aspx?type=12&amp;guid=b17cdf5f-1aa5-4f59-8ff5-39f1b52db66e"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01593-31EF-DCFD-2AFF-D1A57D4E708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0F2D35C-ACF1-E786-0D5C-E67266993069}" mc:Ignorable="x14ac xr xr2 xr3">
  <sheetPr>
    <tabColor rgb="FFCCCCFF"/>
  </sheetPr>
  <dimension ref="A1:P78"/>
  <sheetViews>
    <sheetView topLeftCell="A1" showGridLines="0" zoomScale="90" workbookViewId="0">
      <selection activeCell="F73" sqref="F73"/>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v>
      </c>
      <c r="G11" s="62"/>
      <c r="H11" s="779" t="s">
        <v>18</v>
      </c>
      <c r="J11" s="882" t="s">
        <v>19</v>
      </c>
    </row>
    <row customHeight="1" ht="22.5">
      <c r="A12" s="1952"/>
      <c r="D12" s="60"/>
      <c r="E12" s="1173" t="s">
        <v>20</v>
      </c>
      <c r="F12" s="2549">
        <v>47118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45280</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5"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5" t="s">
        <v>52</v>
      </c>
      <c r="G36" s="62"/>
    </row>
    <row customHeight="1" ht="19.5">
      <c r="A37" s="885"/>
      <c r="D37" s="64"/>
      <c r="E37" s="397" t="s">
        <v>53</v>
      </c>
      <c r="F37" s="2575"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63</v>
      </c>
      <c r="F53" s="1055" t="s">
        <v>56</v>
      </c>
      <c r="G53" s="538"/>
      <c r="I53" s="540"/>
      <c r="J53" s="884"/>
      <c r="P53" s="541"/>
    </row>
    <row s="2584"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66</v>
      </c>
      <c r="F58" s="1055" t="s">
        <v>61</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602"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089BDB4-FA9D-2D62-63A9-C604896579AC}"/>
    <hyperlink ref="H17" location="Титульный!H9" display="Как заполнить?" tooltip="Помощь по работе с полями отчётной формы" xr:uid="{BF3B9936-6BE6-989F-4E1B-41BC9A091183}"/>
    <hyperlink ref="F24" r:id="rId4" xr:uid="{5445ABC5-67FB-FC1D-47E7-DB58AB78A862}"/>
    <hyperlink ref="H39" location="Титульный!H9" display="Как заполнить?" tooltip="Помощь по работе с полями отчётной формы" xr:uid="{E97F9424-C608-8C5E-0B0E-08F5BE74410D}"/>
    <hyperlink ref="H62" location="Титульный!H9" display="Как заполнить?" tooltip="Помощь по работе с полями отчётной формы" xr:uid="{B196187F-3779-C1D4-E982-1C2108FCD833}"/>
    <hyperlink ref="F70" r:id="rId5" xr:uid="{7EA9F05B-55F7-C1E3-E35B-3F637689041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2E629-7AC9-531B-E8BB-05D8D2349F02}" mc:Ignorable="x14ac xr xr2 xr3">
  <sheetPr>
    <tabColor rgb="FFCCCCFF"/>
    <pageSetUpPr fitToPage="1"/>
  </sheetPr>
  <dimension ref="A1:AB40"/>
  <sheetViews>
    <sheetView topLeftCell="A1" showGridLines="0" zoomScale="90" workbookViewId="0">
      <selection activeCell="G24" sqref="G24"/>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96" width="3.7109375" customWidth="1"/>
    <col min="5" max="5" style="2698" width="6.28125" customWidth="1"/>
    <col min="6" max="6" style="2624" width="2.7109375" hidden="1" customWidth="1"/>
    <col min="7" max="7" style="2698" width="46.7109375" customWidth="1"/>
    <col min="8" max="8" style="2698" width="43.140625" customWidth="1"/>
    <col min="9" max="9" style="269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98" width="9.140625" hidden="1"/>
    <col min="28" max="28" style="2698" width="9.140625"/>
  </cols>
  <sheetData>
    <row s="2610"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3"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7"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город-герой Мурманск(47701000)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2" t="s">
        <v>102</v>
      </c>
      <c r="B15" s="1168"/>
      <c r="C15" s="807" t="s">
        <v>103</v>
      </c>
      <c r="D15" s="1859"/>
      <c r="E15" s="1846" t="str">
        <f>A15</f>
        <v>2</v>
      </c>
      <c r="F15" s="810" t="s">
        <v>104</v>
      </c>
      <c r="G15" s="546" t="str">
        <f>"Территория "&amp;E15</f>
        <v>Территория 2</v>
      </c>
      <c r="H15" s="798"/>
      <c r="I15" s="798"/>
      <c r="J15" s="795"/>
      <c r="K15" s="1664"/>
      <c r="L15" s="1664"/>
      <c r="M15" s="1664"/>
      <c r="N15" s="212"/>
      <c r="O15" s="1664"/>
      <c r="P15" s="211"/>
      <c r="Q15" s="211"/>
      <c r="R15" s="211"/>
      <c r="S15" s="211"/>
      <c r="T15" s="2688"/>
      <c r="U15" s="2688"/>
      <c r="V15" s="2688"/>
      <c r="W15" s="2688"/>
      <c r="X15" s="2688"/>
      <c r="Y15" s="2688"/>
      <c r="Z15" s="2688"/>
      <c r="AA15" s="2688"/>
      <c r="AB15" s="2688"/>
    </row>
    <row customHeight="1" ht="15">
      <c r="A16" s="2082"/>
      <c r="B16" s="1168">
        <v>1</v>
      </c>
      <c r="C16" s="1168"/>
      <c r="D16" s="806"/>
      <c r="E16" s="1854" t="str">
        <f>A15&amp;"."&amp;B16</f>
        <v>2.1</v>
      </c>
      <c r="F16" s="809" t="s">
        <v>91</v>
      </c>
      <c r="G16" s="799" t="s">
        <v>105</v>
      </c>
      <c r="H16" s="799" t="s">
        <v>105</v>
      </c>
      <c r="I16" s="797" t="s">
        <v>106</v>
      </c>
      <c r="J16" s="1664"/>
      <c r="K16" s="1676"/>
      <c r="L16" s="1676"/>
      <c r="M16" s="1664" t="str">
        <f t="array" ref="M16:M16">IF(ISERROR(MATCH(MID(N16,1,250),MID(note_ter,1,250),0)),"n","y")</f>
        <v>n</v>
      </c>
      <c r="N16" s="1676"/>
      <c r="O16" s="1664" t="str">
        <f>H16&amp;"("&amp;I16&amp;")"</f>
        <v>ЗАТО город Александровск(47737000)</v>
      </c>
      <c r="P16" s="1168"/>
      <c r="Q16" s="1168"/>
      <c r="R16" s="426"/>
      <c r="S16" s="1168"/>
      <c r="T16" s="1168"/>
      <c r="U16" s="1168"/>
      <c r="V16" s="428"/>
      <c r="W16" s="428"/>
      <c r="X16" s="425"/>
      <c r="Y16" s="425"/>
      <c r="Z16" s="425"/>
      <c r="AA16" s="425"/>
      <c r="AB16" s="425"/>
    </row>
    <row customHeight="1" ht="15">
      <c r="A17" s="2082"/>
      <c r="B17" s="1168"/>
      <c r="C17" s="418"/>
      <c r="D17" s="807"/>
      <c r="E17" s="427"/>
      <c r="F17" s="163"/>
      <c r="G17" s="421" t="s">
        <v>101</v>
      </c>
      <c r="H17" s="173"/>
      <c r="I17" s="430"/>
      <c r="J17" s="1676"/>
      <c r="K17" s="1676"/>
      <c r="L17" s="1676"/>
      <c r="M17" s="1676"/>
      <c r="N17" s="1664"/>
      <c r="O17" s="1676"/>
      <c r="P17" s="1168"/>
      <c r="Q17" s="1168"/>
      <c r="R17" s="426"/>
      <c r="S17" s="1168"/>
      <c r="T17" s="1168"/>
      <c r="U17" s="1168"/>
      <c r="V17" s="428"/>
      <c r="W17" s="428"/>
      <c r="X17" s="425"/>
      <c r="Y17" s="425"/>
      <c r="Z17" s="425"/>
      <c r="AA17" s="425"/>
      <c r="AB17" s="425"/>
    </row>
    <row customHeight="1" ht="15">
      <c r="A18" s="2082" t="s">
        <v>89</v>
      </c>
      <c r="B18" s="1168"/>
      <c r="C18" s="807" t="s">
        <v>103</v>
      </c>
      <c r="D18" s="1859"/>
      <c r="E18" s="1846" t="str">
        <f>A18</f>
        <v>3</v>
      </c>
      <c r="F18" s="810" t="s">
        <v>107</v>
      </c>
      <c r="G18" s="546" t="str">
        <f>"Территория "&amp;E18</f>
        <v>Территория 3</v>
      </c>
      <c r="H18" s="798"/>
      <c r="I18" s="798"/>
      <c r="J18" s="795"/>
      <c r="K18" s="1664"/>
      <c r="L18" s="1664"/>
      <c r="M18" s="1664"/>
      <c r="N18" s="212"/>
      <c r="O18" s="1664"/>
      <c r="P18" s="211"/>
      <c r="Q18" s="211"/>
      <c r="R18" s="211"/>
      <c r="S18" s="211"/>
      <c r="T18" s="2688"/>
      <c r="U18" s="2688"/>
      <c r="V18" s="2688"/>
      <c r="W18" s="2688"/>
      <c r="X18" s="2688"/>
      <c r="Y18" s="2688"/>
      <c r="Z18" s="2688"/>
      <c r="AA18" s="2688"/>
      <c r="AB18" s="2688"/>
    </row>
    <row customHeight="1" ht="15">
      <c r="A19" s="2082"/>
      <c r="B19" s="1168">
        <v>1</v>
      </c>
      <c r="C19" s="1168"/>
      <c r="D19" s="806"/>
      <c r="E19" s="1854" t="str">
        <f>A18&amp;"."&amp;B19</f>
        <v>3.1</v>
      </c>
      <c r="F19" s="809" t="s">
        <v>108</v>
      </c>
      <c r="G19" s="799" t="s">
        <v>109</v>
      </c>
      <c r="H19" s="799" t="s">
        <v>110</v>
      </c>
      <c r="I19" s="797" t="s">
        <v>111</v>
      </c>
      <c r="J19" s="1664"/>
      <c r="K19" s="1676"/>
      <c r="L19" s="1676"/>
      <c r="M19" s="1664" t="str">
        <f t="array" ref="M19:M19">IF(ISERROR(MATCH(MID(N19,1,250),MID(note_ter,1,250),0)),"n","y")</f>
        <v>n</v>
      </c>
      <c r="N19" s="1676"/>
      <c r="O19" s="1664" t="str">
        <f>H19&amp;"("&amp;I19&amp;")"</f>
        <v>Поселок Никель(47615151)</v>
      </c>
      <c r="P19" s="1168"/>
      <c r="Q19" s="1168"/>
      <c r="R19" s="426"/>
      <c r="S19" s="1168"/>
      <c r="T19" s="1168"/>
      <c r="U19" s="1168"/>
      <c r="V19" s="428"/>
      <c r="W19" s="428"/>
      <c r="X19" s="425"/>
      <c r="Y19" s="425"/>
      <c r="Z19" s="425"/>
      <c r="AA19" s="425"/>
      <c r="AB19" s="425"/>
    </row>
    <row customHeight="1" ht="15">
      <c r="A20" s="2082"/>
      <c r="B20" s="1168"/>
      <c r="C20" s="418"/>
      <c r="D20" s="807"/>
      <c r="E20" s="427"/>
      <c r="F20" s="163"/>
      <c r="G20" s="421" t="s">
        <v>101</v>
      </c>
      <c r="H20" s="173"/>
      <c r="I20" s="430"/>
      <c r="J20" s="1676"/>
      <c r="K20" s="1676"/>
      <c r="L20" s="1676"/>
      <c r="M20" s="1676"/>
      <c r="N20" s="1664"/>
      <c r="O20" s="1676"/>
      <c r="P20" s="1168"/>
      <c r="Q20" s="1168"/>
      <c r="R20" s="426"/>
      <c r="S20" s="1168"/>
      <c r="T20" s="1168"/>
      <c r="U20" s="1168"/>
      <c r="V20" s="428"/>
      <c r="W20" s="428"/>
      <c r="X20" s="425"/>
      <c r="Y20" s="425"/>
      <c r="Z20" s="425"/>
      <c r="AA20" s="425"/>
      <c r="AB20" s="425"/>
    </row>
    <row customHeight="1" ht="15">
      <c r="A21" s="2082" t="s">
        <v>90</v>
      </c>
      <c r="B21" s="1168"/>
      <c r="C21" s="807" t="s">
        <v>103</v>
      </c>
      <c r="D21" s="1859"/>
      <c r="E21" s="1846" t="str">
        <f>A21</f>
        <v>4</v>
      </c>
      <c r="F21" s="810" t="s">
        <v>112</v>
      </c>
      <c r="G21" s="546" t="str">
        <f>"Территория "&amp;E21</f>
        <v>Территория 4</v>
      </c>
      <c r="H21" s="798"/>
      <c r="I21" s="798"/>
      <c r="J21" s="795"/>
      <c r="K21" s="1664"/>
      <c r="L21" s="1664"/>
      <c r="M21" s="1664"/>
      <c r="N21" s="212"/>
      <c r="O21" s="1664"/>
      <c r="P21" s="211"/>
      <c r="Q21" s="211"/>
      <c r="R21" s="211"/>
      <c r="S21" s="211"/>
      <c r="T21" s="2688"/>
      <c r="U21" s="2688"/>
      <c r="V21" s="2688"/>
      <c r="W21" s="2688"/>
      <c r="X21" s="2688"/>
      <c r="Y21" s="2688"/>
      <c r="Z21" s="2688"/>
      <c r="AA21" s="2688"/>
      <c r="AB21" s="2688"/>
    </row>
    <row customHeight="1" ht="15">
      <c r="A22" s="2082"/>
      <c r="B22" s="1168">
        <v>1</v>
      </c>
      <c r="C22" s="1168"/>
      <c r="D22" s="806"/>
      <c r="E22" s="1854" t="str">
        <f>A21&amp;"."&amp;B22</f>
        <v>4.1</v>
      </c>
      <c r="F22" s="809" t="s">
        <v>113</v>
      </c>
      <c r="G22" s="799" t="s">
        <v>109</v>
      </c>
      <c r="H22" s="799" t="s">
        <v>114</v>
      </c>
      <c r="I22" s="797" t="s">
        <v>115</v>
      </c>
      <c r="J22" s="1664"/>
      <c r="K22" s="1676"/>
      <c r="L22" s="1676"/>
      <c r="M22" s="1664" t="str">
        <f t="array" ref="M22:M22">IF(ISERROR(MATCH(MID(N22,1,250),MID(note_ter,1,250),0)),"n","y")</f>
        <v>n</v>
      </c>
      <c r="N22" s="1676"/>
      <c r="O22" s="1664" t="str">
        <f>H22&amp;"("&amp;I22&amp;")"</f>
        <v>Город Заполярный(47615103)</v>
      </c>
      <c r="P22" s="1168"/>
      <c r="Q22" s="1168"/>
      <c r="R22" s="426"/>
      <c r="S22" s="1168"/>
      <c r="T22" s="1168"/>
      <c r="U22" s="1168"/>
      <c r="V22" s="428"/>
      <c r="W22" s="428"/>
      <c r="X22" s="425"/>
      <c r="Y22" s="425"/>
      <c r="Z22" s="425"/>
      <c r="AA22" s="425"/>
      <c r="AB22" s="425"/>
    </row>
    <row customHeight="1" ht="15">
      <c r="A23" s="2082"/>
      <c r="B23" s="1168"/>
      <c r="C23" s="418"/>
      <c r="D23" s="807"/>
      <c r="E23" s="427"/>
      <c r="F23" s="163"/>
      <c r="G23" s="421" t="s">
        <v>101</v>
      </c>
      <c r="H23" s="173"/>
      <c r="I23" s="430"/>
      <c r="J23" s="1676"/>
      <c r="K23" s="1676"/>
      <c r="L23" s="1676"/>
      <c r="M23" s="1676"/>
      <c r="N23" s="1664"/>
      <c r="O23" s="1676"/>
      <c r="P23" s="1168"/>
      <c r="Q23" s="1168"/>
      <c r="R23" s="426"/>
      <c r="S23" s="1168"/>
      <c r="T23" s="1168"/>
      <c r="U23" s="1168"/>
      <c r="V23" s="428"/>
      <c r="W23" s="428"/>
      <c r="X23" s="425"/>
      <c r="Y23" s="425"/>
      <c r="Z23" s="425"/>
      <c r="AA23" s="425"/>
      <c r="AB23" s="425"/>
    </row>
    <row customHeight="1" ht="15">
      <c r="A24" s="2082" t="s">
        <v>116</v>
      </c>
      <c r="B24" s="1168"/>
      <c r="C24" s="807" t="s">
        <v>103</v>
      </c>
      <c r="D24" s="1859"/>
      <c r="E24" s="1846" t="str">
        <f>A24</f>
        <v>5</v>
      </c>
      <c r="F24" s="810" t="s">
        <v>117</v>
      </c>
      <c r="G24" s="546" t="str">
        <f>"Территория "&amp;E24</f>
        <v>Территория 5</v>
      </c>
      <c r="H24" s="798"/>
      <c r="I24" s="798"/>
      <c r="J24" s="795"/>
      <c r="K24" s="1664"/>
      <c r="L24" s="1664"/>
      <c r="M24" s="1664"/>
      <c r="N24" s="212"/>
      <c r="O24" s="1664"/>
      <c r="P24" s="211"/>
      <c r="Q24" s="211"/>
      <c r="R24" s="211"/>
      <c r="S24" s="211"/>
      <c r="T24" s="2688"/>
      <c r="U24" s="2688"/>
      <c r="V24" s="2688"/>
      <c r="W24" s="2688"/>
      <c r="X24" s="2688"/>
      <c r="Y24" s="2688"/>
      <c r="Z24" s="2688"/>
      <c r="AA24" s="2688"/>
      <c r="AB24" s="2688"/>
    </row>
    <row customHeight="1" ht="15">
      <c r="A25" s="2082"/>
      <c r="B25" s="1168">
        <v>1</v>
      </c>
      <c r="C25" s="1168"/>
      <c r="D25" s="806"/>
      <c r="E25" s="1854" t="str">
        <f>A24&amp;"."&amp;B25</f>
        <v>5.1</v>
      </c>
      <c r="F25" s="809" t="s">
        <v>118</v>
      </c>
      <c r="G25" s="799" t="s">
        <v>119</v>
      </c>
      <c r="H25" s="799" t="s">
        <v>120</v>
      </c>
      <c r="I25" s="797" t="s">
        <v>121</v>
      </c>
      <c r="J25" s="1664"/>
      <c r="K25" s="1676"/>
      <c r="L25" s="1676"/>
      <c r="M25" s="1664" t="str">
        <f t="array" ref="M25:M25">IF(ISERROR(MATCH(MID(N25,1,250),MID(note_ter,1,250),0)),"n","y")</f>
        <v>n</v>
      </c>
      <c r="N25" s="1676"/>
      <c r="O25" s="1664" t="str">
        <f>H25&amp;"("&amp;I25&amp;")"</f>
        <v>Город Кандалакша(47608101)</v>
      </c>
      <c r="P25" s="1168"/>
      <c r="Q25" s="1168"/>
      <c r="R25" s="426"/>
      <c r="S25" s="1168"/>
      <c r="T25" s="1168"/>
      <c r="U25" s="1168"/>
      <c r="V25" s="428"/>
      <c r="W25" s="428"/>
      <c r="X25" s="425"/>
      <c r="Y25" s="425"/>
      <c r="Z25" s="425"/>
      <c r="AA25" s="425"/>
      <c r="AB25" s="425"/>
    </row>
    <row customHeight="1" ht="15">
      <c r="A26" s="2082"/>
      <c r="B26" s="1168"/>
      <c r="C26" s="418"/>
      <c r="D26" s="807"/>
      <c r="E26" s="427"/>
      <c r="F26" s="163"/>
      <c r="G26" s="421" t="s">
        <v>101</v>
      </c>
      <c r="H26" s="173"/>
      <c r="I26" s="430"/>
      <c r="J26" s="1676"/>
      <c r="K26" s="1676"/>
      <c r="L26" s="1676"/>
      <c r="M26" s="1676"/>
      <c r="N26" s="1664"/>
      <c r="O26" s="1676"/>
      <c r="P26" s="1168"/>
      <c r="Q26" s="1168"/>
      <c r="R26" s="426"/>
      <c r="S26" s="1168"/>
      <c r="T26" s="1168"/>
      <c r="U26" s="1168"/>
      <c r="V26" s="428"/>
      <c r="W26" s="428"/>
      <c r="X26" s="425"/>
      <c r="Y26" s="425"/>
      <c r="Z26" s="425"/>
      <c r="AA26" s="425"/>
      <c r="AB26" s="425"/>
    </row>
    <row s="2623" customFormat="1" customHeight="1" ht="14.25">
      <c r="A27" s="764"/>
      <c r="B27" s="423"/>
      <c r="C27" s="764"/>
      <c r="D27" s="788"/>
      <c r="E27" s="800"/>
      <c r="F27" s="164"/>
      <c r="G27" s="422" t="s">
        <v>122</v>
      </c>
      <c r="H27" s="164"/>
      <c r="I27" s="165"/>
      <c r="J27" s="235"/>
      <c r="K27" s="141"/>
      <c r="L27" s="141"/>
      <c r="M27" s="141"/>
      <c r="N27" s="212" t="s">
        <v>123</v>
      </c>
      <c r="O27" s="141"/>
      <c r="P27" s="211"/>
      <c r="Q27" s="211"/>
      <c r="R27" s="211"/>
      <c r="S27" s="211"/>
    </row>
    <row s="2623" customFormat="1" customHeight="1" ht="21">
      <c r="A28" s="764"/>
      <c r="B28" s="423"/>
      <c r="C28" s="764"/>
      <c r="D28" s="151"/>
      <c r="E28" s="166"/>
      <c r="F28" s="166"/>
      <c r="G28" s="166"/>
      <c r="H28" s="166"/>
      <c r="I28" s="166"/>
      <c r="J28" s="141"/>
      <c r="K28" s="141"/>
      <c r="L28" s="141"/>
      <c r="M28" s="141"/>
      <c r="N28" s="212"/>
      <c r="O28" s="141"/>
      <c r="P28" s="211"/>
      <c r="Q28" s="211"/>
      <c r="R28" s="211"/>
      <c r="S28" s="211"/>
    </row>
    <row s="2623" customFormat="1" customHeight="1" ht="14.25">
      <c r="A29" s="764"/>
      <c r="B29" s="423"/>
      <c r="C29" s="764"/>
      <c r="D29" s="151"/>
      <c r="E29" s="68"/>
      <c r="F29" s="764"/>
      <c r="G29" s="68"/>
      <c r="H29" s="68"/>
      <c r="I29" s="68"/>
      <c r="J29" s="141"/>
      <c r="K29" s="141"/>
      <c r="L29" s="141"/>
      <c r="M29" s="141"/>
      <c r="N29" s="212"/>
      <c r="O29" s="141"/>
      <c r="P29" s="211"/>
      <c r="Q29" s="211"/>
      <c r="R29" s="211"/>
      <c r="S29" s="211"/>
    </row>
    <row s="2623" customFormat="1" customHeight="1" ht="0.75">
      <c r="A30" s="764"/>
      <c r="B30" s="423"/>
      <c r="C30" s="764"/>
      <c r="D30" s="151"/>
      <c r="E30" s="68"/>
      <c r="F30" s="764"/>
      <c r="G30" s="68"/>
      <c r="H30" s="68"/>
      <c r="I30" s="68"/>
      <c r="J30" s="141"/>
      <c r="K30" s="141"/>
      <c r="L30" s="141"/>
      <c r="M30" s="141"/>
      <c r="N30" s="212"/>
      <c r="O30" s="141"/>
      <c r="P30" s="211"/>
      <c r="Q30" s="211"/>
      <c r="R30" s="211"/>
      <c r="S30" s="211"/>
    </row>
    <row s="2699" customFormat="1" customHeight="1" ht="10.5">
      <c r="B31" s="840"/>
      <c r="D31" s="168"/>
      <c r="J31" s="141"/>
      <c r="K31" s="141"/>
      <c r="L31" s="141"/>
      <c r="M31" s="141"/>
      <c r="N31" s="212"/>
      <c r="O31" s="141"/>
      <c r="P31" s="211"/>
      <c r="Q31" s="211"/>
      <c r="R31" s="211"/>
      <c r="S31" s="211"/>
    </row>
    <row s="2699" customFormat="1" customHeight="1" ht="10.5">
      <c r="B32" s="840"/>
      <c r="D32" s="168"/>
      <c r="J32" s="141"/>
      <c r="K32" s="141"/>
      <c r="L32" s="141"/>
      <c r="M32" s="141"/>
      <c r="N32" s="212"/>
      <c r="O32" s="141"/>
      <c r="P32" s="211"/>
      <c r="Q32" s="211"/>
      <c r="R32" s="211"/>
      <c r="S32" s="211"/>
    </row>
    <row r="36" customHeight="1" ht="14.25">
      <c r="H36" s="48"/>
    </row>
    <row r="40" customHeight="1" ht="14.25">
      <c r="J40" s="68"/>
      <c r="K40" s="68"/>
      <c r="L40" s="68"/>
    </row>
  </sheetData>
  <sheetProtection formatColumns="0" formatRows="0" autoFilter="0" sort="0" insertRows="0" insertColumns="1" deleteRows="0" deleteColumns="0"/>
  <mergeCells count="8">
    <mergeCell ref="A12:A14"/>
    <mergeCell ref="E4:I4"/>
    <mergeCell ref="E8:G8"/>
    <mergeCell ref="H8:I8"/>
    <mergeCell ref="A15:A17"/>
    <mergeCell ref="A18:A20"/>
    <mergeCell ref="A21:A23"/>
    <mergeCell ref="A24:A26"/>
  </mergeCells>
  <dataValidations count="5">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883DA-E194-D29E-5578-F6DFD5F6691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85" width="6.421875" hidden="1" customWidth="1"/>
    <col min="2" max="2" style="2785" width="2.00390625" hidden="1" customWidth="1"/>
    <col min="3" max="3" style="2785" width="3.7109375" customWidth="1"/>
    <col min="4" max="4" style="2785" width="4.28125" customWidth="1"/>
    <col min="5" max="5" style="2785" width="45.00390625" customWidth="1"/>
    <col min="6" max="6" style="2785" width="6.421875" customWidth="1"/>
    <col min="7" max="7" style="2785" width="4.421875" customWidth="1"/>
    <col min="8" max="8" style="2785" width="5.57421875" customWidth="1"/>
    <col min="9" max="9" style="2785" width="52.8515625" customWidth="1"/>
    <col min="10" max="10" style="2785" width="7.00390625" customWidth="1"/>
    <col min="11" max="11" style="2785" width="3.7109375" customWidth="1"/>
    <col min="12" max="12" style="2785" width="6.28125" customWidth="1"/>
    <col min="13" max="13" style="2785" width="56.28125" customWidth="1"/>
    <col min="14" max="14" style="2707" width="9.140625"/>
    <col min="15" max="20" style="2744" width="9.140625" hidden="1"/>
    <col min="21" max="24" style="2786" width="9.140625" hidden="1"/>
    <col min="25" max="37" style="2707" width="9.140625" hidden="1"/>
    <col min="38" max="38" style="2707"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708" customFormat="1" customHeight="1" ht="15">
      <c r="A5" s="591"/>
      <c r="B5" s="591"/>
      <c r="C5" s="591"/>
      <c r="D5" s="1966" t="str">
        <f>IF(org=0,"Не определено",org)</f>
        <v>АО "Мурманэнергосбыт"</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1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124</v>
      </c>
      <c r="E9" s="1971"/>
      <c r="F9" s="1972" t="s">
        <v>125</v>
      </c>
      <c r="G9" s="1973"/>
      <c r="H9" s="1973"/>
      <c r="I9" s="1973"/>
      <c r="J9" s="1976" t="s">
        <v>126</v>
      </c>
      <c r="K9" s="1976"/>
      <c r="L9" s="1976"/>
      <c r="M9" s="1976"/>
    </row>
    <row customHeight="1" ht="22.5">
      <c r="A10" s="1970"/>
      <c r="B10" s="598"/>
      <c r="C10" s="531"/>
      <c r="D10" s="529" t="s">
        <v>87</v>
      </c>
      <c r="E10" s="529" t="s">
        <v>88</v>
      </c>
      <c r="F10" s="529" t="s">
        <v>127</v>
      </c>
      <c r="G10" s="1977" t="s">
        <v>87</v>
      </c>
      <c r="H10" s="1978"/>
      <c r="I10" s="529" t="s">
        <v>88</v>
      </c>
      <c r="J10" s="529" t="s">
        <v>127</v>
      </c>
      <c r="K10" s="1977" t="s">
        <v>87</v>
      </c>
      <c r="L10" s="1978"/>
      <c r="M10" s="529" t="s">
        <v>88</v>
      </c>
      <c r="N10" s="1667"/>
    </row>
    <row s="2736" customFormat="1" customHeight="1" ht="11.25" hidden="1">
      <c r="A11" s="599"/>
      <c r="B11" s="599"/>
      <c r="C11" s="599"/>
      <c r="D11" s="600" t="s">
        <v>128</v>
      </c>
      <c r="E11" s="600" t="s">
        <v>102</v>
      </c>
      <c r="F11" s="600" t="s">
        <v>89</v>
      </c>
      <c r="G11" s="1959" t="s">
        <v>90</v>
      </c>
      <c r="H11" s="1960"/>
      <c r="I11" s="600" t="s">
        <v>116</v>
      </c>
      <c r="J11" s="600" t="s">
        <v>91</v>
      </c>
      <c r="K11" s="1961" t="s">
        <v>92</v>
      </c>
      <c r="L11" s="1962"/>
      <c r="M11" s="600" t="s">
        <v>129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130</v>
      </c>
      <c r="P12" s="1443" t="s">
        <v>131</v>
      </c>
      <c r="Q12" s="1443" t="s">
        <v>132</v>
      </c>
      <c r="R12" s="1443" t="s">
        <v>133</v>
      </c>
    </row>
    <row s="2756" customFormat="1" customHeight="1" ht="15">
      <c r="A13" s="281"/>
      <c r="B13" s="281"/>
      <c r="C13" s="532"/>
      <c r="D13" s="1982" t="s">
        <v>128</v>
      </c>
      <c r="E13" s="1983"/>
      <c r="F13" s="1986" t="s">
        <v>61</v>
      </c>
      <c r="G13" s="1987"/>
      <c r="H13" s="1988">
        <v>1</v>
      </c>
      <c r="I13" s="1979" t="str">
        <f>IF(U13="","",INDEX(TERRITORY_MR_LIST,MATCH(U13,TERRITORY_LIST_ID,0)))</f>
        <v/>
      </c>
      <c r="J13" s="1981" t="s">
        <v>56</v>
      </c>
      <c r="K13" s="608"/>
      <c r="L13" s="533" t="s">
        <v>128</v>
      </c>
      <c r="M13" s="609" t="s">
        <v>24</v>
      </c>
      <c r="N13" s="818"/>
      <c r="O13" s="1446" t="s">
        <v>134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135</v>
      </c>
      <c r="Z13" s="610">
        <v>1705000</v>
      </c>
      <c r="AA13" s="610"/>
      <c r="AB13" s="610"/>
      <c r="AC13" s="610"/>
      <c r="AD13" s="610"/>
      <c r="AE13" s="610"/>
      <c r="AF13" s="610"/>
      <c r="AG13" s="610"/>
      <c r="AH13" s="610"/>
      <c r="AI13" s="610"/>
      <c r="AJ13" s="610"/>
      <c r="AK13" s="610"/>
      <c r="AL13" s="610"/>
    </row>
    <row s="2756" customFormat="1" customHeight="1" ht="15">
      <c r="A14" s="281"/>
      <c r="B14" s="281"/>
      <c r="C14" s="162"/>
      <c r="D14" s="1982"/>
      <c r="E14" s="1984"/>
      <c r="F14" s="1981"/>
      <c r="G14" s="1987"/>
      <c r="H14" s="1988"/>
      <c r="I14" s="1980"/>
      <c r="J14" s="1981"/>
      <c r="K14" s="427"/>
      <c r="L14" s="163"/>
      <c r="M14" s="613" t="s">
        <v>136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56" customFormat="1" customHeight="1" ht="15">
      <c r="A15" s="281"/>
      <c r="B15" s="281"/>
      <c r="C15" s="162"/>
      <c r="D15" s="1982"/>
      <c r="E15" s="1985"/>
      <c r="F15" s="1981"/>
      <c r="G15" s="1067"/>
      <c r="H15" s="1068"/>
      <c r="I15" s="586" t="s">
        <v>137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138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64309-0E75-7765-3D41-681D1A2167C8}" mc:Ignorable="x14ac xr xr2 xr3">
  <sheetPr>
    <tabColor rgb="FFCCCCFF"/>
  </sheetPr>
  <dimension ref="A1:AR160"/>
  <sheetViews>
    <sheetView topLeftCell="A1" showGridLines="0" zoomScale="90" workbookViewId="0">
      <selection activeCell="W36" sqref="W36"/>
    </sheetView>
  </sheetViews>
  <sheetFormatPr defaultColWidth="9.140625" customHeight="1" defaultRowHeight="11.25"/>
  <cols>
    <col min="1" max="2" style="2974" width="3.7109375" hidden="1" customWidth="1"/>
    <col min="3" max="3" style="2975" width="3.7109375" customWidth="1"/>
    <col min="4" max="4" style="2975" width="6.140625" customWidth="1"/>
    <col min="5" max="5" style="2975" width="43.140625" customWidth="1"/>
    <col min="6" max="6" style="2863" width="15.00390625" customWidth="1"/>
    <col min="7" max="7" style="2975" width="43.140625" customWidth="1"/>
    <col min="8" max="8" style="2975" width="3.7109375" customWidth="1"/>
    <col min="9" max="9" style="2975" width="5.421875" customWidth="1"/>
    <col min="10" max="10" style="2975" width="47.8515625" customWidth="1"/>
    <col min="11" max="12" style="2975" width="3.7109375" customWidth="1"/>
    <col min="13" max="13" style="2975" width="5.7109375" customWidth="1"/>
    <col min="14" max="14" style="2975" width="28.140625" customWidth="1"/>
    <col min="15" max="16" style="2975" width="3.7109375" customWidth="1"/>
    <col min="17" max="17" style="2975" width="5.7109375" customWidth="1"/>
    <col min="18" max="18" style="2975" width="34.421875" customWidth="1"/>
    <col min="19" max="20" style="2976" width="3.7109375" customWidth="1"/>
    <col min="21" max="21" style="2976" width="5.7109375" customWidth="1"/>
    <col min="22" max="22" style="2976" width="34.421875" customWidth="1"/>
    <col min="23" max="23" style="2975" width="30.7109375" customWidth="1"/>
    <col min="24" max="24" style="2975" width="3.7109375" customWidth="1"/>
    <col min="25" max="28" style="2811" width="9.8515625" hidden="1" customWidth="1"/>
    <col min="29" max="29" style="2811" width="27.00390625" hidden="1" customWidth="1"/>
    <col min="30" max="30" style="2811" width="10.57421875" hidden="1" customWidth="1"/>
    <col min="31" max="31" style="2811" width="10.7109375" hidden="1" customWidth="1"/>
    <col min="32" max="32" style="2811" width="10.00390625" hidden="1" customWidth="1"/>
    <col min="33" max="33" style="2811" width="12.8515625" hidden="1" customWidth="1"/>
    <col min="34" max="34" style="2811" width="10.28125" hidden="1" customWidth="1"/>
    <col min="35" max="35" style="2811" width="15.8515625" hidden="1" customWidth="1"/>
    <col min="36" max="36" style="2811" width="19.421875" hidden="1" customWidth="1"/>
    <col min="37" max="37" style="2811" width="11.00390625" hidden="1" customWidth="1"/>
    <col min="38" max="38" style="2811" width="23.57421875" hidden="1" customWidth="1"/>
    <col min="39" max="39" style="2811" width="23.8515625" hidden="1" customWidth="1"/>
    <col min="40" max="40" style="2811" width="25.28125" hidden="1" customWidth="1"/>
    <col min="41" max="41" style="2811" width="16.8515625" hidden="1" customWidth="1"/>
    <col min="42" max="42" style="2811" width="29.57421875" hidden="1" customWidth="1"/>
    <col min="43" max="43" style="2811" width="29.8515625" hidden="1" customWidth="1"/>
    <col min="44" max="44" style="2975" width="9.140625" hidden="1"/>
  </cols>
  <sheetData>
    <row customHeight="1" ht="11.25" hidden="1">
      <c r="A1" s="142"/>
    </row>
    <row customHeight="1" ht="11.25" hidden="1"/>
    <row customHeight="1" ht="11.25" hidden="1"/>
    <row customHeight="1" ht="3"/>
    <row s="278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8" customFormat="1" customHeight="1" ht="15">
      <c r="A6" s="591"/>
      <c r="B6" s="591"/>
      <c r="C6" s="591"/>
      <c r="D6" s="2025" t="str">
        <f>IF(org=0,"Не определено",org)</f>
        <v>АО "Мурманэнергосбыт"</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139</v>
      </c>
      <c r="F9" s="1957"/>
      <c r="G9" s="1971" t="s">
        <v>124</v>
      </c>
      <c r="H9" s="1971" t="s">
        <v>87</v>
      </c>
      <c r="I9" s="1971"/>
      <c r="J9" s="1971" t="s">
        <v>140</v>
      </c>
      <c r="K9" s="2026" t="s">
        <v>141</v>
      </c>
      <c r="L9" s="2026"/>
      <c r="M9" s="2026"/>
      <c r="N9" s="2026"/>
      <c r="O9" s="2026" t="s">
        <v>142</v>
      </c>
      <c r="P9" s="2026"/>
      <c r="Q9" s="2026"/>
      <c r="R9" s="2026"/>
      <c r="S9" s="2026" t="s">
        <v>143</v>
      </c>
      <c r="T9" s="2026"/>
      <c r="U9" s="2026"/>
      <c r="V9" s="2026"/>
      <c r="W9" s="1971" t="s">
        <v>144</v>
      </c>
    </row>
    <row customHeight="1" ht="30">
      <c r="D10" s="1971"/>
      <c r="E10" s="1314" t="s">
        <v>88</v>
      </c>
      <c r="F10" s="1314" t="s">
        <v>145</v>
      </c>
      <c r="G10" s="1971"/>
      <c r="H10" s="1971"/>
      <c r="I10" s="1971"/>
      <c r="J10" s="1971"/>
      <c r="K10" s="96" t="s">
        <v>127</v>
      </c>
      <c r="L10" s="1971" t="s">
        <v>87</v>
      </c>
      <c r="M10" s="1971"/>
      <c r="N10" s="96" t="s">
        <v>146</v>
      </c>
      <c r="O10" s="96" t="s">
        <v>127</v>
      </c>
      <c r="P10" s="1971" t="s">
        <v>87</v>
      </c>
      <c r="Q10" s="1971"/>
      <c r="R10" s="96" t="s">
        <v>146</v>
      </c>
      <c r="S10" s="271" t="s">
        <v>127</v>
      </c>
      <c r="T10" s="1971" t="s">
        <v>87</v>
      </c>
      <c r="U10" s="1971"/>
      <c r="V10" s="271" t="s">
        <v>88</v>
      </c>
      <c r="W10" s="1971"/>
      <c r="Z10" s="1288" t="s">
        <v>147</v>
      </c>
      <c r="AA10" s="1288" t="s">
        <v>148</v>
      </c>
      <c r="AB10" s="1288" t="s">
        <v>149</v>
      </c>
      <c r="AC10" s="1288" t="s">
        <v>150</v>
      </c>
      <c r="AD10" s="1288" t="s">
        <v>151</v>
      </c>
      <c r="AE10" s="1288" t="s">
        <v>152</v>
      </c>
      <c r="AF10" s="1288" t="s">
        <v>153</v>
      </c>
      <c r="AG10" s="1288" t="s">
        <v>154</v>
      </c>
      <c r="AH10" s="1288" t="s">
        <v>155</v>
      </c>
      <c r="AI10" s="1288" t="s">
        <v>156</v>
      </c>
      <c r="AJ10" s="1288" t="s">
        <v>157</v>
      </c>
      <c r="AK10" s="1288" t="s">
        <v>158</v>
      </c>
      <c r="AL10" s="1288" t="s">
        <v>159</v>
      </c>
      <c r="AM10" s="1288" t="s">
        <v>160</v>
      </c>
      <c r="AN10" s="1288" t="s">
        <v>161</v>
      </c>
      <c r="AO10" s="1288" t="s">
        <v>162</v>
      </c>
      <c r="AP10" s="1288" t="s">
        <v>163</v>
      </c>
      <c r="AQ10" s="1288" t="s">
        <v>164</v>
      </c>
    </row>
    <row s="2812" customFormat="1" customHeight="1" ht="12" hidden="1">
      <c r="D11" s="1268" t="s">
        <v>128</v>
      </c>
      <c r="E11" s="1268" t="s">
        <v>102</v>
      </c>
      <c r="F11" s="1268"/>
      <c r="G11" s="1268" t="s">
        <v>89</v>
      </c>
      <c r="H11" s="2018" t="s">
        <v>116</v>
      </c>
      <c r="I11" s="2018"/>
      <c r="J11" s="1268" t="s">
        <v>91</v>
      </c>
      <c r="K11" s="1268" t="s">
        <v>92</v>
      </c>
      <c r="L11" s="2018" t="s">
        <v>129</v>
      </c>
      <c r="M11" s="2018"/>
      <c r="N11" s="1268" t="s">
        <v>165</v>
      </c>
      <c r="O11" s="1268" t="s">
        <v>166</v>
      </c>
      <c r="P11" s="2018" t="s">
        <v>167</v>
      </c>
      <c r="Q11" s="2018"/>
      <c r="R11" s="1268" t="s">
        <v>118</v>
      </c>
      <c r="S11" s="1268" t="s">
        <v>167</v>
      </c>
      <c r="T11" s="2018" t="s">
        <v>118</v>
      </c>
      <c r="U11" s="2018"/>
      <c r="V11" s="1268" t="s">
        <v>168</v>
      </c>
      <c r="W11" s="1268" t="s">
        <v>169</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27" customFormat="1" customHeight="1" ht="17.25">
      <c r="A13" s="314"/>
      <c r="C13" s="195"/>
      <c r="D13" s="1991">
        <v>1</v>
      </c>
      <c r="E13" s="1993" t="s">
        <v>170</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171</v>
      </c>
      <c r="AD13" s="1296" t="s">
        <v>172</v>
      </c>
      <c r="AE13" s="1296" t="s">
        <v>173</v>
      </c>
      <c r="AF13" s="1296" t="s">
        <v>174</v>
      </c>
      <c r="AG13" s="1296" t="s">
        <v>175</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2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2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3" customFormat="1" customHeight="1" ht="17.25">
      <c r="A18" s="314"/>
      <c r="C18" s="195"/>
      <c r="D18" s="1991">
        <v>2</v>
      </c>
      <c r="E18" s="1993" t="s">
        <v>176</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177</v>
      </c>
      <c r="AD18" s="1296" t="s">
        <v>178</v>
      </c>
      <c r="AE18" s="1296" t="s">
        <v>179</v>
      </c>
      <c r="AF18" s="1296" t="s">
        <v>180</v>
      </c>
      <c r="AG18" s="1296" t="s">
        <v>181</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63"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63"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63"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63"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63" customFormat="1" customHeight="1" ht="17.25">
      <c r="A23" s="314"/>
      <c r="C23" s="195"/>
      <c r="D23" s="1991">
        <v>3</v>
      </c>
      <c r="E23" s="1993" t="s">
        <v>182</v>
      </c>
      <c r="F23" s="1995" t="s">
        <v>61</v>
      </c>
      <c r="G23" s="2865" t="str">
        <f>"Производство. Теплоноситель, Передача. Теплоноситель"&amp;", "&amp;INDEX(HEAT_PT_VED_NAME,MATCH(4190071,HEAT_PT_VED_ID,0))</f>
        <v>Производство. Теплоноситель, Передача. Теплоноситель, Сбыт. Теплоноситель</v>
      </c>
      <c r="H23" s="2866"/>
      <c r="I23" s="2866">
        <v>1</v>
      </c>
      <c r="J23" s="2867" t="s">
        <v>183</v>
      </c>
      <c r="K23" s="2868" t="s">
        <v>61</v>
      </c>
      <c r="L23" s="2869"/>
      <c r="M23" s="2869" t="s">
        <v>128</v>
      </c>
      <c r="N23" s="2870" t="str">
        <f>IF(Z23="","",INDEX(TERRITORY_MR_LIST,MATCH(Z23,TERRITORY_LIST_ID,0)))</f>
        <v>Территория 1</v>
      </c>
      <c r="O23" s="2868" t="s">
        <v>56</v>
      </c>
      <c r="P23" s="2869"/>
      <c r="Q23" s="2869" t="s">
        <v>128</v>
      </c>
      <c r="R23" s="2871" t="s">
        <v>24</v>
      </c>
      <c r="S23" s="2872" t="s">
        <v>61</v>
      </c>
      <c r="T23" s="2869"/>
      <c r="U23" s="2869" t="s">
        <v>128</v>
      </c>
      <c r="V23" s="2873" t="s">
        <v>184</v>
      </c>
      <c r="W23" s="2867"/>
      <c r="X23" s="1296"/>
      <c r="Y23" s="1296"/>
      <c r="Z23" s="1296" t="s">
        <v>97</v>
      </c>
      <c r="AA23" s="1296"/>
      <c r="AB23" s="1296" t="s">
        <v>185</v>
      </c>
      <c r="AC23" s="1296" t="s">
        <v>186</v>
      </c>
      <c r="AD23" s="1296" t="s">
        <v>187</v>
      </c>
      <c r="AE23" s="1296" t="s">
        <v>188</v>
      </c>
      <c r="AF23" s="1296" t="s">
        <v>189</v>
      </c>
      <c r="AG23" s="1296" t="s">
        <v>190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Производство. Теплоноситель, Передача. Теплоноситель, Сбыт. Теплоноситель</v>
      </c>
      <c r="AJ23" s="1296" t="str">
        <f>IF($J$23=0,"",$J$23)</f>
        <v>Тариф на теплоноситель, поставляемый потребителям</v>
      </c>
      <c r="AK23" s="1296" t="str">
        <f>IF($K$23="нет","без дифференциации",IF($N$23=0,"",$N$23))</f>
        <v>Территория 1</v>
      </c>
      <c r="AL23" s="1296" t="str">
        <f>IF($O$23="нет","без дифференциации",IF($R$23=0,"",$R$23))</f>
        <v>без дифференциации</v>
      </c>
      <c r="AM23" s="1296" t="str">
        <f>IF($S$23="нет","без дифференциации",IF($V$23=0,"",$V$23))</f>
        <v>город-герой Мурманск (кроме р-на Росляково)</v>
      </c>
      <c r="AN23" s="1813">
        <f>$I$23</f>
        <v>1</v>
      </c>
      <c r="AO23" s="1296" t="str">
        <f>$I$23&amp;"."&amp;$M$23</f>
        <v>1.1</v>
      </c>
      <c r="AP23" s="1288" t="str">
        <f>$I$23&amp;"."&amp;$M$23&amp;"."&amp;$Q$23</f>
        <v>1.1.1</v>
      </c>
      <c r="AQ23" s="1288" t="str">
        <f>$I$23&amp;"."&amp;$M$23&amp;"."&amp;$Q$23&amp;"."&amp;$U$23</f>
        <v>1.1.1.1</v>
      </c>
    </row>
    <row s="2863" customFormat="1" customHeight="1" ht="17.25">
      <c r="A24" s="314"/>
      <c r="C24" s="313"/>
      <c r="D24" s="1991"/>
      <c r="E24" s="1993"/>
      <c r="F24" s="1996"/>
      <c r="G24" s="2865"/>
      <c r="H24" s="2866"/>
      <c r="I24" s="2866"/>
      <c r="J24" s="2867"/>
      <c r="K24" s="2874"/>
      <c r="L24" s="2869"/>
      <c r="M24" s="2869"/>
      <c r="N24" s="2870"/>
      <c r="O24" s="2874"/>
      <c r="P24" s="2869"/>
      <c r="Q24" s="2869"/>
      <c r="R24" s="2871" t="s">
        <v>24</v>
      </c>
      <c r="S24" s="2872"/>
      <c r="T24" s="2875"/>
      <c r="U24" s="2876"/>
      <c r="V24" s="2877" t="s">
        <v>191</v>
      </c>
      <c r="W24" s="287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63" customFormat="1" customHeight="1" ht="17.25">
      <c r="A25" s="314"/>
      <c r="C25" s="313"/>
      <c r="D25" s="1992"/>
      <c r="E25" s="1994"/>
      <c r="F25" s="1996"/>
      <c r="G25" s="2879"/>
      <c r="H25" s="2880"/>
      <c r="I25" s="2880"/>
      <c r="J25" s="2881"/>
      <c r="K25" s="2874"/>
      <c r="L25" s="2880"/>
      <c r="M25" s="2880"/>
      <c r="N25" s="2882"/>
      <c r="O25" s="2883"/>
      <c r="P25" s="2884"/>
      <c r="Q25" s="2885"/>
      <c r="R25" s="2886" t="s">
        <v>192</v>
      </c>
      <c r="S25" s="2887"/>
      <c r="T25" s="2888"/>
      <c r="U25" s="2889"/>
      <c r="V25" s="2890"/>
      <c r="W25" s="2891"/>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customHeight="1" ht="17.25">
      <c r="A26" s="1881"/>
      <c r="B26" s="2893"/>
      <c r="C26" s="1883"/>
      <c r="D26" s="1871"/>
      <c r="E26" s="1888"/>
      <c r="F26" s="1825"/>
      <c r="G26" s="1889"/>
      <c r="H26" s="1871"/>
      <c r="I26" s="1871"/>
      <c r="J26" s="1890"/>
      <c r="K26" s="1800"/>
      <c r="L26" s="1982" t="s">
        <v>103</v>
      </c>
      <c r="M26" s="1982" t="s">
        <v>102</v>
      </c>
      <c r="N26" s="2387" t="str">
        <f>IF(Z26="","",INDEX(TERRITORY_MR_LIST,MATCH(Z26,TERRITORY_LIST_ID,0)))</f>
        <v>Территория 2</v>
      </c>
      <c r="O26" s="2044" t="s">
        <v>56</v>
      </c>
      <c r="P26" s="1982"/>
      <c r="Q26" s="1982" t="s">
        <v>128</v>
      </c>
      <c r="R26" s="2903" t="s">
        <v>24</v>
      </c>
      <c r="S26" s="1981" t="s">
        <v>61</v>
      </c>
      <c r="T26" s="1852"/>
      <c r="U26" s="1852" t="s">
        <v>128</v>
      </c>
      <c r="V26" s="1884" t="s">
        <v>193</v>
      </c>
      <c r="W26" s="1842"/>
      <c r="X26" s="2893"/>
      <c r="Y26" s="1296"/>
      <c r="Z26" s="1296" t="s">
        <v>104</v>
      </c>
      <c r="AA26" s="1296"/>
      <c r="AB26" s="1296"/>
      <c r="AC26" s="2907" t="s">
        <v>186</v>
      </c>
      <c r="AD26" s="2907" t="s">
        <v>187</v>
      </c>
      <c r="AE26" s="1296" t="s">
        <v>194</v>
      </c>
      <c r="AF26" s="1296" t="s">
        <v>195</v>
      </c>
      <c r="AG26" s="1296" t="s">
        <v>196</v>
      </c>
      <c r="AH26" s="1296" t="str">
        <f>IF($E$23=0,"",$E$23)</f>
        <v>Тарифы на теплоноситель, поставляемый теплоснабжающими организациями потребителям, другим теплоснабжающим организациям</v>
      </c>
      <c r="AI26" s="1296" t="str">
        <f>IF($G$23=0,"",$G$23)</f>
        <v>Производство. Теплоноситель, Передача. Теплоноситель, Сбыт. Теплоноситель</v>
      </c>
      <c r="AJ26" s="1296" t="str">
        <f>IF($J$23=0,"",$J$23)</f>
        <v>Тариф на теплоноситель, поставляемый потребителям</v>
      </c>
      <c r="AK26" s="1296" t="str">
        <f>IF($K$26="нет","без дифференциации",IF($N$26=0,"",$N$26))</f>
        <v>Территория 2</v>
      </c>
      <c r="AL26" s="1885" t="str">
        <f>IF($O$26="нет","без дифференциации",IF($R$26=0,"",$R$26))</f>
        <v>без дифференциации</v>
      </c>
      <c r="AM26" s="1885" t="str">
        <f>IF($S$26="нет","без дифференциации",IF($V$26=0,"",$V$26))</f>
        <v>город Снежногорск</v>
      </c>
      <c r="AN26" s="1296">
        <f>$I$23</f>
        <v>1</v>
      </c>
      <c r="AO26" s="1296" t="str">
        <f>$I$23&amp;"."&amp;$M$26</f>
        <v>1.2</v>
      </c>
      <c r="AP26" s="1296" t="str">
        <f>$I$23&amp;"."&amp;$M$26&amp;"."&amp;$Q$26</f>
        <v>1.2.1</v>
      </c>
      <c r="AQ26" s="1296" t="str">
        <f>$I$23&amp;"."&amp;$M$26&amp;"."&amp;$Q$26&amp;"."&amp;$U$26</f>
        <v>1.2.1.1</v>
      </c>
      <c r="AR26" s="2893"/>
    </row>
    <row customHeight="1" ht="17.25">
      <c r="A27" s="1881"/>
      <c r="B27" s="2893"/>
      <c r="C27" s="1886"/>
      <c r="D27" s="1871"/>
      <c r="E27" s="1888"/>
      <c r="F27" s="1825"/>
      <c r="G27" s="1889"/>
      <c r="H27" s="1871"/>
      <c r="I27" s="1871"/>
      <c r="J27" s="1890"/>
      <c r="K27" s="1800"/>
      <c r="L27" s="1982"/>
      <c r="M27" s="1982"/>
      <c r="N27" s="2387"/>
      <c r="O27" s="2045"/>
      <c r="P27" s="1982"/>
      <c r="Q27" s="1982"/>
      <c r="R27" s="2903" t="s">
        <v>24</v>
      </c>
      <c r="S27" s="1981"/>
      <c r="T27" s="310"/>
      <c r="U27" s="311"/>
      <c r="V27" s="311" t="s">
        <v>191</v>
      </c>
      <c r="W27" s="312"/>
      <c r="X27" s="2893"/>
      <c r="Y27" s="1288"/>
      <c r="Z27" s="1288"/>
      <c r="AA27" s="1288"/>
      <c r="AB27" s="1288"/>
      <c r="AC27" s="1288"/>
      <c r="AD27" s="1288"/>
      <c r="AE27" s="1288"/>
      <c r="AF27" s="1288"/>
      <c r="AG27" s="1288"/>
      <c r="AH27" s="1288"/>
      <c r="AI27" s="1288"/>
      <c r="AJ27" s="1288"/>
      <c r="AK27" s="1288"/>
      <c r="AL27" s="2893"/>
      <c r="AM27" s="2893"/>
      <c r="AN27" s="2893"/>
      <c r="AO27" s="2893"/>
      <c r="AP27" s="2893"/>
      <c r="AQ27" s="2893"/>
      <c r="AR27" s="2893"/>
    </row>
    <row customHeight="1" ht="17.25">
      <c r="A28" s="1881"/>
      <c r="B28" s="2893"/>
      <c r="C28" s="1886"/>
      <c r="D28" s="1871"/>
      <c r="E28" s="1888"/>
      <c r="F28" s="1825"/>
      <c r="G28" s="1889"/>
      <c r="H28" s="1871"/>
      <c r="I28" s="1871"/>
      <c r="J28" s="1890"/>
      <c r="K28" s="1800"/>
      <c r="L28" s="2354"/>
      <c r="M28" s="2354"/>
      <c r="N28" s="2388"/>
      <c r="O28" s="1986"/>
      <c r="P28" s="310"/>
      <c r="Q28" s="311"/>
      <c r="R28" s="311" t="s">
        <v>192</v>
      </c>
      <c r="S28" s="1887"/>
      <c r="T28" s="1887"/>
      <c r="U28" s="1887"/>
      <c r="V28" s="1887"/>
      <c r="W28" s="312"/>
      <c r="X28" s="2893"/>
      <c r="Y28" s="1288"/>
      <c r="Z28" s="1288"/>
      <c r="AA28" s="1288"/>
      <c r="AB28" s="1288"/>
      <c r="AC28" s="1288"/>
      <c r="AD28" s="1288"/>
      <c r="AE28" s="1288"/>
      <c r="AF28" s="1288"/>
      <c r="AG28" s="1288"/>
      <c r="AH28" s="1288"/>
      <c r="AI28" s="1288"/>
      <c r="AJ28" s="1288"/>
      <c r="AK28" s="1288"/>
      <c r="AL28" s="2893"/>
      <c r="AM28" s="2893"/>
      <c r="AN28" s="2893"/>
      <c r="AO28" s="2893"/>
      <c r="AP28" s="2893"/>
      <c r="AQ28" s="2893"/>
      <c r="AR28" s="2893"/>
    </row>
    <row customHeight="1" ht="17.25">
      <c r="A29" s="1881"/>
      <c r="B29" s="2893"/>
      <c r="C29" s="1883"/>
      <c r="D29" s="1871"/>
      <c r="E29" s="1888"/>
      <c r="F29" s="1825"/>
      <c r="G29" s="1889"/>
      <c r="H29" s="1871"/>
      <c r="I29" s="1871"/>
      <c r="J29" s="1890"/>
      <c r="K29" s="1800"/>
      <c r="L29" s="1982" t="s">
        <v>103</v>
      </c>
      <c r="M29" s="1982" t="s">
        <v>89</v>
      </c>
      <c r="N29" s="2387" t="str">
        <f>IF(Z29="","",INDEX(TERRITORY_MR_LIST,MATCH(Z29,TERRITORY_LIST_ID,0)))</f>
        <v>Территория 3</v>
      </c>
      <c r="O29" s="2044" t="s">
        <v>56</v>
      </c>
      <c r="P29" s="1982"/>
      <c r="Q29" s="1982" t="s">
        <v>128</v>
      </c>
      <c r="R29" s="2903" t="s">
        <v>24</v>
      </c>
      <c r="S29" s="1981" t="s">
        <v>61</v>
      </c>
      <c r="T29" s="1852"/>
      <c r="U29" s="1852" t="s">
        <v>128</v>
      </c>
      <c r="V29" s="1884" t="s">
        <v>197</v>
      </c>
      <c r="W29" s="1842"/>
      <c r="X29" s="2893"/>
      <c r="Y29" s="1296"/>
      <c r="Z29" s="1296" t="s">
        <v>107</v>
      </c>
      <c r="AA29" s="1296"/>
      <c r="AB29" s="1296"/>
      <c r="AC29" s="2907" t="s">
        <v>186</v>
      </c>
      <c r="AD29" s="2907" t="s">
        <v>187</v>
      </c>
      <c r="AE29" s="1296" t="s">
        <v>198</v>
      </c>
      <c r="AF29" s="1296" t="s">
        <v>199</v>
      </c>
      <c r="AG29" s="1296" t="s">
        <v>200</v>
      </c>
      <c r="AH29" s="1296" t="str">
        <f>IF($E$23=0,"",$E$23)</f>
        <v>Тарифы на теплоноситель, поставляемый теплоснабжающими организациями потребителям, другим теплоснабжающим организациям</v>
      </c>
      <c r="AI29" s="1296" t="str">
        <f>IF($G$23=0,"",$G$23)</f>
        <v>Производство. Теплоноситель, Передача. Теплоноситель, Сбыт. Теплоноситель</v>
      </c>
      <c r="AJ29" s="1296" t="str">
        <f>IF($J$23=0,"",$J$23)</f>
        <v>Тариф на теплоноситель, поставляемый потребителям</v>
      </c>
      <c r="AK29" s="1296" t="str">
        <f>IF($K$29="нет","без дифференциации",IF($N$29=0,"",$N$29))</f>
        <v>Территория 3</v>
      </c>
      <c r="AL29" s="1885" t="str">
        <f>IF($O$29="нет","без дифференциации",IF($R$29=0,"",$R$29))</f>
        <v>без дифференциации</v>
      </c>
      <c r="AM29" s="1885" t="str">
        <f>IF($S$29="нет","без дифференциации",IF($V$29=0,"",$V$29))</f>
        <v>гп Никель</v>
      </c>
      <c r="AN29" s="1296">
        <f>$I$23</f>
        <v>1</v>
      </c>
      <c r="AO29" s="1296" t="str">
        <f>$I$23&amp;"."&amp;$M$29</f>
        <v>1.3</v>
      </c>
      <c r="AP29" s="1296" t="str">
        <f>$I$23&amp;"."&amp;$M$29&amp;"."&amp;$Q$29</f>
        <v>1.3.1</v>
      </c>
      <c r="AQ29" s="1296" t="str">
        <f>$I$23&amp;"."&amp;$M$29&amp;"."&amp;$Q$29&amp;"."&amp;$U$29</f>
        <v>1.3.1.1</v>
      </c>
      <c r="AR29" s="2893"/>
    </row>
    <row customHeight="1" ht="17.25">
      <c r="A30" s="1881"/>
      <c r="B30" s="2893"/>
      <c r="C30" s="1886"/>
      <c r="D30" s="1871"/>
      <c r="E30" s="1888"/>
      <c r="F30" s="1825"/>
      <c r="G30" s="1889"/>
      <c r="H30" s="1871"/>
      <c r="I30" s="1871"/>
      <c r="J30" s="1890"/>
      <c r="K30" s="1800"/>
      <c r="L30" s="1982"/>
      <c r="M30" s="1982"/>
      <c r="N30" s="2387"/>
      <c r="O30" s="2045"/>
      <c r="P30" s="1982"/>
      <c r="Q30" s="1982"/>
      <c r="R30" s="2903" t="s">
        <v>24</v>
      </c>
      <c r="S30" s="1981"/>
      <c r="T30" s="310"/>
      <c r="U30" s="311"/>
      <c r="V30" s="311" t="s">
        <v>191</v>
      </c>
      <c r="W30" s="312"/>
      <c r="X30" s="2893"/>
      <c r="Y30" s="1288"/>
      <c r="Z30" s="1288"/>
      <c r="AA30" s="1288"/>
      <c r="AB30" s="1288"/>
      <c r="AC30" s="1288"/>
      <c r="AD30" s="1288"/>
      <c r="AE30" s="1288"/>
      <c r="AF30" s="1288"/>
      <c r="AG30" s="1288"/>
      <c r="AH30" s="1288"/>
      <c r="AI30" s="1288"/>
      <c r="AJ30" s="1288"/>
      <c r="AK30" s="1288"/>
      <c r="AL30" s="2893"/>
      <c r="AM30" s="2893"/>
      <c r="AN30" s="2893"/>
      <c r="AO30" s="2893"/>
      <c r="AP30" s="2893"/>
      <c r="AQ30" s="2893"/>
      <c r="AR30" s="2893"/>
    </row>
    <row customHeight="1" ht="17.25">
      <c r="A31" s="1881"/>
      <c r="B31" s="2893"/>
      <c r="C31" s="1886"/>
      <c r="D31" s="1871"/>
      <c r="E31" s="1888"/>
      <c r="F31" s="1825"/>
      <c r="G31" s="1889"/>
      <c r="H31" s="1871"/>
      <c r="I31" s="1871"/>
      <c r="J31" s="1890"/>
      <c r="K31" s="1800"/>
      <c r="L31" s="2354"/>
      <c r="M31" s="2354"/>
      <c r="N31" s="2388"/>
      <c r="O31" s="1986"/>
      <c r="P31" s="310"/>
      <c r="Q31" s="311"/>
      <c r="R31" s="311" t="s">
        <v>192</v>
      </c>
      <c r="S31" s="1887"/>
      <c r="T31" s="1887"/>
      <c r="U31" s="1887"/>
      <c r="V31" s="1887"/>
      <c r="W31" s="312"/>
      <c r="X31" s="2893"/>
      <c r="Y31" s="1288"/>
      <c r="Z31" s="1288"/>
      <c r="AA31" s="1288"/>
      <c r="AB31" s="1288"/>
      <c r="AC31" s="1288"/>
      <c r="AD31" s="1288"/>
      <c r="AE31" s="1288"/>
      <c r="AF31" s="1288"/>
      <c r="AG31" s="1288"/>
      <c r="AH31" s="1288"/>
      <c r="AI31" s="1288"/>
      <c r="AJ31" s="1288"/>
      <c r="AK31" s="1288"/>
      <c r="AL31" s="2893"/>
      <c r="AM31" s="2893"/>
      <c r="AN31" s="2893"/>
      <c r="AO31" s="2893"/>
      <c r="AP31" s="2893"/>
      <c r="AQ31" s="2893"/>
      <c r="AR31" s="2893"/>
    </row>
    <row customHeight="1" ht="17.25">
      <c r="A32" s="1881"/>
      <c r="B32" s="2893"/>
      <c r="C32" s="1883"/>
      <c r="D32" s="1871"/>
      <c r="E32" s="1888"/>
      <c r="F32" s="1825"/>
      <c r="G32" s="1889"/>
      <c r="H32" s="1871"/>
      <c r="I32" s="1871"/>
      <c r="J32" s="1890"/>
      <c r="K32" s="1800"/>
      <c r="L32" s="1982" t="s">
        <v>103</v>
      </c>
      <c r="M32" s="1982" t="s">
        <v>90</v>
      </c>
      <c r="N32" s="2387" t="str">
        <f>IF(Z32="","",INDEX(TERRITORY_MR_LIST,MATCH(Z32,TERRITORY_LIST_ID,0)))</f>
        <v>Территория 4</v>
      </c>
      <c r="O32" s="2044" t="s">
        <v>56</v>
      </c>
      <c r="P32" s="1982"/>
      <c r="Q32" s="1982" t="s">
        <v>128</v>
      </c>
      <c r="R32" s="2903" t="s">
        <v>24</v>
      </c>
      <c r="S32" s="1981" t="s">
        <v>61</v>
      </c>
      <c r="T32" s="1852"/>
      <c r="U32" s="1852" t="s">
        <v>128</v>
      </c>
      <c r="V32" s="1884" t="s">
        <v>201</v>
      </c>
      <c r="W32" s="1842"/>
      <c r="X32" s="2893"/>
      <c r="Y32" s="1296"/>
      <c r="Z32" s="1296" t="s">
        <v>112</v>
      </c>
      <c r="AA32" s="1296"/>
      <c r="AB32" s="1296"/>
      <c r="AC32" s="2907" t="s">
        <v>186</v>
      </c>
      <c r="AD32" s="2907" t="s">
        <v>187</v>
      </c>
      <c r="AE32" s="1296" t="s">
        <v>202</v>
      </c>
      <c r="AF32" s="1296" t="s">
        <v>203</v>
      </c>
      <c r="AG32" s="1296" t="s">
        <v>204</v>
      </c>
      <c r="AH32" s="1296" t="str">
        <f>IF($E$23=0,"",$E$23)</f>
        <v>Тарифы на теплоноситель, поставляемый теплоснабжающими организациями потребителям, другим теплоснабжающим организациям</v>
      </c>
      <c r="AI32" s="1296" t="str">
        <f>IF($G$23=0,"",$G$23)</f>
        <v>Производство. Теплоноситель, Передача. Теплоноситель, Сбыт. Теплоноситель</v>
      </c>
      <c r="AJ32" s="1296" t="str">
        <f>IF($J$23=0,"",$J$23)</f>
        <v>Тариф на теплоноситель, поставляемый потребителям</v>
      </c>
      <c r="AK32" s="1296" t="str">
        <f>IF($K$32="нет","без дифференциации",IF($N$32=0,"",$N$32))</f>
        <v>Территория 4</v>
      </c>
      <c r="AL32" s="1885" t="str">
        <f>IF($O$32="нет","без дифференциации",IF($R$32=0,"",$R$32))</f>
        <v>без дифференциации</v>
      </c>
      <c r="AM32" s="1885" t="str">
        <f>IF($S$32="нет","без дифференциации",IF($V$32=0,"",$V$32))</f>
        <v>гп Заполярный</v>
      </c>
      <c r="AN32" s="1296">
        <f>$I$23</f>
        <v>1</v>
      </c>
      <c r="AO32" s="1296" t="str">
        <f>$I$23&amp;"."&amp;$M$32</f>
        <v>1.4</v>
      </c>
      <c r="AP32" s="1296" t="str">
        <f>$I$23&amp;"."&amp;$M$32&amp;"."&amp;$Q$32</f>
        <v>1.4.1</v>
      </c>
      <c r="AQ32" s="1296" t="str">
        <f>$I$23&amp;"."&amp;$M$32&amp;"."&amp;$Q$32&amp;"."&amp;$U$32</f>
        <v>1.4.1.1</v>
      </c>
      <c r="AR32" s="2893"/>
    </row>
    <row customHeight="1" ht="17.25">
      <c r="A33" s="1881"/>
      <c r="B33" s="2893"/>
      <c r="C33" s="1886"/>
      <c r="D33" s="1871"/>
      <c r="E33" s="1888"/>
      <c r="F33" s="1825"/>
      <c r="G33" s="1889"/>
      <c r="H33" s="1871"/>
      <c r="I33" s="1871"/>
      <c r="J33" s="1890"/>
      <c r="K33" s="1800"/>
      <c r="L33" s="1982"/>
      <c r="M33" s="1982"/>
      <c r="N33" s="2387"/>
      <c r="O33" s="2045"/>
      <c r="P33" s="1982"/>
      <c r="Q33" s="1982"/>
      <c r="R33" s="2903" t="s">
        <v>24</v>
      </c>
      <c r="S33" s="1981"/>
      <c r="T33" s="310"/>
      <c r="U33" s="311"/>
      <c r="V33" s="311" t="s">
        <v>191</v>
      </c>
      <c r="W33" s="312"/>
      <c r="X33" s="2893"/>
      <c r="Y33" s="1288"/>
      <c r="Z33" s="1288"/>
      <c r="AA33" s="1288"/>
      <c r="AB33" s="1288"/>
      <c r="AC33" s="1288"/>
      <c r="AD33" s="1288"/>
      <c r="AE33" s="1288"/>
      <c r="AF33" s="1288"/>
      <c r="AG33" s="1288"/>
      <c r="AH33" s="1288"/>
      <c r="AI33" s="1288"/>
      <c r="AJ33" s="1288"/>
      <c r="AK33" s="1288"/>
      <c r="AL33" s="2893"/>
      <c r="AM33" s="2893"/>
      <c r="AN33" s="2893"/>
      <c r="AO33" s="2893"/>
      <c r="AP33" s="2893"/>
      <c r="AQ33" s="2893"/>
      <c r="AR33" s="2893"/>
    </row>
    <row customHeight="1" ht="17.25">
      <c r="A34" s="1881"/>
      <c r="B34" s="2893"/>
      <c r="C34" s="1886"/>
      <c r="D34" s="1871"/>
      <c r="E34" s="1888"/>
      <c r="F34" s="1825"/>
      <c r="G34" s="1889"/>
      <c r="H34" s="1871"/>
      <c r="I34" s="1871"/>
      <c r="J34" s="1890"/>
      <c r="K34" s="1800"/>
      <c r="L34" s="2354"/>
      <c r="M34" s="2354"/>
      <c r="N34" s="2388"/>
      <c r="O34" s="1986"/>
      <c r="P34" s="310"/>
      <c r="Q34" s="311"/>
      <c r="R34" s="311" t="s">
        <v>192</v>
      </c>
      <c r="S34" s="1887"/>
      <c r="T34" s="1887"/>
      <c r="U34" s="1887"/>
      <c r="V34" s="1887"/>
      <c r="W34" s="312"/>
      <c r="X34" s="2893"/>
      <c r="Y34" s="1288"/>
      <c r="Z34" s="1288"/>
      <c r="AA34" s="1288"/>
      <c r="AB34" s="1288"/>
      <c r="AC34" s="1288"/>
      <c r="AD34" s="1288"/>
      <c r="AE34" s="1288"/>
      <c r="AF34" s="1288"/>
      <c r="AG34" s="1288"/>
      <c r="AH34" s="1288"/>
      <c r="AI34" s="1288"/>
      <c r="AJ34" s="1288"/>
      <c r="AK34" s="1288"/>
      <c r="AL34" s="2893"/>
      <c r="AM34" s="2893"/>
      <c r="AN34" s="2893"/>
      <c r="AO34" s="2893"/>
      <c r="AP34" s="2893"/>
      <c r="AQ34" s="2893"/>
      <c r="AR34" s="2893"/>
    </row>
    <row customHeight="1" ht="17.25">
      <c r="A35" s="1881"/>
      <c r="B35" s="2893"/>
      <c r="C35" s="1883"/>
      <c r="D35" s="1871"/>
      <c r="E35" s="1888"/>
      <c r="F35" s="1825"/>
      <c r="G35" s="1889"/>
      <c r="H35" s="1871"/>
      <c r="I35" s="1871"/>
      <c r="J35" s="1890"/>
      <c r="K35" s="1800"/>
      <c r="L35" s="1982" t="s">
        <v>103</v>
      </c>
      <c r="M35" s="1982" t="s">
        <v>116</v>
      </c>
      <c r="N35" s="2387" t="str">
        <f>IF(Z35="","",INDEX(TERRITORY_MR_LIST,MATCH(Z35,TERRITORY_LIST_ID,0)))</f>
        <v>Территория 5</v>
      </c>
      <c r="O35" s="2044" t="s">
        <v>56</v>
      </c>
      <c r="P35" s="1982"/>
      <c r="Q35" s="1982" t="s">
        <v>128</v>
      </c>
      <c r="R35" s="2903" t="s">
        <v>24</v>
      </c>
      <c r="S35" s="1981" t="s">
        <v>61</v>
      </c>
      <c r="T35" s="1852"/>
      <c r="U35" s="1852" t="s">
        <v>128</v>
      </c>
      <c r="V35" s="1884" t="s">
        <v>205</v>
      </c>
      <c r="W35" s="1842"/>
      <c r="X35" s="2893"/>
      <c r="Y35" s="1296"/>
      <c r="Z35" s="1296" t="s">
        <v>117</v>
      </c>
      <c r="AA35" s="1296"/>
      <c r="AB35" s="1296"/>
      <c r="AC35" s="2907" t="s">
        <v>186</v>
      </c>
      <c r="AD35" s="2907" t="s">
        <v>187</v>
      </c>
      <c r="AE35" s="1296" t="s">
        <v>206</v>
      </c>
      <c r="AF35" s="1296" t="s">
        <v>207</v>
      </c>
      <c r="AG35" s="1296" t="s">
        <v>208</v>
      </c>
      <c r="AH35" s="1296" t="str">
        <f>IF($E$23=0,"",$E$23)</f>
        <v>Тарифы на теплоноситель, поставляемый теплоснабжающими организациями потребителям, другим теплоснабжающим организациям</v>
      </c>
      <c r="AI35" s="1296" t="str">
        <f>IF($G$23=0,"",$G$23)</f>
        <v>Производство. Теплоноситель, Передача. Теплоноситель, Сбыт. Теплоноситель</v>
      </c>
      <c r="AJ35" s="1296" t="str">
        <f>IF($J$23=0,"",$J$23)</f>
        <v>Тариф на теплоноситель, поставляемый потребителям</v>
      </c>
      <c r="AK35" s="1296" t="str">
        <f>IF($K$35="нет","без дифференциации",IF($N$35=0,"",$N$35))</f>
        <v>Территория 5</v>
      </c>
      <c r="AL35" s="1885" t="str">
        <f>IF($O$35="нет","без дифференциации",IF($R$35=0,"",$R$35))</f>
        <v>без дифференциации</v>
      </c>
      <c r="AM35" s="1885" t="str">
        <f>IF($S$35="нет","без дифференциации",IF($V$35=0,"",$V$35))</f>
        <v>город Кандалакша (кроме микрорайона Нива-3)</v>
      </c>
      <c r="AN35" s="1296">
        <f>$I$23</f>
        <v>1</v>
      </c>
      <c r="AO35" s="1296" t="str">
        <f>$I$23&amp;"."&amp;$M$35</f>
        <v>1.5</v>
      </c>
      <c r="AP35" s="1296" t="str">
        <f>$I$23&amp;"."&amp;$M$35&amp;"."&amp;$Q$35</f>
        <v>1.5.1</v>
      </c>
      <c r="AQ35" s="1296" t="str">
        <f>$I$23&amp;"."&amp;$M$35&amp;"."&amp;$Q$35&amp;"."&amp;$U$35</f>
        <v>1.5.1.1</v>
      </c>
      <c r="AR35" s="2893"/>
    </row>
    <row customHeight="1" ht="17.25">
      <c r="A36" s="1881"/>
      <c r="B36" s="2893"/>
      <c r="C36" s="1883"/>
      <c r="D36" s="1871"/>
      <c r="E36" s="1888"/>
      <c r="F36" s="1825"/>
      <c r="G36" s="1889"/>
      <c r="H36" s="1796"/>
      <c r="I36" s="1796"/>
      <c r="J36" s="1797"/>
      <c r="K36" s="1889"/>
      <c r="L36" s="1796"/>
      <c r="M36" s="1796"/>
      <c r="N36" s="1889"/>
      <c r="O36" s="1889"/>
      <c r="P36" s="1796"/>
      <c r="Q36" s="1796"/>
      <c r="R36" s="1798"/>
      <c r="S36" s="1889"/>
      <c r="T36" s="1852" t="s">
        <v>103</v>
      </c>
      <c r="U36" s="1852" t="s">
        <v>102</v>
      </c>
      <c r="V36" s="1884" t="s">
        <v>209</v>
      </c>
      <c r="W36" s="1842"/>
      <c r="X36" s="2893"/>
      <c r="Y36" s="1296"/>
      <c r="Z36" s="1296"/>
      <c r="AA36" s="1296"/>
      <c r="AB36" s="1296"/>
      <c r="AC36" s="2907" t="s">
        <v>186</v>
      </c>
      <c r="AD36" s="2907" t="s">
        <v>187</v>
      </c>
      <c r="AE36" s="2907" t="s">
        <v>206</v>
      </c>
      <c r="AF36" s="2907" t="s">
        <v>207</v>
      </c>
      <c r="AG36" s="1296" t="s">
        <v>210</v>
      </c>
      <c r="AH36" s="1296" t="str">
        <f>IF($E$23=0,"",$E$23)</f>
        <v>Тарифы на теплоноситель, поставляемый теплоснабжающими организациями потребителям, другим теплоснабжающим организациям</v>
      </c>
      <c r="AI36" s="1296" t="str">
        <f>IF($G$23=0,"",$G$23)</f>
        <v>Производство. Теплоноситель, Передача. Теплоноситель, Сбыт. Теплоноситель</v>
      </c>
      <c r="AJ36" s="1296" t="str">
        <f>IF($J$23=0,"",$J$23)</f>
        <v>Тариф на теплоноситель, поставляемый потребителям</v>
      </c>
      <c r="AK36" s="1296" t="str">
        <f>IF($K$35="нет","без дифференциации",IF($N$35=0,"",$N$35))</f>
        <v>Территория 5</v>
      </c>
      <c r="AL36" s="1885" t="str">
        <f>IF($O$35="нет","без дифференциации",IF($R$35=0,"",$R$35))</f>
        <v>без дифференциации</v>
      </c>
      <c r="AM36" s="1885" t="str">
        <f>IF($S$36="нет","без дифференциации",IF($V$36=0,"",$V$36))</f>
        <v>город Кандалакша (микрорайон Нива-3)</v>
      </c>
      <c r="AN36" s="1296">
        <f>$I$23</f>
        <v>1</v>
      </c>
      <c r="AO36" s="1296" t="str">
        <f>$I$23&amp;"."&amp;$M$35</f>
        <v>1.5</v>
      </c>
      <c r="AP36" s="1296" t="str">
        <f>$I$23&amp;"."&amp;$M$35&amp;"."&amp;$Q$35</f>
        <v>1.5.1</v>
      </c>
      <c r="AQ36" s="1296" t="str">
        <f>$I$23&amp;"."&amp;$M$35&amp;"."&amp;$Q$35&amp;"."&amp;$U$36</f>
        <v>1.5.1.2</v>
      </c>
      <c r="AR36" s="2893"/>
    </row>
    <row customHeight="1" ht="17.25">
      <c r="A37" s="1881"/>
      <c r="B37" s="2893"/>
      <c r="C37" s="1886"/>
      <c r="D37" s="1871"/>
      <c r="E37" s="1888"/>
      <c r="F37" s="1825"/>
      <c r="G37" s="1889"/>
      <c r="H37" s="1871"/>
      <c r="I37" s="1871"/>
      <c r="J37" s="1890"/>
      <c r="K37" s="1800"/>
      <c r="L37" s="1982"/>
      <c r="M37" s="1982"/>
      <c r="N37" s="2387"/>
      <c r="O37" s="2045"/>
      <c r="P37" s="1982"/>
      <c r="Q37" s="1982"/>
      <c r="R37" s="2903" t="s">
        <v>24</v>
      </c>
      <c r="S37" s="1981"/>
      <c r="T37" s="310"/>
      <c r="U37" s="311"/>
      <c r="V37" s="311" t="s">
        <v>191</v>
      </c>
      <c r="W37" s="312"/>
      <c r="X37" s="2893"/>
      <c r="Y37" s="1288"/>
      <c r="Z37" s="1288"/>
      <c r="AA37" s="1288"/>
      <c r="AB37" s="1288"/>
      <c r="AC37" s="1288"/>
      <c r="AD37" s="1288"/>
      <c r="AE37" s="1288"/>
      <c r="AF37" s="1288"/>
      <c r="AG37" s="1288"/>
      <c r="AH37" s="1288"/>
      <c r="AI37" s="1288"/>
      <c r="AJ37" s="1288"/>
      <c r="AK37" s="1288"/>
      <c r="AL37" s="2893"/>
      <c r="AM37" s="2893"/>
      <c r="AN37" s="2893"/>
      <c r="AO37" s="2893"/>
      <c r="AP37" s="2893"/>
      <c r="AQ37" s="2893"/>
      <c r="AR37" s="2893"/>
    </row>
    <row customHeight="1" ht="17.25">
      <c r="A38" s="1881"/>
      <c r="B38" s="2893"/>
      <c r="C38" s="1886"/>
      <c r="D38" s="1871"/>
      <c r="E38" s="1888"/>
      <c r="F38" s="1825"/>
      <c r="G38" s="1889"/>
      <c r="H38" s="1871"/>
      <c r="I38" s="1871"/>
      <c r="J38" s="1890"/>
      <c r="K38" s="1800"/>
      <c r="L38" s="2354"/>
      <c r="M38" s="2354"/>
      <c r="N38" s="2388"/>
      <c r="O38" s="1986"/>
      <c r="P38" s="310"/>
      <c r="Q38" s="311"/>
      <c r="R38" s="311" t="s">
        <v>192</v>
      </c>
      <c r="S38" s="1887"/>
      <c r="T38" s="1887"/>
      <c r="U38" s="1887"/>
      <c r="V38" s="1887"/>
      <c r="W38" s="312"/>
      <c r="X38" s="2893"/>
      <c r="Y38" s="1288"/>
      <c r="Z38" s="1288"/>
      <c r="AA38" s="1288"/>
      <c r="AB38" s="1288"/>
      <c r="AC38" s="1288"/>
      <c r="AD38" s="1288"/>
      <c r="AE38" s="1288"/>
      <c r="AF38" s="1288"/>
      <c r="AG38" s="1288"/>
      <c r="AH38" s="1288"/>
      <c r="AI38" s="1288"/>
      <c r="AJ38" s="1288"/>
      <c r="AK38" s="1288"/>
      <c r="AL38" s="2893"/>
      <c r="AM38" s="2893"/>
      <c r="AN38" s="2893"/>
      <c r="AO38" s="2893"/>
      <c r="AP38" s="2893"/>
      <c r="AQ38" s="2893"/>
      <c r="AR38" s="2893"/>
    </row>
    <row s="2863" customFormat="1" customHeight="1" ht="17.25">
      <c r="A39" s="314"/>
      <c r="C39" s="313"/>
      <c r="D39" s="1992"/>
      <c r="E39" s="1994"/>
      <c r="F39" s="1996"/>
      <c r="G39" s="2879"/>
      <c r="H39" s="2880"/>
      <c r="I39" s="2880"/>
      <c r="J39" s="2881"/>
      <c r="K39" s="2883"/>
      <c r="L39" s="2920"/>
      <c r="M39" s="2921"/>
      <c r="N39" s="2922" t="s">
        <v>211</v>
      </c>
      <c r="O39" s="2923"/>
      <c r="P39" s="2924"/>
      <c r="Q39" s="2925"/>
      <c r="R39" s="2926"/>
      <c r="S39" s="2927"/>
      <c r="T39" s="2928"/>
      <c r="U39" s="2929"/>
      <c r="V39" s="2930"/>
      <c r="W39" s="2931"/>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customHeight="1" ht="17.25">
      <c r="A40" s="1881"/>
      <c r="B40" s="2893"/>
      <c r="C40" s="1883"/>
      <c r="D40" s="1871"/>
      <c r="E40" s="1888"/>
      <c r="F40" s="1825"/>
      <c r="G40" s="1889"/>
      <c r="H40" s="2353" t="s">
        <v>103</v>
      </c>
      <c r="I40" s="2353" t="s">
        <v>102</v>
      </c>
      <c r="J40" s="2389" t="s">
        <v>212</v>
      </c>
      <c r="K40" s="2044" t="s">
        <v>61</v>
      </c>
      <c r="L40" s="1982"/>
      <c r="M40" s="1982" t="s">
        <v>128</v>
      </c>
      <c r="N40" s="2387" t="str">
        <f>IF(Z40="","",INDEX(TERRITORY_MR_LIST,MATCH(Z40,TERRITORY_LIST_ID,0)))</f>
        <v>Территория 1</v>
      </c>
      <c r="O40" s="2044" t="s">
        <v>56</v>
      </c>
      <c r="P40" s="1982"/>
      <c r="Q40" s="1982" t="s">
        <v>128</v>
      </c>
      <c r="R40" s="2903" t="s">
        <v>24</v>
      </c>
      <c r="S40" s="1981" t="s">
        <v>61</v>
      </c>
      <c r="T40" s="1852"/>
      <c r="U40" s="1852" t="s">
        <v>128</v>
      </c>
      <c r="V40" s="1884" t="s">
        <v>184</v>
      </c>
      <c r="W40" s="1842"/>
      <c r="X40" s="2893"/>
      <c r="Y40" s="1296"/>
      <c r="Z40" s="1296" t="s">
        <v>97</v>
      </c>
      <c r="AA40" s="1296"/>
      <c r="AB40" s="1296"/>
      <c r="AC40" s="2907" t="s">
        <v>186</v>
      </c>
      <c r="AD40" s="1296" t="s">
        <v>213</v>
      </c>
      <c r="AE40" s="1296" t="s">
        <v>214</v>
      </c>
      <c r="AF40" s="1296" t="s">
        <v>215</v>
      </c>
      <c r="AG40" s="1296" t="s">
        <v>216</v>
      </c>
      <c r="AH40" s="1296" t="str">
        <f>IF($E$23=0,"",$E$23)</f>
        <v>Тарифы на теплоноситель, поставляемый теплоснабжающими организациями потребителям, другим теплоснабжающим организациям</v>
      </c>
      <c r="AI40" s="1296" t="str">
        <f>IF($G$23=0,"",$G$23)</f>
        <v>Производство. Теплоноситель, Передача. Теплоноситель, Сбыт. Теплоноситель</v>
      </c>
      <c r="AJ40" s="1296" t="str">
        <f>IF($J$40=0,"",$J$40)</f>
        <v>Тарифы на теплоноситель, поставляемый группе потребителей "население"</v>
      </c>
      <c r="AK40" s="1296" t="str">
        <f>IF($K$40="нет","без дифференциации",IF($N$40=0,"",$N$40))</f>
        <v>Территория 1</v>
      </c>
      <c r="AL40" s="1885" t="str">
        <f>IF($O$40="нет","без дифференциации",IF($R$40=0,"",$R$40))</f>
        <v>без дифференциации</v>
      </c>
      <c r="AM40" s="1885" t="str">
        <f>IF($S$40="нет","без дифференциации",IF($V$40=0,"",$V$40))</f>
        <v>город-герой Мурманск (кроме р-на Росляково)</v>
      </c>
      <c r="AN40" s="1296" t="str">
        <f>$I$40</f>
        <v>2</v>
      </c>
      <c r="AO40" s="1296" t="str">
        <f>$I$40&amp;"."&amp;$M$40</f>
        <v>2.1</v>
      </c>
      <c r="AP40" s="1296" t="str">
        <f>$I$40&amp;"."&amp;$M$40&amp;"."&amp;$Q$40</f>
        <v>2.1.1</v>
      </c>
      <c r="AQ40" s="1296" t="str">
        <f>$I$40&amp;"."&amp;$M$40&amp;"."&amp;$Q$40&amp;"."&amp;$U$40</f>
        <v>2.1.1.1</v>
      </c>
      <c r="AR40" s="2893"/>
    </row>
    <row customHeight="1" ht="17.25">
      <c r="A41" s="1881"/>
      <c r="B41" s="2893"/>
      <c r="C41" s="1886"/>
      <c r="D41" s="1871"/>
      <c r="E41" s="1888"/>
      <c r="F41" s="1825"/>
      <c r="G41" s="1889"/>
      <c r="H41" s="2353"/>
      <c r="I41" s="2353"/>
      <c r="J41" s="2389"/>
      <c r="K41" s="2045"/>
      <c r="L41" s="1982"/>
      <c r="M41" s="1982"/>
      <c r="N41" s="2387"/>
      <c r="O41" s="2045"/>
      <c r="P41" s="1982"/>
      <c r="Q41" s="1982"/>
      <c r="R41" s="2903" t="s">
        <v>24</v>
      </c>
      <c r="S41" s="1981"/>
      <c r="T41" s="310"/>
      <c r="U41" s="311"/>
      <c r="V41" s="311" t="s">
        <v>191</v>
      </c>
      <c r="W41" s="312"/>
      <c r="X41" s="2893"/>
      <c r="Y41" s="1288"/>
      <c r="Z41" s="1288"/>
      <c r="AA41" s="1288"/>
      <c r="AB41" s="1288"/>
      <c r="AC41" s="1288"/>
      <c r="AD41" s="1288"/>
      <c r="AE41" s="1288"/>
      <c r="AF41" s="1288"/>
      <c r="AG41" s="1288"/>
      <c r="AH41" s="1288"/>
      <c r="AI41" s="1288"/>
      <c r="AJ41" s="1288"/>
      <c r="AK41" s="1288"/>
      <c r="AL41" s="2893"/>
      <c r="AM41" s="2893"/>
      <c r="AN41" s="2893"/>
      <c r="AO41" s="2893"/>
      <c r="AP41" s="2893"/>
      <c r="AQ41" s="2893"/>
      <c r="AR41" s="2893"/>
    </row>
    <row customHeight="1" ht="17.25">
      <c r="A42" s="1881"/>
      <c r="B42" s="2893"/>
      <c r="C42" s="1886"/>
      <c r="D42" s="1871"/>
      <c r="E42" s="1888"/>
      <c r="F42" s="1825"/>
      <c r="G42" s="1889"/>
      <c r="H42" s="2354"/>
      <c r="I42" s="2354"/>
      <c r="J42" s="2390"/>
      <c r="K42" s="2045"/>
      <c r="L42" s="2354"/>
      <c r="M42" s="2354"/>
      <c r="N42" s="2388"/>
      <c r="O42" s="1986"/>
      <c r="P42" s="310"/>
      <c r="Q42" s="311"/>
      <c r="R42" s="311" t="s">
        <v>192</v>
      </c>
      <c r="S42" s="1887"/>
      <c r="T42" s="1887"/>
      <c r="U42" s="1887"/>
      <c r="V42" s="1887"/>
      <c r="W42" s="312"/>
      <c r="X42" s="2893"/>
      <c r="Y42" s="1288"/>
      <c r="Z42" s="1288"/>
      <c r="AA42" s="1288"/>
      <c r="AB42" s="1288"/>
      <c r="AC42" s="1288"/>
      <c r="AD42" s="1288"/>
      <c r="AE42" s="1288"/>
      <c r="AF42" s="1288"/>
      <c r="AG42" s="1288"/>
      <c r="AH42" s="1288"/>
      <c r="AI42" s="1288"/>
      <c r="AJ42" s="1288"/>
      <c r="AK42" s="1288"/>
      <c r="AL42" s="2893"/>
      <c r="AM42" s="2893"/>
      <c r="AN42" s="2893"/>
      <c r="AO42" s="2893"/>
      <c r="AP42" s="2893"/>
      <c r="AQ42" s="2893"/>
      <c r="AR42" s="2893"/>
    </row>
    <row customHeight="1" ht="17.25">
      <c r="A43" s="1881"/>
      <c r="B43" s="2893"/>
      <c r="C43" s="1883"/>
      <c r="D43" s="1871"/>
      <c r="E43" s="1888"/>
      <c r="F43" s="1825"/>
      <c r="G43" s="1889"/>
      <c r="H43" s="1871"/>
      <c r="I43" s="1871"/>
      <c r="J43" s="1890"/>
      <c r="K43" s="1800"/>
      <c r="L43" s="1982" t="s">
        <v>103</v>
      </c>
      <c r="M43" s="1982" t="s">
        <v>102</v>
      </c>
      <c r="N43" s="2387" t="str">
        <f>IF(Z43="","",INDEX(TERRITORY_MR_LIST,MATCH(Z43,TERRITORY_LIST_ID,0)))</f>
        <v>Территория 2</v>
      </c>
      <c r="O43" s="2044" t="s">
        <v>56</v>
      </c>
      <c r="P43" s="1982"/>
      <c r="Q43" s="1982" t="s">
        <v>128</v>
      </c>
      <c r="R43" s="2903" t="s">
        <v>24</v>
      </c>
      <c r="S43" s="1981" t="s">
        <v>61</v>
      </c>
      <c r="T43" s="1852"/>
      <c r="U43" s="1852" t="s">
        <v>128</v>
      </c>
      <c r="V43" s="1884" t="s">
        <v>193</v>
      </c>
      <c r="W43" s="1842"/>
      <c r="X43" s="2893"/>
      <c r="Y43" s="1296"/>
      <c r="Z43" s="1296" t="s">
        <v>104</v>
      </c>
      <c r="AA43" s="1296"/>
      <c r="AB43" s="1296"/>
      <c r="AC43" s="2907" t="s">
        <v>186</v>
      </c>
      <c r="AD43" s="2907" t="s">
        <v>213</v>
      </c>
      <c r="AE43" s="1296" t="s">
        <v>217</v>
      </c>
      <c r="AF43" s="1296" t="s">
        <v>218</v>
      </c>
      <c r="AG43" s="1296" t="s">
        <v>219</v>
      </c>
      <c r="AH43" s="1296" t="str">
        <f>IF($E$23=0,"",$E$23)</f>
        <v>Тарифы на теплоноситель, поставляемый теплоснабжающими организациями потребителям, другим теплоснабжающим организациям</v>
      </c>
      <c r="AI43" s="1296" t="str">
        <f>IF($G$23=0,"",$G$23)</f>
        <v>Производство. Теплоноситель, Передача. Теплоноситель, Сбыт. Теплоноситель</v>
      </c>
      <c r="AJ43" s="1296" t="str">
        <f>IF($J$40=0,"",$J$40)</f>
        <v>Тарифы на теплоноситель, поставляемый группе потребителей "население"</v>
      </c>
      <c r="AK43" s="1296" t="str">
        <f>IF($K$43="нет","без дифференциации",IF($N$43=0,"",$N$43))</f>
        <v>Территория 2</v>
      </c>
      <c r="AL43" s="1885" t="str">
        <f>IF($O$43="нет","без дифференциации",IF($R$43=0,"",$R$43))</f>
        <v>без дифференциации</v>
      </c>
      <c r="AM43" s="1885" t="str">
        <f>IF($S$43="нет","без дифференциации",IF($V$43=0,"",$V$43))</f>
        <v>город Снежногорск</v>
      </c>
      <c r="AN43" s="1296" t="str">
        <f>$I$40</f>
        <v>2</v>
      </c>
      <c r="AO43" s="1296" t="str">
        <f>$I$40&amp;"."&amp;$M$43</f>
        <v>2.2</v>
      </c>
      <c r="AP43" s="1296" t="str">
        <f>$I$40&amp;"."&amp;$M$43&amp;"."&amp;$Q$43</f>
        <v>2.2.1</v>
      </c>
      <c r="AQ43" s="1296" t="str">
        <f>$I$40&amp;"."&amp;$M$43&amp;"."&amp;$Q$43&amp;"."&amp;$U$43</f>
        <v>2.2.1.1</v>
      </c>
      <c r="AR43" s="2893"/>
    </row>
    <row customHeight="1" ht="17.25">
      <c r="A44" s="1881"/>
      <c r="B44" s="2893"/>
      <c r="C44" s="1886"/>
      <c r="D44" s="1871"/>
      <c r="E44" s="1888"/>
      <c r="F44" s="1825"/>
      <c r="G44" s="1889"/>
      <c r="H44" s="1871"/>
      <c r="I44" s="1871"/>
      <c r="J44" s="1890"/>
      <c r="K44" s="1800"/>
      <c r="L44" s="1982"/>
      <c r="M44" s="1982"/>
      <c r="N44" s="2387"/>
      <c r="O44" s="2045"/>
      <c r="P44" s="1982"/>
      <c r="Q44" s="1982"/>
      <c r="R44" s="2903" t="s">
        <v>24</v>
      </c>
      <c r="S44" s="1981"/>
      <c r="T44" s="310"/>
      <c r="U44" s="311"/>
      <c r="V44" s="311" t="s">
        <v>191</v>
      </c>
      <c r="W44" s="312"/>
      <c r="X44" s="2893"/>
      <c r="Y44" s="1288"/>
      <c r="Z44" s="1288"/>
      <c r="AA44" s="1288"/>
      <c r="AB44" s="1288"/>
      <c r="AC44" s="1288"/>
      <c r="AD44" s="1288"/>
      <c r="AE44" s="1288"/>
      <c r="AF44" s="1288"/>
      <c r="AG44" s="1288"/>
      <c r="AH44" s="1288"/>
      <c r="AI44" s="1288"/>
      <c r="AJ44" s="1288"/>
      <c r="AK44" s="1288"/>
      <c r="AL44" s="2893"/>
      <c r="AM44" s="2893"/>
      <c r="AN44" s="2893"/>
      <c r="AO44" s="2893"/>
      <c r="AP44" s="2893"/>
      <c r="AQ44" s="2893"/>
      <c r="AR44" s="2893"/>
    </row>
    <row customHeight="1" ht="17.25">
      <c r="A45" s="1881"/>
      <c r="B45" s="2893"/>
      <c r="C45" s="1886"/>
      <c r="D45" s="1871"/>
      <c r="E45" s="1888"/>
      <c r="F45" s="1825"/>
      <c r="G45" s="1889"/>
      <c r="H45" s="1871"/>
      <c r="I45" s="1871"/>
      <c r="J45" s="1890"/>
      <c r="K45" s="1800"/>
      <c r="L45" s="2354"/>
      <c r="M45" s="2354"/>
      <c r="N45" s="2388"/>
      <c r="O45" s="1986"/>
      <c r="P45" s="310"/>
      <c r="Q45" s="311"/>
      <c r="R45" s="311" t="s">
        <v>192</v>
      </c>
      <c r="S45" s="1887"/>
      <c r="T45" s="1887"/>
      <c r="U45" s="1887"/>
      <c r="V45" s="1887"/>
      <c r="W45" s="312"/>
      <c r="X45" s="2893"/>
      <c r="Y45" s="1288"/>
      <c r="Z45" s="1288"/>
      <c r="AA45" s="1288"/>
      <c r="AB45" s="1288"/>
      <c r="AC45" s="1288"/>
      <c r="AD45" s="1288"/>
      <c r="AE45" s="1288"/>
      <c r="AF45" s="1288"/>
      <c r="AG45" s="1288"/>
      <c r="AH45" s="1288"/>
      <c r="AI45" s="1288"/>
      <c r="AJ45" s="1288"/>
      <c r="AK45" s="1288"/>
      <c r="AL45" s="2893"/>
      <c r="AM45" s="2893"/>
      <c r="AN45" s="2893"/>
      <c r="AO45" s="2893"/>
      <c r="AP45" s="2893"/>
      <c r="AQ45" s="2893"/>
      <c r="AR45" s="2893"/>
    </row>
    <row customHeight="1" ht="17.25">
      <c r="A46" s="1881"/>
      <c r="B46" s="2893"/>
      <c r="C46" s="1883"/>
      <c r="D46" s="1871"/>
      <c r="E46" s="1888"/>
      <c r="F46" s="1825"/>
      <c r="G46" s="1889"/>
      <c r="H46" s="1871"/>
      <c r="I46" s="1871"/>
      <c r="J46" s="1890"/>
      <c r="K46" s="1800"/>
      <c r="L46" s="1982" t="s">
        <v>103</v>
      </c>
      <c r="M46" s="1982" t="s">
        <v>89</v>
      </c>
      <c r="N46" s="2387" t="str">
        <f>IF(Z46="","",INDEX(TERRITORY_MR_LIST,MATCH(Z46,TERRITORY_LIST_ID,0)))</f>
        <v>Территория 3</v>
      </c>
      <c r="O46" s="2044" t="s">
        <v>56</v>
      </c>
      <c r="P46" s="1982"/>
      <c r="Q46" s="1982" t="s">
        <v>128</v>
      </c>
      <c r="R46" s="2903" t="s">
        <v>24</v>
      </c>
      <c r="S46" s="1981" t="s">
        <v>61</v>
      </c>
      <c r="T46" s="1852"/>
      <c r="U46" s="1852" t="s">
        <v>128</v>
      </c>
      <c r="V46" s="1884" t="s">
        <v>197</v>
      </c>
      <c r="W46" s="1842"/>
      <c r="X46" s="2893"/>
      <c r="Y46" s="1296"/>
      <c r="Z46" s="1296" t="s">
        <v>107</v>
      </c>
      <c r="AA46" s="1296"/>
      <c r="AB46" s="1296"/>
      <c r="AC46" s="2907" t="s">
        <v>186</v>
      </c>
      <c r="AD46" s="2907" t="s">
        <v>213</v>
      </c>
      <c r="AE46" s="1296" t="s">
        <v>220</v>
      </c>
      <c r="AF46" s="1296" t="s">
        <v>221</v>
      </c>
      <c r="AG46" s="1296" t="s">
        <v>222</v>
      </c>
      <c r="AH46" s="1296" t="str">
        <f>IF($E$23=0,"",$E$23)</f>
        <v>Тарифы на теплоноситель, поставляемый теплоснабжающими организациями потребителям, другим теплоснабжающим организациям</v>
      </c>
      <c r="AI46" s="1296" t="str">
        <f>IF($G$23=0,"",$G$23)</f>
        <v>Производство. Теплоноситель, Передача. Теплоноситель, Сбыт. Теплоноситель</v>
      </c>
      <c r="AJ46" s="1296" t="str">
        <f>IF($J$40=0,"",$J$40)</f>
        <v>Тарифы на теплоноситель, поставляемый группе потребителей "население"</v>
      </c>
      <c r="AK46" s="1296" t="str">
        <f>IF($K$46="нет","без дифференциации",IF($N$46=0,"",$N$46))</f>
        <v>Территория 3</v>
      </c>
      <c r="AL46" s="1885" t="str">
        <f>IF($O$46="нет","без дифференциации",IF($R$46=0,"",$R$46))</f>
        <v>без дифференциации</v>
      </c>
      <c r="AM46" s="1885" t="str">
        <f>IF($S$46="нет","без дифференциации",IF($V$46=0,"",$V$46))</f>
        <v>гп Никель</v>
      </c>
      <c r="AN46" s="1296" t="str">
        <f>$I$40</f>
        <v>2</v>
      </c>
      <c r="AO46" s="1296" t="str">
        <f>$I$40&amp;"."&amp;$M$46</f>
        <v>2.3</v>
      </c>
      <c r="AP46" s="1296" t="str">
        <f>$I$40&amp;"."&amp;$M$46&amp;"."&amp;$Q$46</f>
        <v>2.3.1</v>
      </c>
      <c r="AQ46" s="1296" t="str">
        <f>$I$40&amp;"."&amp;$M$46&amp;"."&amp;$Q$46&amp;"."&amp;$U$46</f>
        <v>2.3.1.1</v>
      </c>
      <c r="AR46" s="2893"/>
    </row>
    <row customHeight="1" ht="17.25">
      <c r="A47" s="1881"/>
      <c r="B47" s="2893"/>
      <c r="C47" s="1886"/>
      <c r="D47" s="1871"/>
      <c r="E47" s="1888"/>
      <c r="F47" s="1825"/>
      <c r="G47" s="1889"/>
      <c r="H47" s="1871"/>
      <c r="I47" s="1871"/>
      <c r="J47" s="1890"/>
      <c r="K47" s="1800"/>
      <c r="L47" s="1982"/>
      <c r="M47" s="1982"/>
      <c r="N47" s="2387"/>
      <c r="O47" s="2045"/>
      <c r="P47" s="1982"/>
      <c r="Q47" s="1982"/>
      <c r="R47" s="2903" t="s">
        <v>24</v>
      </c>
      <c r="S47" s="1981"/>
      <c r="T47" s="310"/>
      <c r="U47" s="311"/>
      <c r="V47" s="311" t="s">
        <v>191</v>
      </c>
      <c r="W47" s="312"/>
      <c r="X47" s="2893"/>
      <c r="Y47" s="1288"/>
      <c r="Z47" s="1288"/>
      <c r="AA47" s="1288"/>
      <c r="AB47" s="1288"/>
      <c r="AC47" s="1288"/>
      <c r="AD47" s="1288"/>
      <c r="AE47" s="1288"/>
      <c r="AF47" s="1288"/>
      <c r="AG47" s="1288"/>
      <c r="AH47" s="1288"/>
      <c r="AI47" s="1288"/>
      <c r="AJ47" s="1288"/>
      <c r="AK47" s="1288"/>
      <c r="AL47" s="2893"/>
      <c r="AM47" s="2893"/>
      <c r="AN47" s="2893"/>
      <c r="AO47" s="2893"/>
      <c r="AP47" s="2893"/>
      <c r="AQ47" s="2893"/>
      <c r="AR47" s="2893"/>
    </row>
    <row customHeight="1" ht="17.25">
      <c r="A48" s="1881"/>
      <c r="B48" s="2893"/>
      <c r="C48" s="1886"/>
      <c r="D48" s="1871"/>
      <c r="E48" s="1888"/>
      <c r="F48" s="1825"/>
      <c r="G48" s="1889"/>
      <c r="H48" s="1871"/>
      <c r="I48" s="1871"/>
      <c r="J48" s="1890"/>
      <c r="K48" s="1800"/>
      <c r="L48" s="2354"/>
      <c r="M48" s="2354"/>
      <c r="N48" s="2388"/>
      <c r="O48" s="1986"/>
      <c r="P48" s="310"/>
      <c r="Q48" s="311"/>
      <c r="R48" s="311" t="s">
        <v>192</v>
      </c>
      <c r="S48" s="1887"/>
      <c r="T48" s="1887"/>
      <c r="U48" s="1887"/>
      <c r="V48" s="1887"/>
      <c r="W48" s="312"/>
      <c r="X48" s="2893"/>
      <c r="Y48" s="1288"/>
      <c r="Z48" s="1288"/>
      <c r="AA48" s="1288"/>
      <c r="AB48" s="1288"/>
      <c r="AC48" s="1288"/>
      <c r="AD48" s="1288"/>
      <c r="AE48" s="1288"/>
      <c r="AF48" s="1288"/>
      <c r="AG48" s="1288"/>
      <c r="AH48" s="1288"/>
      <c r="AI48" s="1288"/>
      <c r="AJ48" s="1288"/>
      <c r="AK48" s="1288"/>
      <c r="AL48" s="2893"/>
      <c r="AM48" s="2893"/>
      <c r="AN48" s="2893"/>
      <c r="AO48" s="2893"/>
      <c r="AP48" s="2893"/>
      <c r="AQ48" s="2893"/>
      <c r="AR48" s="2893"/>
    </row>
    <row customHeight="1" ht="17.25">
      <c r="A49" s="1881"/>
      <c r="B49" s="2893"/>
      <c r="C49" s="1883"/>
      <c r="D49" s="1871"/>
      <c r="E49" s="1888"/>
      <c r="F49" s="1825"/>
      <c r="G49" s="1889"/>
      <c r="H49" s="1871"/>
      <c r="I49" s="1871"/>
      <c r="J49" s="1890"/>
      <c r="K49" s="1800"/>
      <c r="L49" s="1982" t="s">
        <v>103</v>
      </c>
      <c r="M49" s="1982" t="s">
        <v>90</v>
      </c>
      <c r="N49" s="2387" t="str">
        <f>IF(Z49="","",INDEX(TERRITORY_MR_LIST,MATCH(Z49,TERRITORY_LIST_ID,0)))</f>
        <v>Территория 4</v>
      </c>
      <c r="O49" s="2044" t="s">
        <v>56</v>
      </c>
      <c r="P49" s="1982"/>
      <c r="Q49" s="1982" t="s">
        <v>128</v>
      </c>
      <c r="R49" s="2903" t="s">
        <v>24</v>
      </c>
      <c r="S49" s="1981" t="s">
        <v>61</v>
      </c>
      <c r="T49" s="1852"/>
      <c r="U49" s="1852" t="s">
        <v>128</v>
      </c>
      <c r="V49" s="1884" t="s">
        <v>201</v>
      </c>
      <c r="W49" s="1842"/>
      <c r="X49" s="2893"/>
      <c r="Y49" s="1296"/>
      <c r="Z49" s="1296" t="s">
        <v>112</v>
      </c>
      <c r="AA49" s="1296"/>
      <c r="AB49" s="1296"/>
      <c r="AC49" s="2907" t="s">
        <v>186</v>
      </c>
      <c r="AD49" s="2907" t="s">
        <v>213</v>
      </c>
      <c r="AE49" s="1296" t="s">
        <v>223</v>
      </c>
      <c r="AF49" s="1296" t="s">
        <v>224</v>
      </c>
      <c r="AG49" s="1296" t="s">
        <v>225</v>
      </c>
      <c r="AH49" s="1296" t="str">
        <f>IF($E$23=0,"",$E$23)</f>
        <v>Тарифы на теплоноситель, поставляемый теплоснабжающими организациями потребителям, другим теплоснабжающим организациям</v>
      </c>
      <c r="AI49" s="1296" t="str">
        <f>IF($G$23=0,"",$G$23)</f>
        <v>Производство. Теплоноситель, Передача. Теплоноситель, Сбыт. Теплоноситель</v>
      </c>
      <c r="AJ49" s="1296" t="str">
        <f>IF($J$40=0,"",$J$40)</f>
        <v>Тарифы на теплоноситель, поставляемый группе потребителей "население"</v>
      </c>
      <c r="AK49" s="1296" t="str">
        <f>IF($K$49="нет","без дифференциации",IF($N$49=0,"",$N$49))</f>
        <v>Территория 4</v>
      </c>
      <c r="AL49" s="1885" t="str">
        <f>IF($O$49="нет","без дифференциации",IF($R$49=0,"",$R$49))</f>
        <v>без дифференциации</v>
      </c>
      <c r="AM49" s="1885" t="str">
        <f>IF($S$49="нет","без дифференциации",IF($V$49=0,"",$V$49))</f>
        <v>гп Заполярный</v>
      </c>
      <c r="AN49" s="1296" t="str">
        <f>$I$40</f>
        <v>2</v>
      </c>
      <c r="AO49" s="1296" t="str">
        <f>$I$40&amp;"."&amp;$M$49</f>
        <v>2.4</v>
      </c>
      <c r="AP49" s="1296" t="str">
        <f>$I$40&amp;"."&amp;$M$49&amp;"."&amp;$Q$49</f>
        <v>2.4.1</v>
      </c>
      <c r="AQ49" s="1296" t="str">
        <f>$I$40&amp;"."&amp;$M$49&amp;"."&amp;$Q$49&amp;"."&amp;$U$49</f>
        <v>2.4.1.1</v>
      </c>
      <c r="AR49" s="2893"/>
    </row>
    <row customHeight="1" ht="17.25">
      <c r="A50" s="1881"/>
      <c r="B50" s="2893"/>
      <c r="C50" s="1886"/>
      <c r="D50" s="1871"/>
      <c r="E50" s="1888"/>
      <c r="F50" s="1825"/>
      <c r="G50" s="1889"/>
      <c r="H50" s="1871"/>
      <c r="I50" s="1871"/>
      <c r="J50" s="1890"/>
      <c r="K50" s="1800"/>
      <c r="L50" s="1982"/>
      <c r="M50" s="1982"/>
      <c r="N50" s="2387"/>
      <c r="O50" s="2045"/>
      <c r="P50" s="1982"/>
      <c r="Q50" s="1982"/>
      <c r="R50" s="2903" t="s">
        <v>24</v>
      </c>
      <c r="S50" s="1981"/>
      <c r="T50" s="310"/>
      <c r="U50" s="311"/>
      <c r="V50" s="311" t="s">
        <v>191</v>
      </c>
      <c r="W50" s="312"/>
      <c r="X50" s="2893"/>
      <c r="Y50" s="1288"/>
      <c r="Z50" s="1288"/>
      <c r="AA50" s="1288"/>
      <c r="AB50" s="1288"/>
      <c r="AC50" s="1288"/>
      <c r="AD50" s="1288"/>
      <c r="AE50" s="1288"/>
      <c r="AF50" s="1288"/>
      <c r="AG50" s="1288"/>
      <c r="AH50" s="1288"/>
      <c r="AI50" s="1288"/>
      <c r="AJ50" s="1288"/>
      <c r="AK50" s="1288"/>
      <c r="AL50" s="2893"/>
      <c r="AM50" s="2893"/>
      <c r="AN50" s="2893"/>
      <c r="AO50" s="2893"/>
      <c r="AP50" s="2893"/>
      <c r="AQ50" s="2893"/>
      <c r="AR50" s="2893"/>
    </row>
    <row customHeight="1" ht="17.25">
      <c r="A51" s="1881"/>
      <c r="B51" s="2893"/>
      <c r="C51" s="1886"/>
      <c r="D51" s="1871"/>
      <c r="E51" s="1888"/>
      <c r="F51" s="1825"/>
      <c r="G51" s="1889"/>
      <c r="H51" s="1871"/>
      <c r="I51" s="1871"/>
      <c r="J51" s="1890"/>
      <c r="K51" s="1800"/>
      <c r="L51" s="2354"/>
      <c r="M51" s="2354"/>
      <c r="N51" s="2388"/>
      <c r="O51" s="1986"/>
      <c r="P51" s="310"/>
      <c r="Q51" s="311"/>
      <c r="R51" s="311" t="s">
        <v>192</v>
      </c>
      <c r="S51" s="1887"/>
      <c r="T51" s="1887"/>
      <c r="U51" s="1887"/>
      <c r="V51" s="1887"/>
      <c r="W51" s="312"/>
      <c r="X51" s="2893"/>
      <c r="Y51" s="1288"/>
      <c r="Z51" s="1288"/>
      <c r="AA51" s="1288"/>
      <c r="AB51" s="1288"/>
      <c r="AC51" s="1288"/>
      <c r="AD51" s="1288"/>
      <c r="AE51" s="1288"/>
      <c r="AF51" s="1288"/>
      <c r="AG51" s="1288"/>
      <c r="AH51" s="1288"/>
      <c r="AI51" s="1288"/>
      <c r="AJ51" s="1288"/>
      <c r="AK51" s="1288"/>
      <c r="AL51" s="2893"/>
      <c r="AM51" s="2893"/>
      <c r="AN51" s="2893"/>
      <c r="AO51" s="2893"/>
      <c r="AP51" s="2893"/>
      <c r="AQ51" s="2893"/>
      <c r="AR51" s="2893"/>
    </row>
    <row customHeight="1" ht="17.25">
      <c r="A52" s="1881"/>
      <c r="B52" s="2893"/>
      <c r="C52" s="1883"/>
      <c r="D52" s="1871"/>
      <c r="E52" s="1888"/>
      <c r="F52" s="1825"/>
      <c r="G52" s="1889"/>
      <c r="H52" s="1871"/>
      <c r="I52" s="1871"/>
      <c r="J52" s="1890"/>
      <c r="K52" s="1800"/>
      <c r="L52" s="1982" t="s">
        <v>103</v>
      </c>
      <c r="M52" s="1982" t="s">
        <v>116</v>
      </c>
      <c r="N52" s="2387" t="str">
        <f>IF(Z52="","",INDEX(TERRITORY_MR_LIST,MATCH(Z52,TERRITORY_LIST_ID,0)))</f>
        <v>Территория 5</v>
      </c>
      <c r="O52" s="2044" t="s">
        <v>56</v>
      </c>
      <c r="P52" s="1982"/>
      <c r="Q52" s="1982" t="s">
        <v>128</v>
      </c>
      <c r="R52" s="2903" t="s">
        <v>24</v>
      </c>
      <c r="S52" s="1981" t="s">
        <v>61</v>
      </c>
      <c r="T52" s="1852"/>
      <c r="U52" s="1852" t="s">
        <v>128</v>
      </c>
      <c r="V52" s="1884" t="s">
        <v>205</v>
      </c>
      <c r="W52" s="1842"/>
      <c r="X52" s="2893"/>
      <c r="Y52" s="1296"/>
      <c r="Z52" s="1296" t="s">
        <v>117</v>
      </c>
      <c r="AA52" s="1296"/>
      <c r="AB52" s="1296"/>
      <c r="AC52" s="2907" t="s">
        <v>186</v>
      </c>
      <c r="AD52" s="2907" t="s">
        <v>213</v>
      </c>
      <c r="AE52" s="1296" t="s">
        <v>226</v>
      </c>
      <c r="AF52" s="1296" t="s">
        <v>227</v>
      </c>
      <c r="AG52" s="1296" t="s">
        <v>228</v>
      </c>
      <c r="AH52" s="1296" t="str">
        <f>IF($E$23=0,"",$E$23)</f>
        <v>Тарифы на теплоноситель, поставляемый теплоснабжающими организациями потребителям, другим теплоснабжающим организациям</v>
      </c>
      <c r="AI52" s="1296" t="str">
        <f>IF($G$23=0,"",$G$23)</f>
        <v>Производство. Теплоноситель, Передача. Теплоноситель, Сбыт. Теплоноситель</v>
      </c>
      <c r="AJ52" s="1296" t="str">
        <f>IF($J$40=0,"",$J$40)</f>
        <v>Тарифы на теплоноситель, поставляемый группе потребителей "население"</v>
      </c>
      <c r="AK52" s="1296" t="str">
        <f>IF($K$52="нет","без дифференциации",IF($N$52=0,"",$N$52))</f>
        <v>Территория 5</v>
      </c>
      <c r="AL52" s="1885" t="str">
        <f>IF($O$52="нет","без дифференциации",IF($R$52=0,"",$R$52))</f>
        <v>без дифференциации</v>
      </c>
      <c r="AM52" s="1885" t="str">
        <f>IF($S$52="нет","без дифференциации",IF($V$52=0,"",$V$52))</f>
        <v>город Кандалакша (кроме микрорайона Нива-3)</v>
      </c>
      <c r="AN52" s="1296" t="str">
        <f>$I$40</f>
        <v>2</v>
      </c>
      <c r="AO52" s="1296" t="str">
        <f>$I$40&amp;"."&amp;$M$52</f>
        <v>2.5</v>
      </c>
      <c r="AP52" s="1296" t="str">
        <f>$I$40&amp;"."&amp;$M$52&amp;"."&amp;$Q$52</f>
        <v>2.5.1</v>
      </c>
      <c r="AQ52" s="1296" t="str">
        <f>$I$40&amp;"."&amp;$M$52&amp;"."&amp;$Q$52&amp;"."&amp;$U$52</f>
        <v>2.5.1.1</v>
      </c>
      <c r="AR52" s="2893"/>
    </row>
    <row customHeight="1" ht="17.25">
      <c r="A53" s="1881"/>
      <c r="B53" s="2893"/>
      <c r="C53" s="1883"/>
      <c r="D53" s="1871"/>
      <c r="E53" s="1888"/>
      <c r="F53" s="1825"/>
      <c r="G53" s="1889"/>
      <c r="H53" s="1796"/>
      <c r="I53" s="1796"/>
      <c r="J53" s="1797"/>
      <c r="K53" s="1889"/>
      <c r="L53" s="1796"/>
      <c r="M53" s="1796"/>
      <c r="N53" s="1889"/>
      <c r="O53" s="1889"/>
      <c r="P53" s="1796"/>
      <c r="Q53" s="1796"/>
      <c r="R53" s="1798"/>
      <c r="S53" s="1889"/>
      <c r="T53" s="1852" t="s">
        <v>103</v>
      </c>
      <c r="U53" s="1852" t="s">
        <v>102</v>
      </c>
      <c r="V53" s="1884" t="s">
        <v>209</v>
      </c>
      <c r="W53" s="1842"/>
      <c r="X53" s="2893"/>
      <c r="Y53" s="1296"/>
      <c r="Z53" s="1296"/>
      <c r="AA53" s="1296"/>
      <c r="AB53" s="1296"/>
      <c r="AC53" s="2907" t="s">
        <v>186</v>
      </c>
      <c r="AD53" s="2907" t="s">
        <v>213</v>
      </c>
      <c r="AE53" s="2907" t="s">
        <v>226</v>
      </c>
      <c r="AF53" s="2907" t="s">
        <v>227</v>
      </c>
      <c r="AG53" s="1296" t="s">
        <v>229</v>
      </c>
      <c r="AH53" s="1296" t="str">
        <f>IF($E$23=0,"",$E$23)</f>
        <v>Тарифы на теплоноситель, поставляемый теплоснабжающими организациями потребителям, другим теплоснабжающим организациям</v>
      </c>
      <c r="AI53" s="1296" t="str">
        <f>IF($G$23=0,"",$G$23)</f>
        <v>Производство. Теплоноситель, Передача. Теплоноситель, Сбыт. Теплоноситель</v>
      </c>
      <c r="AJ53" s="1296" t="str">
        <f>IF($J$40=0,"",$J$40)</f>
        <v>Тарифы на теплоноситель, поставляемый группе потребителей "население"</v>
      </c>
      <c r="AK53" s="1296" t="str">
        <f>IF($K$52="нет","без дифференциации",IF($N$52=0,"",$N$52))</f>
        <v>Территория 5</v>
      </c>
      <c r="AL53" s="1885" t="str">
        <f>IF($O$52="нет","без дифференциации",IF($R$52=0,"",$R$52))</f>
        <v>без дифференциации</v>
      </c>
      <c r="AM53" s="1885" t="str">
        <f>IF($S$53="нет","без дифференциации",IF($V$53=0,"",$V$53))</f>
        <v>город Кандалакша (микрорайон Нива-3)</v>
      </c>
      <c r="AN53" s="1296" t="str">
        <f>$I$40</f>
        <v>2</v>
      </c>
      <c r="AO53" s="1296" t="str">
        <f>$I$40&amp;"."&amp;$M$52</f>
        <v>2.5</v>
      </c>
      <c r="AP53" s="1296" t="str">
        <f>$I$40&amp;"."&amp;$M$52&amp;"."&amp;$Q$52</f>
        <v>2.5.1</v>
      </c>
      <c r="AQ53" s="1296" t="str">
        <f>$I$40&amp;"."&amp;$M$52&amp;"."&amp;$Q$52&amp;"."&amp;$U$53</f>
        <v>2.5.1.2</v>
      </c>
      <c r="AR53" s="2893"/>
    </row>
    <row customHeight="1" ht="17.25">
      <c r="A54" s="1881"/>
      <c r="B54" s="2893"/>
      <c r="C54" s="1886"/>
      <c r="D54" s="1871"/>
      <c r="E54" s="1888"/>
      <c r="F54" s="1825"/>
      <c r="G54" s="1889"/>
      <c r="H54" s="1871"/>
      <c r="I54" s="1871"/>
      <c r="J54" s="1890"/>
      <c r="K54" s="1800"/>
      <c r="L54" s="1982"/>
      <c r="M54" s="1982"/>
      <c r="N54" s="2387"/>
      <c r="O54" s="2045"/>
      <c r="P54" s="1982"/>
      <c r="Q54" s="1982"/>
      <c r="R54" s="2903" t="s">
        <v>24</v>
      </c>
      <c r="S54" s="1981"/>
      <c r="T54" s="310"/>
      <c r="U54" s="311"/>
      <c r="V54" s="311" t="s">
        <v>191</v>
      </c>
      <c r="W54" s="312"/>
      <c r="X54" s="2893"/>
      <c r="Y54" s="1288"/>
      <c r="Z54" s="1288"/>
      <c r="AA54" s="1288"/>
      <c r="AB54" s="1288"/>
      <c r="AC54" s="1288"/>
      <c r="AD54" s="1288"/>
      <c r="AE54" s="1288"/>
      <c r="AF54" s="1288"/>
      <c r="AG54" s="1288"/>
      <c r="AH54" s="1288"/>
      <c r="AI54" s="1288"/>
      <c r="AJ54" s="1288"/>
      <c r="AK54" s="1288"/>
      <c r="AL54" s="2893"/>
      <c r="AM54" s="2893"/>
      <c r="AN54" s="2893"/>
      <c r="AO54" s="2893"/>
      <c r="AP54" s="2893"/>
      <c r="AQ54" s="2893"/>
      <c r="AR54" s="2893"/>
    </row>
    <row customHeight="1" ht="17.25">
      <c r="A55" s="1881"/>
      <c r="B55" s="2893"/>
      <c r="C55" s="1886"/>
      <c r="D55" s="1871"/>
      <c r="E55" s="1888"/>
      <c r="F55" s="1825"/>
      <c r="G55" s="1889"/>
      <c r="H55" s="1871"/>
      <c r="I55" s="1871"/>
      <c r="J55" s="1890"/>
      <c r="K55" s="1800"/>
      <c r="L55" s="2354"/>
      <c r="M55" s="2354"/>
      <c r="N55" s="2388"/>
      <c r="O55" s="1986"/>
      <c r="P55" s="310"/>
      <c r="Q55" s="311"/>
      <c r="R55" s="311" t="s">
        <v>192</v>
      </c>
      <c r="S55" s="1887"/>
      <c r="T55" s="1887"/>
      <c r="U55" s="1887"/>
      <c r="V55" s="1887"/>
      <c r="W55" s="312"/>
      <c r="X55" s="2893"/>
      <c r="Y55" s="1288"/>
      <c r="Z55" s="1288"/>
      <c r="AA55" s="1288"/>
      <c r="AB55" s="1288"/>
      <c r="AC55" s="1288"/>
      <c r="AD55" s="1288"/>
      <c r="AE55" s="1288"/>
      <c r="AF55" s="1288"/>
      <c r="AG55" s="1288"/>
      <c r="AH55" s="1288"/>
      <c r="AI55" s="1288"/>
      <c r="AJ55" s="1288"/>
      <c r="AK55" s="1288"/>
      <c r="AL55" s="2893"/>
      <c r="AM55" s="2893"/>
      <c r="AN55" s="2893"/>
      <c r="AO55" s="2893"/>
      <c r="AP55" s="2893"/>
      <c r="AQ55" s="2893"/>
      <c r="AR55" s="2893"/>
    </row>
    <row customHeight="1" ht="17.25">
      <c r="A56" s="1881"/>
      <c r="B56" s="2893"/>
      <c r="C56" s="1886"/>
      <c r="D56" s="1871"/>
      <c r="E56" s="1888"/>
      <c r="F56" s="1825"/>
      <c r="G56" s="1889"/>
      <c r="H56" s="2354"/>
      <c r="I56" s="2354"/>
      <c r="J56" s="2390"/>
      <c r="K56" s="1986"/>
      <c r="L56" s="310"/>
      <c r="M56" s="311"/>
      <c r="N56" s="311" t="s">
        <v>211</v>
      </c>
      <c r="O56" s="311"/>
      <c r="P56" s="311"/>
      <c r="Q56" s="311"/>
      <c r="R56" s="311"/>
      <c r="S56" s="1887"/>
      <c r="T56" s="1887"/>
      <c r="U56" s="1887"/>
      <c r="V56" s="1887"/>
      <c r="W56" s="312"/>
      <c r="X56" s="2893"/>
      <c r="Y56" s="1288"/>
      <c r="Z56" s="1288"/>
      <c r="AA56" s="1288"/>
      <c r="AB56" s="1288"/>
      <c r="AC56" s="1288"/>
      <c r="AD56" s="1288"/>
      <c r="AE56" s="1288"/>
      <c r="AF56" s="1288"/>
      <c r="AG56" s="1288"/>
      <c r="AH56" s="1288"/>
      <c r="AI56" s="1288"/>
      <c r="AJ56" s="1288"/>
      <c r="AK56" s="1288"/>
      <c r="AL56" s="2893"/>
      <c r="AM56" s="2893"/>
      <c r="AN56" s="2893"/>
      <c r="AO56" s="2893"/>
      <c r="AP56" s="2893"/>
      <c r="AQ56" s="2893"/>
      <c r="AR56" s="2893"/>
    </row>
    <row s="2863" customFormat="1" customHeight="1" ht="17.25">
      <c r="A57" s="314"/>
      <c r="C57" s="313"/>
      <c r="D57" s="1992"/>
      <c r="E57" s="1994"/>
      <c r="F57" s="1997"/>
      <c r="G57" s="2879"/>
      <c r="H57" s="2935"/>
      <c r="I57" s="2936"/>
      <c r="J57" s="2937" t="s">
        <v>230</v>
      </c>
      <c r="K57" s="2938"/>
      <c r="L57" s="2939"/>
      <c r="M57" s="2940"/>
      <c r="N57" s="2941"/>
      <c r="O57" s="2942"/>
      <c r="P57" s="2943"/>
      <c r="Q57" s="2944"/>
      <c r="R57" s="2945"/>
      <c r="S57" s="2946"/>
      <c r="T57" s="2947"/>
      <c r="U57" s="2948"/>
      <c r="V57" s="2949"/>
      <c r="W57" s="2950"/>
      <c r="X57" s="1288"/>
      <c r="Y57" s="1288"/>
      <c r="Z57" s="1288"/>
      <c r="AA57" s="1288"/>
      <c r="AB57" s="1288"/>
      <c r="AC57" s="1288"/>
      <c r="AD57" s="1288"/>
      <c r="AE57" s="1288"/>
      <c r="AF57" s="1288"/>
      <c r="AG57" s="1288"/>
      <c r="AH57" s="1288"/>
      <c r="AI57" s="1288"/>
      <c r="AJ57" s="1288"/>
      <c r="AK57" s="1288"/>
      <c r="AL57" s="1288"/>
      <c r="AM57" s="1288"/>
      <c r="AN57" s="1288"/>
      <c r="AO57" s="1288"/>
      <c r="AP57" s="1288"/>
      <c r="AQ57" s="1288"/>
    </row>
    <row s="2863" customFormat="1" customHeight="1" ht="17.25">
      <c r="A58" s="314"/>
      <c r="C58" s="195"/>
      <c r="D58" s="1991">
        <v>4</v>
      </c>
      <c r="E58" s="1993" t="s">
        <v>231</v>
      </c>
      <c r="F58" s="1995" t="s">
        <v>56</v>
      </c>
      <c r="G58" s="1993"/>
      <c r="H58" s="1998"/>
      <c r="I58" s="2000"/>
      <c r="J58" s="2002"/>
      <c r="K58" s="1989"/>
      <c r="L58" s="1989"/>
      <c r="M58" s="1989"/>
      <c r="N58" s="2005"/>
      <c r="O58" s="1989"/>
      <c r="P58" s="1989"/>
      <c r="Q58" s="1989"/>
      <c r="R58" s="2008"/>
      <c r="S58" s="1989"/>
      <c r="T58" s="1450"/>
      <c r="U58" s="1450"/>
      <c r="V58" s="1449"/>
      <c r="W58" s="1326"/>
      <c r="X58" s="1296"/>
      <c r="Y58" s="1296"/>
      <c r="Z58" s="1296"/>
      <c r="AA58" s="1296"/>
      <c r="AB58" s="1296"/>
      <c r="AC58" s="1296" t="s">
        <v>232</v>
      </c>
      <c r="AD58" s="1296" t="s">
        <v>233</v>
      </c>
      <c r="AE58" s="1296" t="s">
        <v>234</v>
      </c>
      <c r="AF58" s="1296" t="s">
        <v>235</v>
      </c>
      <c r="AG58" s="1296" t="s">
        <v>236</v>
      </c>
      <c r="AH58" s="1296" t="str">
        <f>IF($E$58=0,"",$E$58)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8" s="1296" t="str">
        <f>IF($G$58=0,"",$G$58)</f>
        <v/>
      </c>
      <c r="AJ58" s="1296" t="str">
        <f>IF($J$58=0,"",$J$58)</f>
        <v/>
      </c>
      <c r="AK58" s="1296" t="str">
        <f>IF($K$58="нет","без дифференциации",IF($N$58=0,"",$N$58))</f>
        <v/>
      </c>
      <c r="AL58" s="1296" t="str">
        <f>IF($O$58="нет","без дифференциации",IF($R$58=0,"",$R$58))</f>
        <v/>
      </c>
      <c r="AM58" s="1296" t="str">
        <f>IF($S$58="нет","без дифференциации",IF($V$58=0,"",$V$58))</f>
        <v/>
      </c>
      <c r="AN58" s="1813">
        <f>$I$58</f>
        <v>0</v>
      </c>
      <c r="AO58" s="1296" t="str">
        <f>$I$58&amp;"."&amp;$M$58</f>
        <v>.</v>
      </c>
      <c r="AP58" s="1288" t="str">
        <f>$I$58&amp;"."&amp;$M$58&amp;"."&amp;$Q$58</f>
        <v>..</v>
      </c>
      <c r="AQ58" s="1288" t="str">
        <f>$I$58&amp;"."&amp;$M$58&amp;"."&amp;$Q$58&amp;"."&amp;$U$58</f>
        <v>...</v>
      </c>
    </row>
    <row s="2863" customFormat="1" customHeight="1" ht="17.25">
      <c r="A59" s="314"/>
      <c r="C59" s="313"/>
      <c r="D59" s="1991"/>
      <c r="E59" s="1993"/>
      <c r="F59" s="1996"/>
      <c r="G59" s="1993"/>
      <c r="H59" s="1999"/>
      <c r="I59" s="2001"/>
      <c r="J59" s="2003"/>
      <c r="K59" s="1990"/>
      <c r="L59" s="1990"/>
      <c r="M59" s="1990"/>
      <c r="N59" s="2006"/>
      <c r="O59" s="1990"/>
      <c r="P59" s="1990"/>
      <c r="Q59" s="1990"/>
      <c r="R59" s="2007"/>
      <c r="S59" s="1990"/>
      <c r="T59" s="1327"/>
      <c r="U59" s="1327"/>
      <c r="V59" s="1327"/>
      <c r="W59" s="1328"/>
      <c r="X59" s="1288"/>
      <c r="Y59" s="1288"/>
      <c r="Z59" s="1288"/>
      <c r="AA59" s="1288"/>
      <c r="AB59" s="1288"/>
      <c r="AC59" s="1288"/>
      <c r="AD59" s="1288"/>
      <c r="AE59" s="1288"/>
      <c r="AF59" s="1288"/>
      <c r="AG59" s="1288"/>
      <c r="AH59" s="1288"/>
      <c r="AI59" s="1288"/>
      <c r="AJ59" s="1288"/>
      <c r="AK59" s="1288"/>
      <c r="AL59" s="1288"/>
      <c r="AM59" s="1288"/>
      <c r="AN59" s="1288"/>
      <c r="AO59" s="1288"/>
      <c r="AP59" s="1288"/>
      <c r="AQ59" s="1288"/>
    </row>
    <row s="2863" customFormat="1" customHeight="1" ht="17.25">
      <c r="A60" s="314"/>
      <c r="C60" s="313"/>
      <c r="D60" s="1992"/>
      <c r="E60" s="1994"/>
      <c r="F60" s="1996"/>
      <c r="G60" s="1994"/>
      <c r="H60" s="1999"/>
      <c r="I60" s="2001"/>
      <c r="J60" s="2004"/>
      <c r="K60" s="1990"/>
      <c r="L60" s="1990"/>
      <c r="M60" s="1990"/>
      <c r="N60" s="2007"/>
      <c r="O60" s="1990"/>
      <c r="P60" s="1448"/>
      <c r="Q60" s="1327"/>
      <c r="R60" s="1327"/>
      <c r="S60" s="325"/>
      <c r="T60" s="325"/>
      <c r="U60" s="325"/>
      <c r="V60" s="325"/>
      <c r="W60" s="1328"/>
      <c r="X60" s="1288"/>
      <c r="Y60" s="1288"/>
      <c r="Z60" s="1288"/>
      <c r="AA60" s="1288"/>
      <c r="AB60" s="1288"/>
      <c r="AC60" s="1288"/>
      <c r="AD60" s="1288"/>
      <c r="AE60" s="1288"/>
      <c r="AF60" s="1288"/>
      <c r="AG60" s="1288"/>
      <c r="AH60" s="1288"/>
      <c r="AI60" s="1288"/>
      <c r="AJ60" s="1288"/>
      <c r="AK60" s="1288"/>
      <c r="AL60" s="1288"/>
      <c r="AM60" s="1288"/>
      <c r="AN60" s="1288"/>
      <c r="AO60" s="1288"/>
      <c r="AP60" s="1288"/>
      <c r="AQ60" s="1288"/>
    </row>
    <row s="2863" customFormat="1" customHeight="1" ht="17.25">
      <c r="A61" s="314"/>
      <c r="C61" s="313"/>
      <c r="D61" s="1992"/>
      <c r="E61" s="1994"/>
      <c r="F61" s="1996"/>
      <c r="G61" s="1994"/>
      <c r="H61" s="1999"/>
      <c r="I61" s="2001"/>
      <c r="J61" s="2004"/>
      <c r="K61" s="1990"/>
      <c r="L61" s="1327"/>
      <c r="M61" s="1327"/>
      <c r="N61" s="1327"/>
      <c r="O61" s="1327"/>
      <c r="P61" s="1327"/>
      <c r="Q61" s="1327"/>
      <c r="R61" s="1327"/>
      <c r="S61" s="325"/>
      <c r="T61" s="325"/>
      <c r="U61" s="325"/>
      <c r="V61" s="325"/>
      <c r="W61" s="1328"/>
      <c r="X61" s="1288"/>
      <c r="Y61" s="1288"/>
      <c r="Z61" s="1288"/>
      <c r="AA61" s="1288"/>
      <c r="AB61" s="1288"/>
      <c r="AC61" s="1288"/>
      <c r="AD61" s="1288"/>
      <c r="AE61" s="1288"/>
      <c r="AF61" s="1288"/>
      <c r="AG61" s="1288"/>
      <c r="AH61" s="1288"/>
      <c r="AI61" s="1288"/>
      <c r="AJ61" s="1288"/>
      <c r="AK61" s="1288"/>
      <c r="AL61" s="1288"/>
      <c r="AM61" s="1288"/>
      <c r="AN61" s="1288"/>
      <c r="AO61" s="1288"/>
      <c r="AP61" s="1288"/>
      <c r="AQ61" s="1288"/>
    </row>
    <row s="2863" customFormat="1" customHeight="1" ht="17.25">
      <c r="A62" s="314"/>
      <c r="C62" s="313"/>
      <c r="D62" s="1992"/>
      <c r="E62" s="1994"/>
      <c r="F62" s="1997"/>
      <c r="G62" s="1994"/>
      <c r="H62" s="1329"/>
      <c r="I62" s="1330"/>
      <c r="J62" s="1330"/>
      <c r="K62" s="1330"/>
      <c r="L62" s="1330"/>
      <c r="M62" s="1330"/>
      <c r="N62" s="1330"/>
      <c r="O62" s="1330"/>
      <c r="P62" s="1330"/>
      <c r="Q62" s="1330"/>
      <c r="R62" s="1330"/>
      <c r="S62" s="1331"/>
      <c r="T62" s="1331"/>
      <c r="U62" s="1331"/>
      <c r="V62" s="1331"/>
      <c r="W62" s="1332"/>
      <c r="X62" s="1288"/>
      <c r="Y62" s="1288"/>
      <c r="Z62" s="1288"/>
      <c r="AA62" s="1288"/>
      <c r="AB62" s="1288"/>
      <c r="AC62" s="1288"/>
      <c r="AD62" s="1288"/>
      <c r="AE62" s="1288"/>
      <c r="AF62" s="1288"/>
      <c r="AG62" s="1288"/>
      <c r="AH62" s="1288"/>
      <c r="AI62" s="1288"/>
      <c r="AJ62" s="1288"/>
      <c r="AK62" s="1288"/>
      <c r="AL62" s="1288"/>
      <c r="AM62" s="1288"/>
      <c r="AN62" s="1288"/>
      <c r="AO62" s="1288"/>
      <c r="AP62" s="1288"/>
      <c r="AQ62" s="1288"/>
    </row>
    <row s="2863" customFormat="1" customHeight="1" ht="17.25">
      <c r="A63" s="314"/>
      <c r="C63" s="195"/>
      <c r="D63" s="1991">
        <v>5</v>
      </c>
      <c r="E63" s="1993" t="s">
        <v>237</v>
      </c>
      <c r="F63" s="1995" t="s">
        <v>56</v>
      </c>
      <c r="G63" s="1993"/>
      <c r="H63" s="1998"/>
      <c r="I63" s="2000"/>
      <c r="J63" s="2002"/>
      <c r="K63" s="1989"/>
      <c r="L63" s="1989"/>
      <c r="M63" s="1989"/>
      <c r="N63" s="2005"/>
      <c r="O63" s="1989"/>
      <c r="P63" s="1989"/>
      <c r="Q63" s="1989"/>
      <c r="R63" s="2008"/>
      <c r="S63" s="1989"/>
      <c r="T63" s="1450"/>
      <c r="U63" s="1450"/>
      <c r="V63" s="1449"/>
      <c r="W63" s="1326"/>
      <c r="X63" s="1296"/>
      <c r="Y63" s="1296"/>
      <c r="Z63" s="1296"/>
      <c r="AA63" s="1296"/>
      <c r="AB63" s="1296"/>
      <c r="AC63" s="1296" t="s">
        <v>238</v>
      </c>
      <c r="AD63" s="1296" t="s">
        <v>239</v>
      </c>
      <c r="AE63" s="1296" t="s">
        <v>240</v>
      </c>
      <c r="AF63" s="1296" t="s">
        <v>241</v>
      </c>
      <c r="AG63" s="1296" t="s">
        <v>242</v>
      </c>
      <c r="AH63" s="1296" t="str">
        <f>IF($E$63=0,"",$E$63)</f>
        <v>Тарифы на услуги по передаче тепловой энергии</v>
      </c>
      <c r="AI63" s="1296" t="str">
        <f>IF($G$63=0,"",$G$63)</f>
        <v/>
      </c>
      <c r="AJ63" s="1296" t="str">
        <f>IF($J$63=0,"",$J$63)</f>
        <v/>
      </c>
      <c r="AK63" s="1296" t="str">
        <f>IF($K$63="нет","без дифференциации",IF($N$63=0,"",$N$63))</f>
        <v/>
      </c>
      <c r="AL63" s="1296" t="str">
        <f>IF($O$63="нет","без дифференциации",IF($R$63=0,"",$R$63))</f>
        <v/>
      </c>
      <c r="AM63" s="1296" t="str">
        <f>IF($S$63="нет","без дифференциации",IF($V$63=0,"",$V$63))</f>
        <v/>
      </c>
      <c r="AN63" s="1813">
        <f>$I$63</f>
        <v>0</v>
      </c>
      <c r="AO63" s="1296" t="str">
        <f>$I$63&amp;"."&amp;$M$63</f>
        <v>.</v>
      </c>
      <c r="AP63" s="1288" t="str">
        <f>$I$63&amp;"."&amp;$M$63&amp;"."&amp;$Q$63</f>
        <v>..</v>
      </c>
      <c r="AQ63" s="1288" t="str">
        <f>$I$63&amp;"."&amp;$M$63&amp;"."&amp;$Q$63&amp;"."&amp;$U$63</f>
        <v>...</v>
      </c>
    </row>
    <row s="2863" customFormat="1" customHeight="1" ht="17.25">
      <c r="A64" s="314"/>
      <c r="C64" s="313"/>
      <c r="D64" s="1991"/>
      <c r="E64" s="1993"/>
      <c r="F64" s="1996"/>
      <c r="G64" s="1993"/>
      <c r="H64" s="1999"/>
      <c r="I64" s="2001"/>
      <c r="J64" s="2003"/>
      <c r="K64" s="1990"/>
      <c r="L64" s="1990"/>
      <c r="M64" s="1990"/>
      <c r="N64" s="2006"/>
      <c r="O64" s="1990"/>
      <c r="P64" s="1990"/>
      <c r="Q64" s="1990"/>
      <c r="R64" s="2007"/>
      <c r="S64" s="1990"/>
      <c r="T64" s="1327"/>
      <c r="U64" s="1327"/>
      <c r="V64" s="1327"/>
      <c r="W64" s="1328"/>
      <c r="X64" s="1288"/>
      <c r="Y64" s="1288"/>
      <c r="Z64" s="1288"/>
      <c r="AA64" s="1288"/>
      <c r="AB64" s="1288"/>
      <c r="AC64" s="1288"/>
      <c r="AD64" s="1288"/>
      <c r="AE64" s="1288"/>
      <c r="AF64" s="1288"/>
      <c r="AG64" s="1288"/>
      <c r="AH64" s="1288"/>
      <c r="AI64" s="1288"/>
      <c r="AJ64" s="1288"/>
      <c r="AK64" s="1288"/>
      <c r="AL64" s="1288"/>
      <c r="AM64" s="1288"/>
      <c r="AN64" s="1288"/>
      <c r="AO64" s="1288"/>
      <c r="AP64" s="1288"/>
      <c r="AQ64" s="1288"/>
    </row>
    <row s="2863" customFormat="1" customHeight="1" ht="17.25">
      <c r="A65" s="314"/>
      <c r="C65" s="313"/>
      <c r="D65" s="1992"/>
      <c r="E65" s="1994"/>
      <c r="F65" s="1996"/>
      <c r="G65" s="1994"/>
      <c r="H65" s="1999"/>
      <c r="I65" s="2001"/>
      <c r="J65" s="2004"/>
      <c r="K65" s="1990"/>
      <c r="L65" s="1990"/>
      <c r="M65" s="1990"/>
      <c r="N65" s="2007"/>
      <c r="O65" s="1990"/>
      <c r="P65" s="1448"/>
      <c r="Q65" s="1327"/>
      <c r="R65" s="1327"/>
      <c r="S65" s="325"/>
      <c r="T65" s="325"/>
      <c r="U65" s="325"/>
      <c r="V65" s="325"/>
      <c r="W65" s="1328"/>
      <c r="X65" s="1288"/>
      <c r="Y65" s="1288"/>
      <c r="Z65" s="1288"/>
      <c r="AA65" s="1288"/>
      <c r="AB65" s="1288"/>
      <c r="AC65" s="1288"/>
      <c r="AD65" s="1288"/>
      <c r="AE65" s="1288"/>
      <c r="AF65" s="1288"/>
      <c r="AG65" s="1288"/>
      <c r="AH65" s="1288"/>
      <c r="AI65" s="1288"/>
      <c r="AJ65" s="1288"/>
      <c r="AK65" s="1288"/>
      <c r="AL65" s="1288"/>
      <c r="AM65" s="1288"/>
      <c r="AN65" s="1288"/>
      <c r="AO65" s="1288"/>
      <c r="AP65" s="1288"/>
      <c r="AQ65" s="1288"/>
    </row>
    <row s="2863" customFormat="1" customHeight="1" ht="17.25">
      <c r="A66" s="314"/>
      <c r="C66" s="313"/>
      <c r="D66" s="1992"/>
      <c r="E66" s="1994"/>
      <c r="F66" s="1996"/>
      <c r="G66" s="1994"/>
      <c r="H66" s="1999"/>
      <c r="I66" s="2001"/>
      <c r="J66" s="2004"/>
      <c r="K66" s="1990"/>
      <c r="L66" s="1327"/>
      <c r="M66" s="1327"/>
      <c r="N66" s="1327"/>
      <c r="O66" s="1327"/>
      <c r="P66" s="1327"/>
      <c r="Q66" s="1327"/>
      <c r="R66" s="1327"/>
      <c r="S66" s="325"/>
      <c r="T66" s="325"/>
      <c r="U66" s="325"/>
      <c r="V66" s="325"/>
      <c r="W66" s="1328"/>
      <c r="X66" s="1288"/>
      <c r="Y66" s="1288"/>
      <c r="Z66" s="1288"/>
      <c r="AA66" s="1288"/>
      <c r="AB66" s="1288"/>
      <c r="AC66" s="1288"/>
      <c r="AD66" s="1288"/>
      <c r="AE66" s="1288"/>
      <c r="AF66" s="1288"/>
      <c r="AG66" s="1288"/>
      <c r="AH66" s="1288"/>
      <c r="AI66" s="1288"/>
      <c r="AJ66" s="1288"/>
      <c r="AK66" s="1288"/>
      <c r="AL66" s="1288"/>
      <c r="AM66" s="1288"/>
      <c r="AN66" s="1288"/>
      <c r="AO66" s="1288"/>
      <c r="AP66" s="1288"/>
      <c r="AQ66" s="1288"/>
    </row>
    <row s="2863" customFormat="1" customHeight="1" ht="17.25">
      <c r="A67" s="314"/>
      <c r="C67" s="313"/>
      <c r="D67" s="1992"/>
      <c r="E67" s="1994"/>
      <c r="F67" s="1997"/>
      <c r="G67" s="1994"/>
      <c r="H67" s="1329"/>
      <c r="I67" s="1330"/>
      <c r="J67" s="1330"/>
      <c r="K67" s="1330"/>
      <c r="L67" s="1330"/>
      <c r="M67" s="1330"/>
      <c r="N67" s="1330"/>
      <c r="O67" s="1330"/>
      <c r="P67" s="1330"/>
      <c r="Q67" s="1330"/>
      <c r="R67" s="1330"/>
      <c r="S67" s="1331"/>
      <c r="T67" s="1331"/>
      <c r="U67" s="1331"/>
      <c r="V67" s="1331"/>
      <c r="W67" s="1332"/>
      <c r="X67" s="1288"/>
      <c r="Y67" s="1288"/>
      <c r="Z67" s="1288"/>
      <c r="AA67" s="1288"/>
      <c r="AB67" s="1288"/>
      <c r="AC67" s="1288"/>
      <c r="AD67" s="1288"/>
      <c r="AE67" s="1288"/>
      <c r="AF67" s="1288"/>
      <c r="AG67" s="1288"/>
      <c r="AH67" s="1288"/>
      <c r="AI67" s="1288"/>
      <c r="AJ67" s="1288"/>
      <c r="AK67" s="1288"/>
      <c r="AL67" s="1288"/>
      <c r="AM67" s="1288"/>
      <c r="AN67" s="1288"/>
      <c r="AO67" s="1288"/>
      <c r="AP67" s="1288"/>
      <c r="AQ67" s="1288"/>
    </row>
    <row s="2863" customFormat="1" customHeight="1" ht="17.25">
      <c r="A68" s="314"/>
      <c r="C68" s="195"/>
      <c r="D68" s="1991">
        <v>6</v>
      </c>
      <c r="E68" s="1993" t="s">
        <v>243</v>
      </c>
      <c r="F68" s="1995" t="s">
        <v>56</v>
      </c>
      <c r="G68" s="1993"/>
      <c r="H68" s="1998"/>
      <c r="I68" s="2000"/>
      <c r="J68" s="2002"/>
      <c r="K68" s="1989"/>
      <c r="L68" s="1989"/>
      <c r="M68" s="1989"/>
      <c r="N68" s="2005"/>
      <c r="O68" s="1989"/>
      <c r="P68" s="1989"/>
      <c r="Q68" s="1989"/>
      <c r="R68" s="2008"/>
      <c r="S68" s="1989"/>
      <c r="T68" s="1450"/>
      <c r="U68" s="1450"/>
      <c r="V68" s="1449"/>
      <c r="W68" s="1326"/>
      <c r="X68" s="1296"/>
      <c r="Y68" s="1296"/>
      <c r="Z68" s="1296"/>
      <c r="AA68" s="1296"/>
      <c r="AB68" s="1296"/>
      <c r="AC68" s="1296" t="s">
        <v>244</v>
      </c>
      <c r="AD68" s="1296" t="s">
        <v>245</v>
      </c>
      <c r="AE68" s="1296" t="s">
        <v>246</v>
      </c>
      <c r="AF68" s="1296" t="s">
        <v>247</v>
      </c>
      <c r="AG68" s="1296" t="s">
        <v>248</v>
      </c>
      <c r="AH68" s="1296" t="str">
        <f>IF($E$68=0,"",$E$68)</f>
        <v>Тарифы на услуги по передаче теплоносителя</v>
      </c>
      <c r="AI68" s="1296" t="str">
        <f>IF($G$68=0,"",$G$68)</f>
        <v/>
      </c>
      <c r="AJ68" s="1296" t="str">
        <f>IF($J$68=0,"",$J$68)</f>
        <v/>
      </c>
      <c r="AK68" s="1296" t="str">
        <f>IF($K$68="нет","без дифференциации",IF($N$68=0,"",$N$68))</f>
        <v/>
      </c>
      <c r="AL68" s="1296" t="str">
        <f>IF($O$68="нет","без дифференциации",IF($R$68=0,"",$R$68))</f>
        <v/>
      </c>
      <c r="AM68" s="1296" t="str">
        <f>IF($S$68="нет","без дифференциации",IF($V$68=0,"",$V$68))</f>
        <v/>
      </c>
      <c r="AN68" s="1813">
        <f>$I$68</f>
        <v>0</v>
      </c>
      <c r="AO68" s="1296" t="str">
        <f>$I$68&amp;"."&amp;$M$68</f>
        <v>.</v>
      </c>
      <c r="AP68" s="1288" t="str">
        <f>$I$68&amp;"."&amp;$M$68&amp;"."&amp;$Q$68</f>
        <v>..</v>
      </c>
      <c r="AQ68" s="1288" t="str">
        <f>$I$68&amp;"."&amp;$M$68&amp;"."&amp;$Q$68&amp;"."&amp;$U$68</f>
        <v>...</v>
      </c>
    </row>
    <row s="2863" customFormat="1" customHeight="1" ht="17.25">
      <c r="A69" s="314"/>
      <c r="C69" s="313"/>
      <c r="D69" s="1991"/>
      <c r="E69" s="1993"/>
      <c r="F69" s="1996"/>
      <c r="G69" s="1993"/>
      <c r="H69" s="1999"/>
      <c r="I69" s="2001"/>
      <c r="J69" s="2003"/>
      <c r="K69" s="1990"/>
      <c r="L69" s="1990"/>
      <c r="M69" s="1990"/>
      <c r="N69" s="2006"/>
      <c r="O69" s="1990"/>
      <c r="P69" s="1990"/>
      <c r="Q69" s="1990"/>
      <c r="R69" s="2007"/>
      <c r="S69" s="1990"/>
      <c r="T69" s="1327"/>
      <c r="U69" s="1327"/>
      <c r="V69" s="1327"/>
      <c r="W69" s="1328"/>
      <c r="X69" s="1288"/>
      <c r="Y69" s="1288"/>
      <c r="Z69" s="1288"/>
      <c r="AA69" s="1288"/>
      <c r="AB69" s="1288"/>
      <c r="AC69" s="1288"/>
      <c r="AD69" s="1288"/>
      <c r="AE69" s="1288"/>
      <c r="AF69" s="1288"/>
      <c r="AG69" s="1288"/>
      <c r="AH69" s="1288"/>
      <c r="AI69" s="1288"/>
      <c r="AJ69" s="1288"/>
      <c r="AK69" s="1288"/>
      <c r="AL69" s="1288"/>
      <c r="AM69" s="1288"/>
      <c r="AN69" s="1288"/>
      <c r="AO69" s="1288"/>
      <c r="AP69" s="1288"/>
      <c r="AQ69" s="1288"/>
    </row>
    <row s="2863" customFormat="1" customHeight="1" ht="17.25">
      <c r="A70" s="314"/>
      <c r="C70" s="313"/>
      <c r="D70" s="1992"/>
      <c r="E70" s="1994"/>
      <c r="F70" s="1996"/>
      <c r="G70" s="1994"/>
      <c r="H70" s="1999"/>
      <c r="I70" s="2001"/>
      <c r="J70" s="2004"/>
      <c r="K70" s="1990"/>
      <c r="L70" s="1990"/>
      <c r="M70" s="1990"/>
      <c r="N70" s="2007"/>
      <c r="O70" s="1990"/>
      <c r="P70" s="1448"/>
      <c r="Q70" s="1327"/>
      <c r="R70" s="1327"/>
      <c r="S70" s="325"/>
      <c r="T70" s="325"/>
      <c r="U70" s="325"/>
      <c r="V70" s="325"/>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51" customFormat="1" customHeight="1" ht="17.25">
      <c r="A71" s="314"/>
      <c r="C71" s="195"/>
      <c r="D71" s="1992"/>
      <c r="E71" s="1994"/>
      <c r="F71" s="1996"/>
      <c r="G71" s="1994"/>
      <c r="H71" s="1999"/>
      <c r="I71" s="2001"/>
      <c r="J71" s="2004"/>
      <c r="K71" s="1990"/>
      <c r="L71" s="1327"/>
      <c r="M71" s="1327"/>
      <c r="N71" s="1327"/>
      <c r="O71" s="1327"/>
      <c r="P71" s="1327"/>
      <c r="Q71" s="1327"/>
      <c r="R71" s="1327"/>
      <c r="S71" s="325"/>
      <c r="T71" s="325"/>
      <c r="U71" s="325"/>
      <c r="V71" s="325"/>
      <c r="W71" s="1328"/>
      <c r="Y71" s="1296"/>
      <c r="Z71" s="1296"/>
      <c r="AA71" s="1296"/>
      <c r="AB71" s="1296"/>
      <c r="AC71" s="1296"/>
      <c r="AD71" s="1296"/>
      <c r="AE71" s="1296"/>
      <c r="AF71" s="1296"/>
      <c r="AG71" s="1296"/>
      <c r="AH71" s="1296"/>
      <c r="AI71" s="1296"/>
      <c r="AJ71" s="1296"/>
      <c r="AK71" s="1296"/>
      <c r="AL71" s="1296"/>
      <c r="AM71" s="1296"/>
      <c r="AN71" s="1296"/>
      <c r="AO71" s="1296"/>
      <c r="AP71" s="1296"/>
      <c r="AQ71" s="1296"/>
    </row>
    <row s="2863" customFormat="1" customHeight="1" ht="17.25">
      <c r="A72" s="314"/>
      <c r="C72" s="313"/>
      <c r="D72" s="1992"/>
      <c r="E72" s="1994"/>
      <c r="F72" s="1997"/>
      <c r="G72" s="1994"/>
      <c r="H72" s="1329"/>
      <c r="I72" s="1330"/>
      <c r="J72" s="1330"/>
      <c r="K72" s="1330"/>
      <c r="L72" s="1330"/>
      <c r="M72" s="1330"/>
      <c r="N72" s="1330"/>
      <c r="O72" s="1330"/>
      <c r="P72" s="1330"/>
      <c r="Q72" s="1330"/>
      <c r="R72" s="1330"/>
      <c r="S72" s="1331"/>
      <c r="T72" s="1331"/>
      <c r="U72" s="1331"/>
      <c r="V72" s="1331"/>
      <c r="W72" s="1332"/>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52" customFormat="1" customHeight="1" ht="17.25">
      <c r="A73" s="314"/>
      <c r="C73" s="195"/>
      <c r="D73" s="2012">
        <v>7</v>
      </c>
      <c r="E73" s="2015" t="s">
        <v>249</v>
      </c>
      <c r="F73" s="1995" t="s">
        <v>56</v>
      </c>
      <c r="G73" s="2015"/>
      <c r="H73" s="1998"/>
      <c r="I73" s="2000"/>
      <c r="J73" s="2002"/>
      <c r="K73" s="1989"/>
      <c r="L73" s="1989"/>
      <c r="M73" s="1989"/>
      <c r="N73" s="2005"/>
      <c r="O73" s="1989"/>
      <c r="P73" s="1989"/>
      <c r="Q73" s="1989"/>
      <c r="R73" s="2008"/>
      <c r="S73" s="1989"/>
      <c r="T73" s="1450"/>
      <c r="U73" s="1450"/>
      <c r="V73" s="1449"/>
      <c r="W73" s="1326"/>
      <c r="X73" s="1296"/>
      <c r="Y73" s="1296"/>
      <c r="Z73" s="1296"/>
      <c r="AA73" s="1296"/>
      <c r="AB73" s="1296"/>
      <c r="AC73" s="1296" t="s">
        <v>250</v>
      </c>
      <c r="AD73" s="1296" t="s">
        <v>251</v>
      </c>
      <c r="AE73" s="1296" t="s">
        <v>252</v>
      </c>
      <c r="AF73" s="1296" t="s">
        <v>253</v>
      </c>
      <c r="AG73" s="1296" t="s">
        <v>254</v>
      </c>
      <c r="AH73" s="1296" t="str">
        <f>IF($E$73=0,"",$E$73)</f>
        <v>Плата за услуги по поддержанию резервной тепловой мощности при отсутствии потребления тепловой энергии</v>
      </c>
      <c r="AI73" s="1296" t="str">
        <f>IF($G$73=0,"",$G$73)</f>
        <v/>
      </c>
      <c r="AJ73" s="1296" t="str">
        <f>IF($J$73=0,"",$J$73)</f>
        <v/>
      </c>
      <c r="AK73" s="1296" t="str">
        <f>IF($K$73="нет","без дифференциации",IF($N$73=0,"",$N$73))</f>
        <v/>
      </c>
      <c r="AL73" s="1296" t="str">
        <f>IF($O$73="нет","без дифференциации",IF($R$73=0,"",$R$73))</f>
        <v/>
      </c>
      <c r="AM73" s="1296" t="str">
        <f>IF($S$73="нет","без дифференциации",IF($V$73=0,"",$V$73))</f>
        <v/>
      </c>
      <c r="AN73" s="1813">
        <f>$I$73</f>
        <v>0</v>
      </c>
      <c r="AO73" s="1296" t="str">
        <f>$I$73&amp;"."&amp;$M$73</f>
        <v>.</v>
      </c>
      <c r="AP73" s="1288" t="str">
        <f>$I$73&amp;"."&amp;$M$73&amp;"."&amp;$Q$73</f>
        <v>..</v>
      </c>
      <c r="AQ73" s="1288" t="str">
        <f>$I$73&amp;"."&amp;$M$73&amp;"."&amp;$Q$73&amp;"."&amp;$U$73</f>
        <v>...</v>
      </c>
    </row>
    <row s="2952" customFormat="1" customHeight="1" ht="17.25">
      <c r="A74" s="314"/>
      <c r="C74" s="313"/>
      <c r="D74" s="2013"/>
      <c r="E74" s="2016"/>
      <c r="F74" s="1996"/>
      <c r="G74" s="2016"/>
      <c r="H74" s="1999"/>
      <c r="I74" s="2001"/>
      <c r="J74" s="2003"/>
      <c r="K74" s="1990"/>
      <c r="L74" s="1990"/>
      <c r="M74" s="1990"/>
      <c r="N74" s="2006"/>
      <c r="O74" s="1990"/>
      <c r="P74" s="1990"/>
      <c r="Q74" s="1990"/>
      <c r="R74" s="2007"/>
      <c r="S74" s="1990"/>
      <c r="T74" s="1327"/>
      <c r="U74" s="1327"/>
      <c r="V74" s="1327"/>
      <c r="W74" s="1328"/>
      <c r="X74" s="1288"/>
      <c r="Y74" s="1288"/>
      <c r="Z74" s="1288"/>
      <c r="AA74" s="1288"/>
      <c r="AB74" s="1288"/>
      <c r="AC74" s="1288"/>
      <c r="AD74" s="1288"/>
      <c r="AE74" s="1288"/>
      <c r="AF74" s="1288"/>
      <c r="AG74" s="1288"/>
      <c r="AH74" s="1288"/>
      <c r="AI74" s="1288"/>
      <c r="AJ74" s="1288"/>
      <c r="AK74" s="1288"/>
      <c r="AL74" s="1288"/>
      <c r="AM74" s="1288"/>
      <c r="AN74" s="1288"/>
      <c r="AO74" s="1288"/>
      <c r="AP74" s="1288"/>
      <c r="AQ74" s="1288"/>
    </row>
    <row s="2952" customFormat="1" customHeight="1" ht="17.25">
      <c r="A75" s="314"/>
      <c r="C75" s="313"/>
      <c r="D75" s="2013"/>
      <c r="E75" s="2016"/>
      <c r="F75" s="1996"/>
      <c r="G75" s="2016"/>
      <c r="H75" s="1999"/>
      <c r="I75" s="2001"/>
      <c r="J75" s="2004"/>
      <c r="K75" s="1990"/>
      <c r="L75" s="1990"/>
      <c r="M75" s="1990"/>
      <c r="N75" s="2007"/>
      <c r="O75" s="1990"/>
      <c r="P75" s="1448"/>
      <c r="Q75" s="1327"/>
      <c r="R75" s="1327"/>
      <c r="S75" s="325"/>
      <c r="T75" s="325"/>
      <c r="U75" s="325"/>
      <c r="V75" s="325"/>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51" customFormat="1" customHeight="1" ht="17.25">
      <c r="A76" s="314"/>
      <c r="C76" s="195"/>
      <c r="D76" s="2013"/>
      <c r="E76" s="2016"/>
      <c r="F76" s="1996"/>
      <c r="G76" s="2016"/>
      <c r="H76" s="1999"/>
      <c r="I76" s="2001"/>
      <c r="J76" s="2004"/>
      <c r="K76" s="1990"/>
      <c r="L76" s="1327"/>
      <c r="M76" s="1327"/>
      <c r="N76" s="1327"/>
      <c r="O76" s="1327"/>
      <c r="P76" s="1327"/>
      <c r="Q76" s="1327"/>
      <c r="R76" s="1327"/>
      <c r="S76" s="325"/>
      <c r="T76" s="325"/>
      <c r="U76" s="325"/>
      <c r="V76" s="325"/>
      <c r="W76" s="1328"/>
      <c r="Y76" s="1296"/>
      <c r="Z76" s="1296"/>
      <c r="AA76" s="1296"/>
      <c r="AB76" s="1296"/>
      <c r="AC76" s="1296"/>
      <c r="AD76" s="1296"/>
      <c r="AE76" s="1296"/>
      <c r="AF76" s="1296"/>
      <c r="AG76" s="1296"/>
      <c r="AH76" s="1296"/>
      <c r="AI76" s="1296"/>
      <c r="AJ76" s="1296"/>
      <c r="AK76" s="1296"/>
      <c r="AL76" s="1296"/>
      <c r="AM76" s="1296"/>
      <c r="AN76" s="1296"/>
      <c r="AO76" s="1296"/>
      <c r="AP76" s="1296"/>
      <c r="AQ76" s="1296"/>
    </row>
    <row s="2952" customFormat="1" customHeight="1" ht="17.25">
      <c r="A77" s="314"/>
      <c r="C77" s="313"/>
      <c r="D77" s="2014"/>
      <c r="E77" s="2017"/>
      <c r="F77" s="1997"/>
      <c r="G77" s="2017"/>
      <c r="H77" s="1329"/>
      <c r="I77" s="1330"/>
      <c r="J77" s="1330"/>
      <c r="K77" s="1330"/>
      <c r="L77" s="1330"/>
      <c r="M77" s="1330"/>
      <c r="N77" s="1330"/>
      <c r="O77" s="1330"/>
      <c r="P77" s="1330"/>
      <c r="Q77" s="1330"/>
      <c r="R77" s="1330"/>
      <c r="S77" s="1331"/>
      <c r="T77" s="1331"/>
      <c r="U77" s="1331"/>
      <c r="V77" s="1331"/>
      <c r="W77" s="1332"/>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52" customFormat="1" customHeight="1" ht="17.25">
      <c r="A78" s="314"/>
      <c r="C78" s="195"/>
      <c r="D78" s="1991">
        <v>8</v>
      </c>
      <c r="E78" s="1993" t="s">
        <v>255</v>
      </c>
      <c r="F78" s="1995" t="s">
        <v>56</v>
      </c>
      <c r="G78" s="1993"/>
      <c r="H78" s="1998"/>
      <c r="I78" s="2000"/>
      <c r="J78" s="2002"/>
      <c r="K78" s="1989"/>
      <c r="L78" s="1989"/>
      <c r="M78" s="1989"/>
      <c r="N78" s="2005"/>
      <c r="O78" s="1989"/>
      <c r="P78" s="1989"/>
      <c r="Q78" s="1989"/>
      <c r="R78" s="2008"/>
      <c r="S78" s="1989"/>
      <c r="T78" s="1500"/>
      <c r="U78" s="1500"/>
      <c r="V78" s="1502"/>
      <c r="W78" s="1326"/>
      <c r="X78" s="1296"/>
      <c r="Y78" s="1296"/>
      <c r="Z78" s="1296"/>
      <c r="AA78" s="1296"/>
      <c r="AB78" s="1296"/>
      <c r="AC78" s="1296" t="s">
        <v>256</v>
      </c>
      <c r="AD78" s="1296" t="s">
        <v>257</v>
      </c>
      <c r="AE78" s="1296" t="s">
        <v>258</v>
      </c>
      <c r="AF78" s="1296" t="s">
        <v>259</v>
      </c>
      <c r="AG78" s="1296" t="s">
        <v>260</v>
      </c>
      <c r="AH78" s="1296" t="str">
        <f>IF($E$78=0,"",$E$78)</f>
        <v>Плата за подключение (технологическое присоединение) к системе теплоснабжения</v>
      </c>
      <c r="AI78" s="1296" t="str">
        <f>IF($G$78=0,"",$G$78)</f>
        <v/>
      </c>
      <c r="AJ78" s="1296" t="str">
        <f>IF($J$78=0,"",$J$78)</f>
        <v/>
      </c>
      <c r="AK78" s="1296" t="str">
        <f>IF($K$78="нет","без дифференциации",IF($N$78=0,"",$N$78))</f>
        <v/>
      </c>
      <c r="AL78" s="1296" t="str">
        <f>IF($O$78="нет","без дифференциации",IF($R$78=0,"",$R$78))</f>
        <v/>
      </c>
      <c r="AM78" s="1296" t="str">
        <f>IF($S$78="нет","без дифференциации",IF($V$78=0,"",$V$78))</f>
        <v/>
      </c>
      <c r="AN78" s="1813">
        <f>$I$78</f>
        <v>0</v>
      </c>
      <c r="AO78" s="1296" t="str">
        <f>$I$78&amp;"."&amp;$M$78</f>
        <v>.</v>
      </c>
      <c r="AP78" s="1288" t="str">
        <f>$I$78&amp;"."&amp;$M$78&amp;"."&amp;$Q$78</f>
        <v>..</v>
      </c>
      <c r="AQ78" s="1288" t="str">
        <f>$I$78&amp;"."&amp;$M$78&amp;"."&amp;$Q$78&amp;"."&amp;$U$78</f>
        <v>...</v>
      </c>
    </row>
    <row s="2952" customFormat="1" customHeight="1" ht="17.25">
      <c r="A79" s="314"/>
      <c r="C79" s="313"/>
      <c r="D79" s="1991"/>
      <c r="E79" s="1993"/>
      <c r="F79" s="1996"/>
      <c r="G79" s="1993"/>
      <c r="H79" s="1999"/>
      <c r="I79" s="2001"/>
      <c r="J79" s="2003"/>
      <c r="K79" s="1990"/>
      <c r="L79" s="1990"/>
      <c r="M79" s="1990"/>
      <c r="N79" s="2006"/>
      <c r="O79" s="1990"/>
      <c r="P79" s="1990"/>
      <c r="Q79" s="1990"/>
      <c r="R79" s="2007"/>
      <c r="S79" s="1990"/>
      <c r="T79" s="1327"/>
      <c r="U79" s="1327"/>
      <c r="V79" s="1327"/>
      <c r="W79" s="1328"/>
      <c r="X79" s="1288"/>
      <c r="Y79" s="1288"/>
      <c r="Z79" s="1288"/>
      <c r="AA79" s="1288"/>
      <c r="AB79" s="1288"/>
      <c r="AC79" s="1288"/>
      <c r="AD79" s="1288"/>
      <c r="AE79" s="1288"/>
      <c r="AF79" s="1288"/>
      <c r="AG79" s="1288"/>
      <c r="AH79" s="1288"/>
      <c r="AI79" s="1288"/>
      <c r="AJ79" s="1288"/>
      <c r="AK79" s="1288"/>
      <c r="AL79" s="1288"/>
      <c r="AM79" s="1288"/>
      <c r="AN79" s="1288"/>
      <c r="AO79" s="1288"/>
      <c r="AP79" s="1288"/>
      <c r="AQ79" s="1288"/>
    </row>
    <row s="2952" customFormat="1" customHeight="1" ht="17.25">
      <c r="A80" s="314"/>
      <c r="C80" s="313"/>
      <c r="D80" s="1992"/>
      <c r="E80" s="1994"/>
      <c r="F80" s="1996"/>
      <c r="G80" s="1994"/>
      <c r="H80" s="1999"/>
      <c r="I80" s="2001"/>
      <c r="J80" s="2004"/>
      <c r="K80" s="1990"/>
      <c r="L80" s="1990"/>
      <c r="M80" s="1990"/>
      <c r="N80" s="2007"/>
      <c r="O80" s="1990"/>
      <c r="P80" s="1501"/>
      <c r="Q80" s="1327"/>
      <c r="R80" s="1327"/>
      <c r="S80" s="325"/>
      <c r="T80" s="325"/>
      <c r="U80" s="325"/>
      <c r="V80" s="325"/>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51" customFormat="1" customHeight="1" ht="17.25">
      <c r="A81" s="314"/>
      <c r="C81" s="195"/>
      <c r="D81" s="1992"/>
      <c r="E81" s="1994"/>
      <c r="F81" s="1996"/>
      <c r="G81" s="1994"/>
      <c r="H81" s="1999"/>
      <c r="I81" s="2001"/>
      <c r="J81" s="2004"/>
      <c r="K81" s="1990"/>
      <c r="L81" s="1327"/>
      <c r="M81" s="1327"/>
      <c r="N81" s="1327"/>
      <c r="O81" s="1327"/>
      <c r="P81" s="1327"/>
      <c r="Q81" s="1327"/>
      <c r="R81" s="1327"/>
      <c r="S81" s="325"/>
      <c r="T81" s="325"/>
      <c r="U81" s="325"/>
      <c r="V81" s="325"/>
      <c r="W81" s="1328"/>
      <c r="Y81" s="1296"/>
      <c r="Z81" s="1296"/>
      <c r="AA81" s="1296"/>
      <c r="AB81" s="1296"/>
      <c r="AC81" s="1296"/>
      <c r="AD81" s="1296"/>
      <c r="AE81" s="1296"/>
      <c r="AF81" s="1296"/>
      <c r="AG81" s="1296"/>
      <c r="AH81" s="1296"/>
      <c r="AI81" s="1296"/>
      <c r="AJ81" s="1296"/>
      <c r="AK81" s="1296"/>
      <c r="AL81" s="1296"/>
      <c r="AM81" s="1296"/>
      <c r="AN81" s="1296"/>
      <c r="AO81" s="1296"/>
      <c r="AP81" s="1296"/>
      <c r="AQ81" s="1296"/>
    </row>
    <row s="2952" customFormat="1" customHeight="1" ht="17.25">
      <c r="A82" s="314"/>
      <c r="C82" s="313"/>
      <c r="D82" s="1992"/>
      <c r="E82" s="1994"/>
      <c r="F82" s="1997"/>
      <c r="G82" s="1994"/>
      <c r="H82" s="1329"/>
      <c r="I82" s="1330"/>
      <c r="J82" s="1330"/>
      <c r="K82" s="1330"/>
      <c r="L82" s="1330"/>
      <c r="M82" s="1330"/>
      <c r="N82" s="1330"/>
      <c r="O82" s="1330"/>
      <c r="P82" s="1330"/>
      <c r="Q82" s="1330"/>
      <c r="R82" s="1330"/>
      <c r="S82" s="1331"/>
      <c r="T82" s="1331"/>
      <c r="U82" s="1331"/>
      <c r="V82" s="1331"/>
      <c r="W82" s="1332"/>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customHeight="1" ht="11.25"/>
    <row customHeight="1" ht="11.25">
      <c r="E84" s="2011" t="s">
        <v>261</v>
      </c>
      <c r="F84" s="2011"/>
      <c r="G84" s="2011"/>
      <c r="H84" s="2011"/>
      <c r="I84" s="2011"/>
      <c r="J84" s="2011"/>
      <c r="K84" s="2011"/>
      <c r="L84" s="2011"/>
      <c r="M84" s="2011"/>
      <c r="N84" s="2011"/>
      <c r="O84" s="2011"/>
      <c r="P84" s="2011"/>
      <c r="Q84" s="2011"/>
      <c r="R84" s="2011"/>
      <c r="S84" s="2011"/>
      <c r="T84" s="2011"/>
      <c r="U84" s="2011"/>
      <c r="V84" s="2011"/>
      <c r="W84" s="2011"/>
    </row>
    <row customHeight="1" ht="36.75">
      <c r="E85" s="2009" t="s">
        <v>262</v>
      </c>
      <c r="F85" s="2009"/>
      <c r="G85" s="2010"/>
      <c r="H85" s="2010"/>
      <c r="I85" s="2010"/>
      <c r="J85" s="2010"/>
      <c r="K85" s="2010"/>
      <c r="L85" s="2010"/>
      <c r="M85" s="2010"/>
      <c r="N85" s="2010"/>
      <c r="O85" s="2010"/>
      <c r="P85" s="2010"/>
      <c r="Q85" s="2010"/>
      <c r="R85" s="2010"/>
      <c r="S85" s="2010"/>
      <c r="T85" s="2010"/>
      <c r="U85" s="2010"/>
      <c r="V85" s="2010"/>
      <c r="W85" s="2010"/>
    </row>
    <row customHeight="1" ht="28.5">
      <c r="E86" s="2009" t="s">
        <v>263</v>
      </c>
      <c r="F86" s="2009"/>
      <c r="G86" s="2010"/>
      <c r="H86" s="2010"/>
      <c r="I86" s="2010"/>
      <c r="J86" s="2010"/>
      <c r="K86" s="2010"/>
      <c r="L86" s="2010"/>
      <c r="M86" s="2010"/>
      <c r="N86" s="2010"/>
      <c r="O86" s="2010"/>
      <c r="P86" s="2010"/>
      <c r="Q86" s="2010"/>
      <c r="R86" s="2010"/>
      <c r="S86" s="2010"/>
      <c r="T86" s="2010"/>
      <c r="U86" s="2010"/>
      <c r="V86" s="2010"/>
      <c r="W86" s="2010"/>
    </row>
    <row customHeight="1" ht="27">
      <c r="E87" s="2009" t="s">
        <v>264</v>
      </c>
      <c r="F87" s="2009"/>
      <c r="G87" s="2010"/>
      <c r="H87" s="2010"/>
      <c r="I87" s="2010"/>
      <c r="J87" s="2010"/>
      <c r="K87" s="2010"/>
      <c r="L87" s="2010"/>
      <c r="M87" s="2010"/>
      <c r="N87" s="2010"/>
      <c r="O87" s="2010"/>
      <c r="P87" s="2010"/>
      <c r="Q87" s="2010"/>
      <c r="R87" s="2010"/>
      <c r="S87" s="2010"/>
      <c r="T87" s="2010"/>
      <c r="U87" s="2010"/>
      <c r="V87" s="2010"/>
      <c r="W87" s="2010"/>
    </row>
    <row customHeight="1" ht="17.25">
      <c r="E88" s="2009" t="s">
        <v>265</v>
      </c>
      <c r="F88" s="2009"/>
      <c r="G88" s="2010"/>
      <c r="H88" s="2010"/>
      <c r="I88" s="2010"/>
      <c r="J88" s="2010"/>
      <c r="K88" s="2010"/>
      <c r="L88" s="2010"/>
      <c r="M88" s="2010"/>
      <c r="N88" s="2010"/>
      <c r="O88" s="2010"/>
      <c r="P88" s="2010"/>
      <c r="Q88" s="2010"/>
      <c r="R88" s="2010"/>
      <c r="S88" s="2010"/>
      <c r="T88" s="2010"/>
      <c r="U88" s="2010"/>
      <c r="V88" s="2010"/>
      <c r="W88" s="2010"/>
    </row>
    <row customHeight="1" ht="15">
      <c r="E89" s="336"/>
      <c r="F89" s="1315"/>
      <c r="G89" s="143"/>
      <c r="H89" s="143"/>
      <c r="I89" s="143"/>
      <c r="J89" s="143"/>
      <c r="K89" s="143"/>
      <c r="L89" s="143"/>
      <c r="M89" s="143"/>
      <c r="N89" s="143"/>
      <c r="O89" s="143"/>
      <c r="P89" s="143"/>
      <c r="Q89" s="143"/>
      <c r="R89" s="143"/>
      <c r="S89" s="143"/>
      <c r="T89" s="143"/>
      <c r="U89" s="143"/>
      <c r="V89" s="143"/>
      <c r="W89" s="143"/>
    </row>
    <row customHeight="1" ht="15">
      <c r="E90" s="2011" t="s">
        <v>266</v>
      </c>
      <c r="F90" s="2011"/>
      <c r="G90" s="2011"/>
      <c r="H90" s="2011"/>
      <c r="I90" s="2011"/>
      <c r="J90" s="2011"/>
      <c r="K90" s="2011"/>
      <c r="L90" s="2011"/>
      <c r="M90" s="2011"/>
      <c r="N90" s="2011"/>
      <c r="O90" s="2011"/>
      <c r="P90" s="2011"/>
      <c r="Q90" s="2011"/>
      <c r="R90" s="2011"/>
      <c r="S90" s="2011"/>
      <c r="T90" s="2011"/>
      <c r="U90" s="2011"/>
      <c r="V90" s="2011"/>
      <c r="W90" s="2011"/>
    </row>
    <row customHeight="1" ht="17.25">
      <c r="E91" s="2009" t="s">
        <v>267</v>
      </c>
      <c r="F91" s="2009"/>
      <c r="G91" s="2010"/>
      <c r="H91" s="2010"/>
      <c r="I91" s="2010"/>
      <c r="J91" s="2010"/>
      <c r="K91" s="2010"/>
      <c r="L91" s="2010"/>
      <c r="M91" s="2010"/>
      <c r="N91" s="2010"/>
      <c r="O91" s="2010"/>
      <c r="P91" s="2010"/>
      <c r="Q91" s="2010"/>
      <c r="R91" s="2010"/>
      <c r="S91" s="2010"/>
      <c r="T91" s="2010"/>
      <c r="U91" s="2010"/>
      <c r="V91" s="2010"/>
      <c r="W91" s="2010"/>
    </row>
    <row customHeight="1" ht="17.25">
      <c r="E92" s="2009" t="s">
        <v>268</v>
      </c>
      <c r="F92" s="2009"/>
      <c r="G92" s="2010"/>
      <c r="H92" s="2010"/>
      <c r="I92" s="2010"/>
      <c r="J92" s="2010"/>
      <c r="K92" s="2010"/>
      <c r="L92" s="2010"/>
      <c r="M92" s="2010"/>
      <c r="N92" s="2010"/>
      <c r="O92" s="2010"/>
      <c r="P92" s="2010"/>
      <c r="Q92" s="2010"/>
      <c r="R92" s="2010"/>
      <c r="S92" s="2010"/>
      <c r="T92" s="2010"/>
      <c r="U92" s="2010"/>
      <c r="V92" s="2010"/>
      <c r="W92" s="2010"/>
    </row>
    <row s="2968" customFormat="1" customHeight="1" ht="11.25" hidden="1">
      <c r="A93" s="263"/>
      <c r="B93" s="263"/>
      <c r="Y93" s="1288"/>
      <c r="Z93" s="1288"/>
      <c r="AA93" s="1288"/>
      <c r="AB93" s="1288"/>
      <c r="AC93" s="1288"/>
      <c r="AD93" s="1288"/>
      <c r="AE93" s="1288"/>
      <c r="AF93" s="1288"/>
      <c r="AG93" s="1288"/>
      <c r="AH93" s="1288"/>
      <c r="AI93" s="1288"/>
      <c r="AJ93" s="1288"/>
      <c r="AK93" s="1288"/>
      <c r="AL93" s="1288"/>
      <c r="AM93" s="1288"/>
      <c r="AN93" s="1288"/>
      <c r="AO93" s="1288"/>
      <c r="AP93" s="1288"/>
      <c r="AQ93" s="1288"/>
    </row>
    <row s="2968" customFormat="1" customHeight="1" ht="17.25" hidden="1">
      <c r="A94" s="314"/>
      <c r="C94" s="195"/>
      <c r="D94" s="1991">
        <v>1</v>
      </c>
      <c r="E94" s="1993" t="s">
        <v>269</v>
      </c>
      <c r="F94" s="1995" t="s">
        <v>56</v>
      </c>
      <c r="G94" s="1993"/>
      <c r="H94" s="1998"/>
      <c r="I94" s="2000"/>
      <c r="J94" s="2002"/>
      <c r="K94" s="1989"/>
      <c r="L94" s="1989"/>
      <c r="M94" s="1989"/>
      <c r="N94" s="2005"/>
      <c r="O94" s="1989"/>
      <c r="P94" s="1989"/>
      <c r="Q94" s="1989"/>
      <c r="R94" s="2008"/>
      <c r="S94" s="1989"/>
      <c r="T94" s="1500"/>
      <c r="U94" s="1500"/>
      <c r="V94" s="1502"/>
      <c r="W94" s="1326"/>
      <c r="Y94" s="1296"/>
      <c r="Z94" s="1296"/>
      <c r="AA94" s="1296"/>
      <c r="AB94" s="1296"/>
      <c r="AC94" s="1296" t="s">
        <v>270</v>
      </c>
      <c r="AD94" s="1296" t="s">
        <v>271</v>
      </c>
      <c r="AE94" s="1296" t="s">
        <v>272</v>
      </c>
      <c r="AF94" s="1296" t="s">
        <v>273</v>
      </c>
      <c r="AG94" s="1296"/>
      <c r="AH94" s="1296" t="str">
        <f>IF($E$94=0,"",$E$94)</f>
        <v>Тариф на питьевую воду (питьевое водоснабжение)</v>
      </c>
      <c r="AI94" s="1296" t="str">
        <f>IF($G$94=0,"",$G$94)</f>
        <v/>
      </c>
      <c r="AJ94" s="1296" t="str">
        <f>IF($J$94=0,"",$J$94)</f>
        <v/>
      </c>
      <c r="AK94" s="1296" t="str">
        <f>IF($K$94="нет","без дифференциации",IF($N$94=0,"",$N$94))</f>
        <v/>
      </c>
      <c r="AL94" s="1296" t="str">
        <f>IF($O$94="нет","без дифференциации",IF($R$94=0,"",$R$94))</f>
        <v/>
      </c>
      <c r="AM94" s="1296" t="str">
        <f>IF($S$94="нет","без дифференциации",IF($V$94=0,"",$V$94))</f>
        <v/>
      </c>
      <c r="AN94" s="1296">
        <f>$I$94</f>
        <v>0</v>
      </c>
      <c r="AO94" s="1296" t="str">
        <f>$I$94&amp;"."&amp;$M$94</f>
        <v>.</v>
      </c>
      <c r="AP94" s="1296" t="str">
        <f>$I$94&amp;"."&amp;$M$94&amp;"."&amp;$Q$94</f>
        <v>..</v>
      </c>
      <c r="AQ94" s="1296" t="str">
        <f>$I$94&amp;"."&amp;$M$94&amp;"."&amp;$Q$94&amp;"."&amp;$U$94</f>
        <v>...</v>
      </c>
    </row>
    <row s="2968" customFormat="1" customHeight="1" ht="17.25" hidden="1">
      <c r="A95" s="314"/>
      <c r="C95" s="313"/>
      <c r="D95" s="1991"/>
      <c r="E95" s="1993"/>
      <c r="F95" s="1996"/>
      <c r="G95" s="1993"/>
      <c r="H95" s="1999"/>
      <c r="I95" s="2001"/>
      <c r="J95" s="2003"/>
      <c r="K95" s="1990"/>
      <c r="L95" s="1990"/>
      <c r="M95" s="1990"/>
      <c r="N95" s="2006"/>
      <c r="O95" s="1990"/>
      <c r="P95" s="1990"/>
      <c r="Q95" s="1990"/>
      <c r="R95" s="2007"/>
      <c r="S95" s="1990"/>
      <c r="T95" s="1327"/>
      <c r="U95" s="1327"/>
      <c r="V95" s="1327"/>
      <c r="W95" s="1328"/>
      <c r="Y95" s="1288"/>
      <c r="Z95" s="1288"/>
      <c r="AA95" s="1288"/>
      <c r="AB95" s="1288"/>
      <c r="AC95" s="1288"/>
      <c r="AD95" s="1288"/>
      <c r="AE95" s="1288"/>
      <c r="AF95" s="1288"/>
      <c r="AG95" s="1288"/>
      <c r="AH95" s="1288"/>
      <c r="AI95" s="1288"/>
      <c r="AJ95" s="1288"/>
      <c r="AK95" s="1288"/>
      <c r="AL95" s="1288"/>
      <c r="AM95" s="1288"/>
      <c r="AN95" s="1288"/>
      <c r="AO95" s="1288"/>
      <c r="AP95" s="1288"/>
      <c r="AQ95" s="1288"/>
    </row>
    <row s="2969" customFormat="1" customHeight="1" ht="17.25" hidden="1">
      <c r="A96" s="314"/>
      <c r="C96" s="195"/>
      <c r="D96" s="1991"/>
      <c r="E96" s="1993"/>
      <c r="F96" s="1996"/>
      <c r="G96" s="1993"/>
      <c r="H96" s="1999"/>
      <c r="I96" s="2001"/>
      <c r="J96" s="2004"/>
      <c r="K96" s="1990"/>
      <c r="L96" s="1990"/>
      <c r="M96" s="1990"/>
      <c r="N96" s="2007"/>
      <c r="O96" s="1990"/>
      <c r="P96" s="1501"/>
      <c r="Q96" s="1327"/>
      <c r="R96" s="1327"/>
      <c r="S96" s="325"/>
      <c r="T96" s="325"/>
      <c r="U96" s="325"/>
      <c r="V96" s="325"/>
      <c r="W96" s="1328"/>
      <c r="Y96" s="1296"/>
      <c r="Z96" s="1296"/>
      <c r="AA96" s="1296"/>
      <c r="AB96" s="1296"/>
      <c r="AC96" s="1296"/>
      <c r="AD96" s="1296"/>
      <c r="AE96" s="1296"/>
      <c r="AF96" s="1296"/>
      <c r="AG96" s="1296"/>
      <c r="AH96" s="1296"/>
      <c r="AI96" s="1296"/>
      <c r="AJ96" s="1296"/>
      <c r="AK96" s="1296"/>
      <c r="AL96" s="1296"/>
      <c r="AM96" s="1296"/>
      <c r="AN96" s="1296"/>
      <c r="AO96" s="1296"/>
      <c r="AP96" s="1296"/>
      <c r="AQ96" s="1296"/>
    </row>
    <row s="2969" customFormat="1" customHeight="1" ht="17.25" hidden="1">
      <c r="A97" s="314"/>
      <c r="C97" s="313"/>
      <c r="D97" s="1991"/>
      <c r="E97" s="1993"/>
      <c r="F97" s="1996"/>
      <c r="G97" s="1993"/>
      <c r="H97" s="1999"/>
      <c r="I97" s="2001"/>
      <c r="J97" s="2004"/>
      <c r="K97" s="1990"/>
      <c r="L97" s="1327"/>
      <c r="M97" s="1327"/>
      <c r="N97" s="1327"/>
      <c r="O97" s="1327"/>
      <c r="P97" s="1327"/>
      <c r="Q97" s="1327"/>
      <c r="R97" s="1327"/>
      <c r="S97" s="325"/>
      <c r="T97" s="325"/>
      <c r="U97" s="325"/>
      <c r="V97" s="325"/>
      <c r="W97" s="1328"/>
      <c r="Y97" s="1288"/>
      <c r="Z97" s="1288"/>
      <c r="AA97" s="1288"/>
      <c r="AB97" s="1288"/>
      <c r="AC97" s="1288"/>
      <c r="AD97" s="1288"/>
      <c r="AE97" s="1288"/>
      <c r="AF97" s="1288"/>
      <c r="AG97" s="1288"/>
      <c r="AH97" s="1288"/>
      <c r="AI97" s="1288"/>
      <c r="AJ97" s="1288"/>
      <c r="AK97" s="1288"/>
      <c r="AL97" s="1288"/>
      <c r="AM97" s="1288"/>
      <c r="AN97" s="1288"/>
      <c r="AO97" s="1288"/>
      <c r="AP97" s="1288"/>
      <c r="AQ97" s="1288"/>
    </row>
    <row s="2968" customFormat="1" customHeight="1" ht="17.25" hidden="1">
      <c r="A98" s="314"/>
      <c r="C98" s="313"/>
      <c r="D98" s="1992"/>
      <c r="E98" s="1994"/>
      <c r="F98" s="1997"/>
      <c r="G98" s="1994"/>
      <c r="H98" s="1329"/>
      <c r="I98" s="1330"/>
      <c r="J98" s="1330"/>
      <c r="K98" s="1330"/>
      <c r="L98" s="1330"/>
      <c r="M98" s="1330"/>
      <c r="N98" s="1330"/>
      <c r="O98" s="1330"/>
      <c r="P98" s="1330"/>
      <c r="Q98" s="1330"/>
      <c r="R98" s="1330"/>
      <c r="S98" s="1331"/>
      <c r="T98" s="1331"/>
      <c r="U98" s="1331"/>
      <c r="V98" s="1331"/>
      <c r="W98" s="1332"/>
      <c r="Y98" s="1288"/>
      <c r="Z98" s="1288"/>
      <c r="AA98" s="1288"/>
      <c r="AB98" s="1288"/>
      <c r="AC98" s="1288"/>
      <c r="AD98" s="1288"/>
      <c r="AE98" s="1288"/>
      <c r="AF98" s="1288"/>
      <c r="AG98" s="1288"/>
      <c r="AH98" s="1288"/>
      <c r="AI98" s="1288"/>
      <c r="AJ98" s="1288"/>
      <c r="AK98" s="1288"/>
      <c r="AL98" s="1288"/>
      <c r="AM98" s="1288"/>
      <c r="AN98" s="1288"/>
      <c r="AO98" s="1288"/>
      <c r="AP98" s="1288"/>
      <c r="AQ98" s="1288"/>
    </row>
    <row s="2968" customFormat="1" customHeight="1" ht="17.25" hidden="1">
      <c r="A99" s="314"/>
      <c r="C99" s="195"/>
      <c r="D99" s="1991">
        <v>2</v>
      </c>
      <c r="E99" s="1993" t="s">
        <v>274</v>
      </c>
      <c r="F99" s="1995" t="s">
        <v>56</v>
      </c>
      <c r="G99" s="1993"/>
      <c r="H99" s="1998"/>
      <c r="I99" s="2000"/>
      <c r="J99" s="2002"/>
      <c r="K99" s="1989"/>
      <c r="L99" s="1989"/>
      <c r="M99" s="1989"/>
      <c r="N99" s="2005"/>
      <c r="O99" s="1989"/>
      <c r="P99" s="1989"/>
      <c r="Q99" s="1989"/>
      <c r="R99" s="2008"/>
      <c r="S99" s="1989"/>
      <c r="T99" s="1473"/>
      <c r="U99" s="1473"/>
      <c r="V99" s="1475"/>
      <c r="W99" s="1326"/>
      <c r="X99" s="1296"/>
      <c r="Y99" s="1296"/>
      <c r="Z99" s="1296"/>
      <c r="AA99" s="1296"/>
      <c r="AB99" s="1296"/>
      <c r="AC99" s="1296" t="s">
        <v>275</v>
      </c>
      <c r="AD99" s="1296" t="s">
        <v>276</v>
      </c>
      <c r="AE99" s="1296" t="s">
        <v>277</v>
      </c>
      <c r="AF99" s="1296" t="s">
        <v>278</v>
      </c>
      <c r="AG99" s="1296"/>
      <c r="AH99" s="1296" t="str">
        <f>IF($E$99=0,"",$E$99)</f>
        <v>Тариф на техническую воду</v>
      </c>
      <c r="AI99" s="1296" t="str">
        <f>IF($G$99=0,"",$G$99)</f>
        <v/>
      </c>
      <c r="AJ99" s="1296" t="str">
        <f>IF($J$99=0,"",$J$99)</f>
        <v/>
      </c>
      <c r="AK99" s="1296" t="str">
        <f>IF($K$99="нет","без дифференциации",IF($N$99=0,"",$N$99))</f>
        <v/>
      </c>
      <c r="AL99" s="1296" t="str">
        <f>IF($O$99="нет","без дифференциации",IF($R$99=0,"",$R$99))</f>
        <v/>
      </c>
      <c r="AM99" s="1296" t="str">
        <f>IF($S$99="нет","без дифференциации",IF($V$99=0,"",$V$99))</f>
        <v/>
      </c>
      <c r="AN99" s="1813">
        <f>$I$99</f>
        <v>0</v>
      </c>
      <c r="AO99" s="1296" t="str">
        <f>$I$99&amp;"."&amp;$M$99</f>
        <v>.</v>
      </c>
      <c r="AP99" s="1288" t="str">
        <f>$I$99&amp;"."&amp;$M$99&amp;"."&amp;$Q$99</f>
        <v>..</v>
      </c>
      <c r="AQ99" s="1288" t="str">
        <f>$I$99&amp;"."&amp;$M$99&amp;"."&amp;$Q$99&amp;"."&amp;$U$99</f>
        <v>...</v>
      </c>
    </row>
    <row s="2968" customFormat="1" customHeight="1" ht="17.25" hidden="1">
      <c r="A100" s="314"/>
      <c r="C100" s="313"/>
      <c r="D100" s="1991"/>
      <c r="E100" s="1993"/>
      <c r="F100" s="1996"/>
      <c r="G100" s="1993"/>
      <c r="H100" s="1999"/>
      <c r="I100" s="2001"/>
      <c r="J100" s="2003"/>
      <c r="K100" s="1990"/>
      <c r="L100" s="1990"/>
      <c r="M100" s="1990"/>
      <c r="N100" s="2006"/>
      <c r="O100" s="1990"/>
      <c r="P100" s="1990"/>
      <c r="Q100" s="1990"/>
      <c r="R100" s="2007"/>
      <c r="S100" s="1990"/>
      <c r="T100" s="1327"/>
      <c r="U100" s="1327"/>
      <c r="V100" s="1327"/>
      <c r="W100" s="1328"/>
      <c r="X100" s="1288"/>
      <c r="Y100" s="1288"/>
      <c r="Z100" s="1288"/>
      <c r="AA100" s="1288"/>
      <c r="AB100" s="1288"/>
      <c r="AC100" s="1288"/>
      <c r="AD100" s="1288"/>
      <c r="AE100" s="1288"/>
      <c r="AF100" s="1288"/>
      <c r="AG100" s="1288"/>
      <c r="AH100" s="1288"/>
      <c r="AI100" s="1288"/>
      <c r="AJ100" s="1288"/>
      <c r="AK100" s="1288"/>
      <c r="AL100" s="1288"/>
      <c r="AM100" s="1288"/>
      <c r="AN100" s="1288"/>
      <c r="AO100" s="1288"/>
      <c r="AP100" s="1288"/>
      <c r="AQ100" s="1288"/>
    </row>
    <row s="2968" customFormat="1" customHeight="1" ht="17.25" hidden="1">
      <c r="A101" s="314"/>
      <c r="C101" s="313"/>
      <c r="D101" s="1992"/>
      <c r="E101" s="1994"/>
      <c r="F101" s="1996"/>
      <c r="G101" s="1994"/>
      <c r="H101" s="1999"/>
      <c r="I101" s="2001"/>
      <c r="J101" s="2004"/>
      <c r="K101" s="1990"/>
      <c r="L101" s="1990"/>
      <c r="M101" s="1990"/>
      <c r="N101" s="2007"/>
      <c r="O101" s="1990"/>
      <c r="P101" s="1474"/>
      <c r="Q101" s="1327"/>
      <c r="R101" s="1327"/>
      <c r="S101" s="325"/>
      <c r="T101" s="325"/>
      <c r="U101" s="325"/>
      <c r="V101" s="325"/>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68" customFormat="1" customHeight="1" ht="17.25" hidden="1">
      <c r="A102" s="314"/>
      <c r="C102" s="313"/>
      <c r="D102" s="1992"/>
      <c r="E102" s="1994"/>
      <c r="F102" s="1996"/>
      <c r="G102" s="1994"/>
      <c r="H102" s="1999"/>
      <c r="I102" s="2001"/>
      <c r="J102" s="2004"/>
      <c r="K102" s="1990"/>
      <c r="L102" s="1327"/>
      <c r="M102" s="1327"/>
      <c r="N102" s="1327"/>
      <c r="O102" s="1327"/>
      <c r="P102" s="1327"/>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68" customFormat="1" customHeight="1" ht="17.25" hidden="1">
      <c r="A103" s="314"/>
      <c r="C103" s="313"/>
      <c r="D103" s="1992"/>
      <c r="E103" s="1994"/>
      <c r="F103" s="1997"/>
      <c r="G103" s="1994"/>
      <c r="H103" s="1329"/>
      <c r="I103" s="1330"/>
      <c r="J103" s="1330"/>
      <c r="K103" s="1330"/>
      <c r="L103" s="1330"/>
      <c r="M103" s="1330"/>
      <c r="N103" s="1330"/>
      <c r="O103" s="1330"/>
      <c r="P103" s="1330"/>
      <c r="Q103" s="1330"/>
      <c r="R103" s="1330"/>
      <c r="S103" s="1331"/>
      <c r="T103" s="1331"/>
      <c r="U103" s="1331"/>
      <c r="V103" s="1331"/>
      <c r="W103" s="1332"/>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68" customFormat="1" customHeight="1" ht="17.25" hidden="1">
      <c r="A104" s="314"/>
      <c r="C104" s="195"/>
      <c r="D104" s="1991">
        <v>3</v>
      </c>
      <c r="E104" s="1993" t="s">
        <v>279</v>
      </c>
      <c r="F104" s="1995" t="s">
        <v>56</v>
      </c>
      <c r="G104" s="1993"/>
      <c r="H104" s="1998"/>
      <c r="I104" s="2000"/>
      <c r="J104" s="2002"/>
      <c r="K104" s="1989"/>
      <c r="L104" s="1989"/>
      <c r="M104" s="1989"/>
      <c r="N104" s="2005"/>
      <c r="O104" s="1989"/>
      <c r="P104" s="1989"/>
      <c r="Q104" s="1989"/>
      <c r="R104" s="2008"/>
      <c r="S104" s="1989"/>
      <c r="T104" s="1473"/>
      <c r="U104" s="1473"/>
      <c r="V104" s="1475"/>
      <c r="W104" s="1326"/>
      <c r="X104" s="1296"/>
      <c r="Y104" s="1296"/>
      <c r="Z104" s="1296"/>
      <c r="AA104" s="1296"/>
      <c r="AB104" s="1296"/>
      <c r="AC104" s="1296" t="s">
        <v>280</v>
      </c>
      <c r="AD104" s="1296" t="s">
        <v>281</v>
      </c>
      <c r="AE104" s="1296" t="s">
        <v>282</v>
      </c>
      <c r="AF104" s="1296" t="s">
        <v>283</v>
      </c>
      <c r="AG104" s="1296"/>
      <c r="AH104" s="1296" t="str">
        <f>IF($E$104=0,"",$E$104)</f>
        <v>Тариф на транспортировку воды</v>
      </c>
      <c r="AI104" s="1296" t="str">
        <f>IF($G$104=0,"",$G$104)</f>
        <v/>
      </c>
      <c r="AJ104" s="1296" t="str">
        <f>IF($J$104=0,"",$J$104)</f>
        <v/>
      </c>
      <c r="AK104" s="1296" t="str">
        <f>IF($K$104="нет","без дифференциации",IF($N$104=0,"",$N$104))</f>
        <v/>
      </c>
      <c r="AL104" s="1296" t="str">
        <f>IF($O$104="нет","без дифференциации",IF($R$104=0,"",$R$104))</f>
        <v/>
      </c>
      <c r="AM104" s="1296" t="str">
        <f>IF($S$104="нет","без дифференциации",IF($V$104=0,"",$V$104))</f>
        <v/>
      </c>
      <c r="AN104" s="1813">
        <f>$I$104</f>
        <v>0</v>
      </c>
      <c r="AO104" s="1296" t="str">
        <f>$I$104&amp;"."&amp;$M$104</f>
        <v>.</v>
      </c>
      <c r="AP104" s="1288" t="str">
        <f>$I$104&amp;"."&amp;$M$104&amp;"."&amp;$Q$104</f>
        <v>..</v>
      </c>
      <c r="AQ104" s="1288" t="str">
        <f>$I$104&amp;"."&amp;$M$104&amp;"."&amp;$Q$104&amp;"."&amp;$U$104</f>
        <v>...</v>
      </c>
    </row>
    <row s="2968" customFormat="1" customHeight="1" ht="17.25" hidden="1">
      <c r="A105" s="314"/>
      <c r="C105" s="313"/>
      <c r="D105" s="1991"/>
      <c r="E105" s="1993"/>
      <c r="F105" s="1996"/>
      <c r="G105" s="1993"/>
      <c r="H105" s="1999"/>
      <c r="I105" s="2001"/>
      <c r="J105" s="2003"/>
      <c r="K105" s="1990"/>
      <c r="L105" s="1990"/>
      <c r="M105" s="1990"/>
      <c r="N105" s="2006"/>
      <c r="O105" s="1990"/>
      <c r="P105" s="1990"/>
      <c r="Q105" s="1990"/>
      <c r="R105" s="2007"/>
      <c r="S105" s="1990"/>
      <c r="T105" s="1327"/>
      <c r="U105" s="1327"/>
      <c r="V105" s="1327"/>
      <c r="W105" s="1328"/>
      <c r="X105" s="1288"/>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68" customFormat="1" customHeight="1" ht="17.25" hidden="1">
      <c r="A106" s="314"/>
      <c r="C106" s="313"/>
      <c r="D106" s="1992"/>
      <c r="E106" s="1994"/>
      <c r="F106" s="1996"/>
      <c r="G106" s="1994"/>
      <c r="H106" s="1999"/>
      <c r="I106" s="2001"/>
      <c r="J106" s="2004"/>
      <c r="K106" s="1990"/>
      <c r="L106" s="1990"/>
      <c r="M106" s="1990"/>
      <c r="N106" s="2007"/>
      <c r="O106" s="1990"/>
      <c r="P106" s="1474"/>
      <c r="Q106" s="1327"/>
      <c r="R106" s="1327"/>
      <c r="S106" s="325"/>
      <c r="T106" s="325"/>
      <c r="U106" s="325"/>
      <c r="V106" s="325"/>
      <c r="W106" s="1328"/>
      <c r="X106" s="1288"/>
      <c r="Y106" s="1288"/>
      <c r="Z106" s="1288"/>
      <c r="AA106" s="1288"/>
      <c r="AB106" s="1288"/>
      <c r="AC106" s="1288"/>
      <c r="AD106" s="1288"/>
      <c r="AE106" s="1288"/>
      <c r="AF106" s="1288"/>
      <c r="AG106" s="1288"/>
      <c r="AH106" s="1288"/>
      <c r="AI106" s="1288"/>
      <c r="AJ106" s="1288"/>
      <c r="AK106" s="1288"/>
      <c r="AL106" s="1288"/>
      <c r="AM106" s="1288"/>
      <c r="AN106" s="1288"/>
      <c r="AO106" s="1288"/>
      <c r="AP106" s="1288"/>
      <c r="AQ106" s="1288"/>
    </row>
    <row s="2968" customFormat="1" customHeight="1" ht="17.25" hidden="1">
      <c r="A107" s="314"/>
      <c r="C107" s="313"/>
      <c r="D107" s="1992"/>
      <c r="E107" s="1994"/>
      <c r="F107" s="1996"/>
      <c r="G107" s="1994"/>
      <c r="H107" s="1999"/>
      <c r="I107" s="2001"/>
      <c r="J107" s="2004"/>
      <c r="K107" s="1990"/>
      <c r="L107" s="1327"/>
      <c r="M107" s="1327"/>
      <c r="N107" s="1327"/>
      <c r="O107" s="1327"/>
      <c r="P107" s="1327"/>
      <c r="Q107" s="1327"/>
      <c r="R107" s="1327"/>
      <c r="S107" s="325"/>
      <c r="T107" s="325"/>
      <c r="U107" s="325"/>
      <c r="V107" s="325"/>
      <c r="W107" s="1328"/>
      <c r="X107" s="128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68" customFormat="1" customHeight="1" ht="17.25" hidden="1">
      <c r="A108" s="314"/>
      <c r="C108" s="313"/>
      <c r="D108" s="1992"/>
      <c r="E108" s="1994"/>
      <c r="F108" s="1997"/>
      <c r="G108" s="1994"/>
      <c r="H108" s="1329"/>
      <c r="I108" s="1330"/>
      <c r="J108" s="1330"/>
      <c r="K108" s="1330"/>
      <c r="L108" s="1330"/>
      <c r="M108" s="1330"/>
      <c r="N108" s="1330"/>
      <c r="O108" s="1330"/>
      <c r="P108" s="1330"/>
      <c r="Q108" s="1330"/>
      <c r="R108" s="1330"/>
      <c r="S108" s="1331"/>
      <c r="T108" s="1331"/>
      <c r="U108" s="1331"/>
      <c r="V108" s="1331"/>
      <c r="W108" s="1332"/>
      <c r="X108" s="1288"/>
      <c r="Y108" s="1288"/>
      <c r="Z108" s="1288"/>
      <c r="AA108" s="1288"/>
      <c r="AB108" s="1288"/>
      <c r="AC108" s="1288"/>
      <c r="AD108" s="1288"/>
      <c r="AE108" s="1288"/>
      <c r="AF108" s="1288"/>
      <c r="AG108" s="1288"/>
      <c r="AH108" s="1288"/>
      <c r="AI108" s="1288"/>
      <c r="AJ108" s="1288"/>
      <c r="AK108" s="1288"/>
      <c r="AL108" s="1288"/>
      <c r="AM108" s="1288"/>
      <c r="AN108" s="1288"/>
      <c r="AO108" s="1288"/>
      <c r="AP108" s="1288"/>
      <c r="AQ108" s="1288"/>
    </row>
    <row s="2968" customFormat="1" customHeight="1" ht="17.25" hidden="1">
      <c r="A109" s="314"/>
      <c r="C109" s="195"/>
      <c r="D109" s="1991">
        <v>4</v>
      </c>
      <c r="E109" s="1993" t="s">
        <v>284</v>
      </c>
      <c r="F109" s="1995" t="s">
        <v>56</v>
      </c>
      <c r="G109" s="1993"/>
      <c r="H109" s="1998"/>
      <c r="I109" s="2000"/>
      <c r="J109" s="2002"/>
      <c r="K109" s="1989"/>
      <c r="L109" s="1989"/>
      <c r="M109" s="1989"/>
      <c r="N109" s="2005"/>
      <c r="O109" s="1989"/>
      <c r="P109" s="1989"/>
      <c r="Q109" s="1989"/>
      <c r="R109" s="2008"/>
      <c r="S109" s="1989"/>
      <c r="T109" s="1473"/>
      <c r="U109" s="1473"/>
      <c r="V109" s="1475"/>
      <c r="W109" s="1326"/>
      <c r="X109" s="1296"/>
      <c r="Y109" s="1296"/>
      <c r="Z109" s="1296"/>
      <c r="AA109" s="1296"/>
      <c r="AB109" s="1296"/>
      <c r="AC109" s="1296" t="s">
        <v>285</v>
      </c>
      <c r="AD109" s="1296" t="s">
        <v>286</v>
      </c>
      <c r="AE109" s="1296" t="s">
        <v>287</v>
      </c>
      <c r="AF109" s="1296" t="s">
        <v>288</v>
      </c>
      <c r="AG109" s="1296"/>
      <c r="AH109" s="1296" t="str">
        <f>IF($E$109=0,"",$E$109)</f>
        <v>Тариф на подвоз воды</v>
      </c>
      <c r="AI109" s="1296" t="str">
        <f>IF($G$109=0,"",$G$109)</f>
        <v/>
      </c>
      <c r="AJ109" s="1296" t="str">
        <f>IF($J$109=0,"",$J$109)</f>
        <v/>
      </c>
      <c r="AK109" s="1296" t="str">
        <f>IF($K$109="нет","без дифференциации",IF($N$109=0,"",$N$109))</f>
        <v/>
      </c>
      <c r="AL109" s="1296" t="str">
        <f>IF($O$109="нет","без дифференциации",IF($R$109=0,"",$R$109))</f>
        <v/>
      </c>
      <c r="AM109" s="1296" t="str">
        <f>IF($S$109="нет","без дифференциации",IF($V$109=0,"",$V$109))</f>
        <v/>
      </c>
      <c r="AN109" s="1813">
        <f>$I$109</f>
        <v>0</v>
      </c>
      <c r="AO109" s="1296" t="str">
        <f>$I$109&amp;"."&amp;$M$109</f>
        <v>.</v>
      </c>
      <c r="AP109" s="1288" t="str">
        <f>$I$109&amp;"."&amp;$M$109&amp;"."&amp;$Q$109</f>
        <v>..</v>
      </c>
      <c r="AQ109" s="1288" t="str">
        <f>$I$109&amp;"."&amp;$M$109&amp;"."&amp;$Q$109&amp;"."&amp;$U$109</f>
        <v>...</v>
      </c>
    </row>
    <row s="2968" customFormat="1" customHeight="1" ht="17.25" hidden="1">
      <c r="A110" s="314"/>
      <c r="C110" s="313"/>
      <c r="D110" s="1991"/>
      <c r="E110" s="1993"/>
      <c r="F110" s="1996"/>
      <c r="G110" s="1993"/>
      <c r="H110" s="1999"/>
      <c r="I110" s="2001"/>
      <c r="J110" s="2003"/>
      <c r="K110" s="1990"/>
      <c r="L110" s="1990"/>
      <c r="M110" s="1990"/>
      <c r="N110" s="2006"/>
      <c r="O110" s="1990"/>
      <c r="P110" s="1990"/>
      <c r="Q110" s="1990"/>
      <c r="R110" s="2007"/>
      <c r="S110" s="1990"/>
      <c r="T110" s="1327"/>
      <c r="U110" s="1327"/>
      <c r="V110" s="1327"/>
      <c r="W110" s="1328"/>
      <c r="X110" s="1288"/>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68" customFormat="1" customHeight="1" ht="17.25" hidden="1">
      <c r="A111" s="314"/>
      <c r="C111" s="313"/>
      <c r="D111" s="1992"/>
      <c r="E111" s="1994"/>
      <c r="F111" s="1996"/>
      <c r="G111" s="1994"/>
      <c r="H111" s="1999"/>
      <c r="I111" s="2001"/>
      <c r="J111" s="2004"/>
      <c r="K111" s="1990"/>
      <c r="L111" s="1990"/>
      <c r="M111" s="1990"/>
      <c r="N111" s="2007"/>
      <c r="O111" s="1990"/>
      <c r="P111" s="1474"/>
      <c r="Q111" s="1327"/>
      <c r="R111" s="1327"/>
      <c r="S111" s="325"/>
      <c r="T111" s="325"/>
      <c r="U111" s="325"/>
      <c r="V111" s="325"/>
      <c r="W111" s="1328"/>
      <c r="X111" s="1288"/>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row>
    <row s="2968" customFormat="1" customHeight="1" ht="17.25" hidden="1">
      <c r="A112" s="314"/>
      <c r="C112" s="313"/>
      <c r="D112" s="1992"/>
      <c r="E112" s="1994"/>
      <c r="F112" s="1996"/>
      <c r="G112" s="1994"/>
      <c r="H112" s="1999"/>
      <c r="I112" s="2001"/>
      <c r="J112" s="2004"/>
      <c r="K112" s="1990"/>
      <c r="L112" s="1327"/>
      <c r="M112" s="1327"/>
      <c r="N112" s="1327"/>
      <c r="O112" s="1327"/>
      <c r="P112" s="1327"/>
      <c r="Q112" s="1327"/>
      <c r="R112" s="1327"/>
      <c r="S112" s="325"/>
      <c r="T112" s="325"/>
      <c r="U112" s="325"/>
      <c r="V112" s="325"/>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68" customFormat="1" customHeight="1" ht="17.25" hidden="1">
      <c r="A113" s="314"/>
      <c r="C113" s="313"/>
      <c r="D113" s="1992"/>
      <c r="E113" s="1994"/>
      <c r="F113" s="1997"/>
      <c r="G113" s="1994"/>
      <c r="H113" s="1329"/>
      <c r="I113" s="1330"/>
      <c r="J113" s="1330"/>
      <c r="K113" s="1330"/>
      <c r="L113" s="1330"/>
      <c r="M113" s="1330"/>
      <c r="N113" s="1330"/>
      <c r="O113" s="1330"/>
      <c r="P113" s="1330"/>
      <c r="Q113" s="1330"/>
      <c r="R113" s="1330"/>
      <c r="S113" s="1331"/>
      <c r="T113" s="1331"/>
      <c r="U113" s="1331"/>
      <c r="V113" s="1331"/>
      <c r="W113" s="1332"/>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68" customFormat="1" customHeight="1" ht="17.25" hidden="1">
      <c r="A114" s="314"/>
      <c r="C114" s="195"/>
      <c r="D114" s="1991">
        <v>5</v>
      </c>
      <c r="E114" s="1993" t="s">
        <v>289</v>
      </c>
      <c r="F114" s="1995" t="s">
        <v>56</v>
      </c>
      <c r="G114" s="1993"/>
      <c r="H114" s="1998"/>
      <c r="I114" s="2000"/>
      <c r="J114" s="2002"/>
      <c r="K114" s="1989"/>
      <c r="L114" s="1989"/>
      <c r="M114" s="1989"/>
      <c r="N114" s="2005"/>
      <c r="O114" s="1989"/>
      <c r="P114" s="1989"/>
      <c r="Q114" s="1989"/>
      <c r="R114" s="2008"/>
      <c r="S114" s="1989"/>
      <c r="T114" s="1500"/>
      <c r="U114" s="1500"/>
      <c r="V114" s="1502"/>
      <c r="W114" s="1326"/>
      <c r="X114" s="1296"/>
      <c r="Y114" s="1296"/>
      <c r="Z114" s="1296"/>
      <c r="AA114" s="1296"/>
      <c r="AB114" s="1296"/>
      <c r="AC114" s="1296" t="s">
        <v>290</v>
      </c>
      <c r="AD114" s="1296" t="s">
        <v>291</v>
      </c>
      <c r="AE114" s="1296" t="s">
        <v>292</v>
      </c>
      <c r="AF114" s="1296" t="s">
        <v>293</v>
      </c>
      <c r="AG114" s="1296"/>
      <c r="AH114" s="1296" t="str">
        <f>IF($E$114=0,"",$E$114)</f>
        <v>Тариф на подключение (технологическое присоединение) к централизованной системе холодного водоснабжения</v>
      </c>
      <c r="AI114" s="1296" t="str">
        <f>IF($G$114=0,"",$G$114)</f>
        <v/>
      </c>
      <c r="AJ114" s="1296" t="str">
        <f>IF($J$114=0,"",$J$114)</f>
        <v/>
      </c>
      <c r="AK114" s="1296" t="str">
        <f>IF($K$114="нет","без дифференциации",IF($N$114=0,"",$N$114))</f>
        <v/>
      </c>
      <c r="AL114" s="1296" t="str">
        <f>IF($O$114="нет","без дифференциации",IF($R$114=0,"",$R$114))</f>
        <v/>
      </c>
      <c r="AM114" s="1296" t="str">
        <f>IF($S$114="нет","без дифференциации",IF($V$114=0,"",$V$114))</f>
        <v/>
      </c>
      <c r="AN114" s="1813">
        <f>$I$114</f>
        <v>0</v>
      </c>
      <c r="AO114" s="1296" t="str">
        <f>$I$114&amp;"."&amp;$M$114</f>
        <v>.</v>
      </c>
      <c r="AP114" s="1288" t="str">
        <f>$I$114&amp;"."&amp;$M$114&amp;"."&amp;$Q$114</f>
        <v>..</v>
      </c>
      <c r="AQ114" s="1288" t="str">
        <f>$I$114&amp;"."&amp;$M$114&amp;"."&amp;$Q$114&amp;"."&amp;$U$114</f>
        <v>...</v>
      </c>
    </row>
    <row s="2968" customFormat="1" customHeight="1" ht="17.25" hidden="1">
      <c r="A115" s="314"/>
      <c r="C115" s="313"/>
      <c r="D115" s="1991"/>
      <c r="E115" s="1993"/>
      <c r="F115" s="1996"/>
      <c r="G115" s="1993"/>
      <c r="H115" s="1999"/>
      <c r="I115" s="2001"/>
      <c r="J115" s="2003"/>
      <c r="K115" s="1990"/>
      <c r="L115" s="1990"/>
      <c r="M115" s="1990"/>
      <c r="N115" s="2006"/>
      <c r="O115" s="1990"/>
      <c r="P115" s="1990"/>
      <c r="Q115" s="1990"/>
      <c r="R115" s="2007"/>
      <c r="S115" s="1990"/>
      <c r="T115" s="1327"/>
      <c r="U115" s="1327"/>
      <c r="V115" s="1327"/>
      <c r="W115" s="1328"/>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68" customFormat="1" customHeight="1" ht="17.25" hidden="1">
      <c r="A116" s="314"/>
      <c r="C116" s="313"/>
      <c r="D116" s="1992"/>
      <c r="E116" s="1994"/>
      <c r="F116" s="1996"/>
      <c r="G116" s="1994"/>
      <c r="H116" s="1999"/>
      <c r="I116" s="2001"/>
      <c r="J116" s="2004"/>
      <c r="K116" s="1990"/>
      <c r="L116" s="1990"/>
      <c r="M116" s="1990"/>
      <c r="N116" s="2007"/>
      <c r="O116" s="1990"/>
      <c r="P116" s="1501"/>
      <c r="Q116" s="1327"/>
      <c r="R116" s="1327"/>
      <c r="S116" s="325"/>
      <c r="T116" s="325"/>
      <c r="U116" s="325"/>
      <c r="V116" s="325"/>
      <c r="W116" s="1328"/>
      <c r="X116" s="1288"/>
      <c r="Y116" s="1288"/>
      <c r="Z116" s="1288"/>
      <c r="AA116" s="1288"/>
      <c r="AB116" s="1288"/>
      <c r="AC116" s="1288"/>
      <c r="AD116" s="1288"/>
      <c r="AE116" s="1288"/>
      <c r="AF116" s="1288"/>
      <c r="AG116" s="1288"/>
      <c r="AH116" s="1288"/>
      <c r="AI116" s="1288"/>
      <c r="AJ116" s="1288"/>
      <c r="AK116" s="1288"/>
      <c r="AL116" s="1288"/>
      <c r="AM116" s="1288"/>
      <c r="AN116" s="1288"/>
      <c r="AO116" s="1288"/>
      <c r="AP116" s="1288"/>
      <c r="AQ116" s="1288"/>
    </row>
    <row s="2968" customFormat="1" customHeight="1" ht="17.25" hidden="1">
      <c r="A117" s="314"/>
      <c r="C117" s="313"/>
      <c r="D117" s="1992"/>
      <c r="E117" s="1994"/>
      <c r="F117" s="1996"/>
      <c r="G117" s="1994"/>
      <c r="H117" s="1999"/>
      <c r="I117" s="2001"/>
      <c r="J117" s="2004"/>
      <c r="K117" s="1990"/>
      <c r="L117" s="1327"/>
      <c r="M117" s="1327"/>
      <c r="N117" s="1327"/>
      <c r="O117" s="1327"/>
      <c r="P117" s="1327"/>
      <c r="Q117" s="1327"/>
      <c r="R117" s="1327"/>
      <c r="S117" s="325"/>
      <c r="T117" s="325"/>
      <c r="U117" s="325"/>
      <c r="V117" s="325"/>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68" customFormat="1" customHeight="1" ht="17.25" hidden="1">
      <c r="A118" s="314"/>
      <c r="C118" s="313"/>
      <c r="D118" s="1992"/>
      <c r="E118" s="1994"/>
      <c r="F118" s="1997"/>
      <c r="G118" s="1994"/>
      <c r="H118" s="1329"/>
      <c r="I118" s="1330"/>
      <c r="J118" s="1330"/>
      <c r="K118" s="1330"/>
      <c r="L118" s="1330"/>
      <c r="M118" s="1330"/>
      <c r="N118" s="1330"/>
      <c r="O118" s="1330"/>
      <c r="P118" s="1330"/>
      <c r="Q118" s="1330"/>
      <c r="R118" s="1330"/>
      <c r="S118" s="1331"/>
      <c r="T118" s="1331"/>
      <c r="U118" s="1331"/>
      <c r="V118" s="1331"/>
      <c r="W118" s="1332"/>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73" customFormat="1" customHeight="1" ht="11.25" hidden="1">
      <c r="A119" s="263"/>
      <c r="B119" s="263"/>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73" customFormat="1" customHeight="1" ht="17.25" hidden="1">
      <c r="A120" s="314"/>
      <c r="C120" s="195"/>
      <c r="D120" s="1991">
        <v>1</v>
      </c>
      <c r="E120" s="1993" t="s">
        <v>294</v>
      </c>
      <c r="F120" s="1995" t="s">
        <v>56</v>
      </c>
      <c r="G120" s="1993"/>
      <c r="H120" s="1998"/>
      <c r="I120" s="2000"/>
      <c r="J120" s="2002"/>
      <c r="K120" s="1989"/>
      <c r="L120" s="1989"/>
      <c r="M120" s="1989"/>
      <c r="N120" s="2005"/>
      <c r="O120" s="1989"/>
      <c r="P120" s="1989"/>
      <c r="Q120" s="1989"/>
      <c r="R120" s="2008"/>
      <c r="S120" s="1989"/>
      <c r="T120" s="1500"/>
      <c r="U120" s="1500"/>
      <c r="V120" s="1502"/>
      <c r="W120" s="1326"/>
      <c r="Y120" s="1296"/>
      <c r="Z120" s="1296"/>
      <c r="AA120" s="1296"/>
      <c r="AB120" s="1296"/>
      <c r="AC120" s="1296" t="s">
        <v>295</v>
      </c>
      <c r="AD120" s="1296" t="s">
        <v>296</v>
      </c>
      <c r="AE120" s="1296" t="s">
        <v>297</v>
      </c>
      <c r="AF120" s="1296" t="s">
        <v>298</v>
      </c>
      <c r="AG120" s="1296"/>
      <c r="AH120" s="1296" t="str">
        <f>IF($E$120=0,"",$E$120)</f>
        <v>Тариф на горячую воду (горячее водоснабжение)</v>
      </c>
      <c r="AI120" s="1296" t="str">
        <f>IF($G$120=0,"",$G$120)</f>
        <v/>
      </c>
      <c r="AJ120" s="1296" t="str">
        <f>IF($J$120=0,"",$J$120)</f>
        <v/>
      </c>
      <c r="AK120" s="1296" t="str">
        <f>IF($K$120="нет","без дифференциации",IF($N$120=0,"",$N$120))</f>
        <v/>
      </c>
      <c r="AL120" s="1296" t="str">
        <f>IF($O$120="нет","без дифференциации",IF($R$120=0,"",$R$120))</f>
        <v/>
      </c>
      <c r="AM120" s="1296" t="str">
        <f>IF($S$120="нет","без дифференциации",IF($V$120=0,"",$V$120))</f>
        <v/>
      </c>
      <c r="AN120" s="1296">
        <f>$I$120</f>
        <v>0</v>
      </c>
      <c r="AO120" s="1296" t="str">
        <f>$I$120&amp;"."&amp;$M$120</f>
        <v>.</v>
      </c>
      <c r="AP120" s="1296" t="str">
        <f>$I$120&amp;"."&amp;$M$120&amp;"."&amp;$Q$120</f>
        <v>..</v>
      </c>
      <c r="AQ120" s="1296" t="str">
        <f>$I$120&amp;"."&amp;$M$120&amp;"."&amp;$Q$120&amp;"."&amp;$U$120</f>
        <v>...</v>
      </c>
    </row>
    <row s="2973" customFormat="1" customHeight="1" ht="17.25" hidden="1">
      <c r="A121" s="314"/>
      <c r="C121" s="313"/>
      <c r="D121" s="1991"/>
      <c r="E121" s="1993"/>
      <c r="F121" s="1996"/>
      <c r="G121" s="1993"/>
      <c r="H121" s="1999"/>
      <c r="I121" s="2001"/>
      <c r="J121" s="2003"/>
      <c r="K121" s="1990"/>
      <c r="L121" s="1990"/>
      <c r="M121" s="1990"/>
      <c r="N121" s="2006"/>
      <c r="O121" s="1990"/>
      <c r="P121" s="1990"/>
      <c r="Q121" s="1990"/>
      <c r="R121" s="2007"/>
      <c r="S121" s="1990"/>
      <c r="T121" s="1327"/>
      <c r="U121" s="1327"/>
      <c r="V121" s="1327"/>
      <c r="W121" s="1328"/>
      <c r="Y121" s="1288"/>
      <c r="Z121" s="1288"/>
      <c r="AA121" s="1288"/>
      <c r="AB121" s="1288"/>
      <c r="AC121" s="1288"/>
      <c r="AD121" s="1288"/>
      <c r="AE121" s="1288"/>
      <c r="AF121" s="1288"/>
      <c r="AG121" s="1288"/>
      <c r="AH121" s="1288"/>
      <c r="AI121" s="1288"/>
      <c r="AJ121" s="1288"/>
      <c r="AK121" s="1288"/>
      <c r="AL121" s="1288"/>
      <c r="AM121" s="1288"/>
      <c r="AN121" s="1288"/>
      <c r="AO121" s="1288"/>
      <c r="AP121" s="1288"/>
      <c r="AQ121" s="1288"/>
    </row>
    <row s="2973" customFormat="1" customHeight="1" ht="17.25" hidden="1">
      <c r="A122" s="314"/>
      <c r="C122" s="195"/>
      <c r="D122" s="1991"/>
      <c r="E122" s="1993"/>
      <c r="F122" s="1996"/>
      <c r="G122" s="1993"/>
      <c r="H122" s="1999"/>
      <c r="I122" s="2001"/>
      <c r="J122" s="2004"/>
      <c r="K122" s="1990"/>
      <c r="L122" s="1990"/>
      <c r="M122" s="1990"/>
      <c r="N122" s="2007"/>
      <c r="O122" s="1990"/>
      <c r="P122" s="1501"/>
      <c r="Q122" s="1327"/>
      <c r="R122" s="1327"/>
      <c r="S122" s="325"/>
      <c r="T122" s="325"/>
      <c r="U122" s="325"/>
      <c r="V122" s="325"/>
      <c r="W122" s="1328"/>
      <c r="Y122" s="1296"/>
      <c r="Z122" s="1296"/>
      <c r="AA122" s="1296"/>
      <c r="AB122" s="1296"/>
      <c r="AC122" s="1296"/>
      <c r="AD122" s="1296"/>
      <c r="AE122" s="1296"/>
      <c r="AF122" s="1296"/>
      <c r="AG122" s="1296"/>
      <c r="AH122" s="1296"/>
      <c r="AI122" s="1296"/>
      <c r="AJ122" s="1296"/>
      <c r="AK122" s="1296"/>
      <c r="AL122" s="1296"/>
      <c r="AM122" s="1296"/>
      <c r="AN122" s="1296"/>
      <c r="AO122" s="1296"/>
      <c r="AP122" s="1296"/>
      <c r="AQ122" s="1296"/>
    </row>
    <row s="2973" customFormat="1" customHeight="1" ht="17.25" hidden="1">
      <c r="A123" s="314"/>
      <c r="C123" s="313"/>
      <c r="D123" s="1991"/>
      <c r="E123" s="1993"/>
      <c r="F123" s="1996"/>
      <c r="G123" s="1993"/>
      <c r="H123" s="1999"/>
      <c r="I123" s="2001"/>
      <c r="J123" s="2004"/>
      <c r="K123" s="1990"/>
      <c r="L123" s="1327"/>
      <c r="M123" s="1327"/>
      <c r="N123" s="1327"/>
      <c r="O123" s="1327"/>
      <c r="P123" s="1327"/>
      <c r="Q123" s="1327"/>
      <c r="R123" s="1327"/>
      <c r="S123" s="325"/>
      <c r="T123" s="325"/>
      <c r="U123" s="325"/>
      <c r="V123" s="325"/>
      <c r="W123" s="1328"/>
      <c r="Y123" s="1288"/>
      <c r="Z123" s="1288"/>
      <c r="AA123" s="1288"/>
      <c r="AB123" s="1288"/>
      <c r="AC123" s="1288"/>
      <c r="AD123" s="1288"/>
      <c r="AE123" s="1288"/>
      <c r="AF123" s="1288"/>
      <c r="AG123" s="1288"/>
      <c r="AH123" s="1288"/>
      <c r="AI123" s="1288"/>
      <c r="AJ123" s="1288"/>
      <c r="AK123" s="1288"/>
      <c r="AL123" s="1288"/>
      <c r="AM123" s="1288"/>
      <c r="AN123" s="1288"/>
      <c r="AO123" s="1288"/>
      <c r="AP123" s="1288"/>
      <c r="AQ123" s="1288"/>
    </row>
    <row s="2973" customFormat="1" customHeight="1" ht="17.25" hidden="1">
      <c r="A124" s="314"/>
      <c r="C124" s="313"/>
      <c r="D124" s="1992"/>
      <c r="E124" s="1994"/>
      <c r="F124" s="1997"/>
      <c r="G124" s="1994"/>
      <c r="H124" s="1329"/>
      <c r="I124" s="1330"/>
      <c r="J124" s="1330"/>
      <c r="K124" s="1330"/>
      <c r="L124" s="1330"/>
      <c r="M124" s="1330"/>
      <c r="N124" s="1330"/>
      <c r="O124" s="1330"/>
      <c r="P124" s="1330"/>
      <c r="Q124" s="1330"/>
      <c r="R124" s="1330"/>
      <c r="S124" s="1331"/>
      <c r="T124" s="1331"/>
      <c r="U124" s="1331"/>
      <c r="V124" s="1331"/>
      <c r="W124" s="1332"/>
      <c r="Y124" s="1288"/>
      <c r="Z124" s="1288"/>
      <c r="AA124" s="1288"/>
      <c r="AB124" s="1288"/>
      <c r="AC124" s="1288"/>
      <c r="AD124" s="1288"/>
      <c r="AE124" s="1288"/>
      <c r="AF124" s="1288"/>
      <c r="AG124" s="1288"/>
      <c r="AH124" s="1288"/>
      <c r="AI124" s="1288"/>
      <c r="AJ124" s="1288"/>
      <c r="AK124" s="1288"/>
      <c r="AL124" s="1288"/>
      <c r="AM124" s="1288"/>
      <c r="AN124" s="1288"/>
      <c r="AO124" s="1288"/>
      <c r="AP124" s="1288"/>
      <c r="AQ124" s="1288"/>
    </row>
    <row s="2973" customFormat="1" customHeight="1" ht="17.25" hidden="1">
      <c r="A125" s="314"/>
      <c r="C125" s="195"/>
      <c r="D125" s="1991">
        <v>2</v>
      </c>
      <c r="E125" s="1993" t="s">
        <v>299</v>
      </c>
      <c r="F125" s="1995" t="s">
        <v>56</v>
      </c>
      <c r="G125" s="1993"/>
      <c r="H125" s="1998"/>
      <c r="I125" s="2000"/>
      <c r="J125" s="2002"/>
      <c r="K125" s="1989"/>
      <c r="L125" s="1989"/>
      <c r="M125" s="1989"/>
      <c r="N125" s="2005"/>
      <c r="O125" s="1989"/>
      <c r="P125" s="1989"/>
      <c r="Q125" s="1989"/>
      <c r="R125" s="2008"/>
      <c r="S125" s="1989"/>
      <c r="T125" s="1500"/>
      <c r="U125" s="1500"/>
      <c r="V125" s="1502"/>
      <c r="W125" s="1326"/>
      <c r="X125" s="1296"/>
      <c r="Y125" s="1296"/>
      <c r="Z125" s="1296"/>
      <c r="AA125" s="1296"/>
      <c r="AB125" s="1296"/>
      <c r="AC125" s="1296" t="s">
        <v>300</v>
      </c>
      <c r="AD125" s="1296" t="s">
        <v>301</v>
      </c>
      <c r="AE125" s="1296" t="s">
        <v>302</v>
      </c>
      <c r="AF125" s="1296" t="s">
        <v>303</v>
      </c>
      <c r="AG125" s="1296"/>
      <c r="AH125" s="1296" t="str">
        <f>IF($E$125=0,"",$E$125)</f>
        <v>Тариф на транспортировку горячей воды</v>
      </c>
      <c r="AI125" s="1296" t="str">
        <f>IF($G$125=0,"",$G$125)</f>
        <v/>
      </c>
      <c r="AJ125" s="1296" t="str">
        <f>IF($J$125=0,"",$J$125)</f>
        <v/>
      </c>
      <c r="AK125" s="1296" t="str">
        <f>IF($K$125="нет","без дифференциации",IF($N$125=0,"",$N$125))</f>
        <v/>
      </c>
      <c r="AL125" s="1296" t="str">
        <f>IF($O$125="нет","без дифференциации",IF($R$125=0,"",$R$125))</f>
        <v/>
      </c>
      <c r="AM125" s="1296" t="str">
        <f>IF($S$125="нет","без дифференциации",IF($V$125=0,"",$V$125))</f>
        <v/>
      </c>
      <c r="AN125" s="1813">
        <f>$I$125</f>
        <v>0</v>
      </c>
      <c r="AO125" s="1296" t="str">
        <f>$I$125&amp;"."&amp;$M$125</f>
        <v>.</v>
      </c>
      <c r="AP125" s="1288" t="str">
        <f>$I$125&amp;"."&amp;$M$125&amp;"."&amp;$Q$125</f>
        <v>..</v>
      </c>
      <c r="AQ125" s="1288" t="str">
        <f>$I$125&amp;"."&amp;$M$125&amp;"."&amp;$Q$125&amp;"."&amp;$U$125</f>
        <v>...</v>
      </c>
    </row>
    <row s="2973" customFormat="1" customHeight="1" ht="17.25" hidden="1">
      <c r="A126" s="314"/>
      <c r="C126" s="313"/>
      <c r="D126" s="1991"/>
      <c r="E126" s="1993"/>
      <c r="F126" s="1996"/>
      <c r="G126" s="1993"/>
      <c r="H126" s="1999"/>
      <c r="I126" s="2001"/>
      <c r="J126" s="2003"/>
      <c r="K126" s="1990"/>
      <c r="L126" s="1990"/>
      <c r="M126" s="1990"/>
      <c r="N126" s="2006"/>
      <c r="O126" s="1990"/>
      <c r="P126" s="1990"/>
      <c r="Q126" s="1990"/>
      <c r="R126" s="2007"/>
      <c r="S126" s="1990"/>
      <c r="T126" s="1327"/>
      <c r="U126" s="1327"/>
      <c r="V126" s="1327"/>
      <c r="W126" s="1328"/>
      <c r="X126" s="1288"/>
      <c r="Y126" s="1288"/>
      <c r="Z126" s="1288"/>
      <c r="AA126" s="1288"/>
      <c r="AB126" s="1288"/>
      <c r="AC126" s="1288"/>
      <c r="AD126" s="1288"/>
      <c r="AE126" s="1288"/>
      <c r="AF126" s="1288"/>
      <c r="AG126" s="1288"/>
      <c r="AH126" s="1288"/>
      <c r="AI126" s="1288"/>
      <c r="AJ126" s="1288"/>
      <c r="AK126" s="1288"/>
      <c r="AL126" s="1288"/>
      <c r="AM126" s="1288"/>
      <c r="AN126" s="1288"/>
      <c r="AO126" s="1288"/>
      <c r="AP126" s="1288"/>
      <c r="AQ126" s="1288"/>
    </row>
    <row s="2973" customFormat="1" customHeight="1" ht="17.25" hidden="1">
      <c r="A127" s="314"/>
      <c r="C127" s="313"/>
      <c r="D127" s="1992"/>
      <c r="E127" s="1994"/>
      <c r="F127" s="1996"/>
      <c r="G127" s="1994"/>
      <c r="H127" s="1999"/>
      <c r="I127" s="2001"/>
      <c r="J127" s="2004"/>
      <c r="K127" s="1990"/>
      <c r="L127" s="1990"/>
      <c r="M127" s="1990"/>
      <c r="N127" s="2007"/>
      <c r="O127" s="1990"/>
      <c r="P127" s="1501"/>
      <c r="Q127" s="1327"/>
      <c r="R127" s="1327"/>
      <c r="S127" s="325"/>
      <c r="T127" s="325"/>
      <c r="U127" s="325"/>
      <c r="V127" s="325"/>
      <c r="W127" s="1328"/>
      <c r="X127" s="1288"/>
      <c r="Y127" s="1288"/>
      <c r="Z127" s="1288"/>
      <c r="AA127" s="1288"/>
      <c r="AB127" s="1288"/>
      <c r="AC127" s="1288"/>
      <c r="AD127" s="1288"/>
      <c r="AE127" s="1288"/>
      <c r="AF127" s="1288"/>
      <c r="AG127" s="1288"/>
      <c r="AH127" s="1288"/>
      <c r="AI127" s="1288"/>
      <c r="AJ127" s="1288"/>
      <c r="AK127" s="1288"/>
      <c r="AL127" s="1288"/>
      <c r="AM127" s="1288"/>
      <c r="AN127" s="1288"/>
      <c r="AO127" s="1288"/>
      <c r="AP127" s="1288"/>
      <c r="AQ127" s="1288"/>
    </row>
    <row s="2973" customFormat="1" customHeight="1" ht="17.25" hidden="1">
      <c r="A128" s="314"/>
      <c r="C128" s="313"/>
      <c r="D128" s="1992"/>
      <c r="E128" s="1994"/>
      <c r="F128" s="1996"/>
      <c r="G128" s="1994"/>
      <c r="H128" s="1999"/>
      <c r="I128" s="2001"/>
      <c r="J128" s="2004"/>
      <c r="K128" s="1990"/>
      <c r="L128" s="1327"/>
      <c r="M128" s="1327"/>
      <c r="N128" s="1327"/>
      <c r="O128" s="1327"/>
      <c r="P128" s="1327"/>
      <c r="Q128" s="1327"/>
      <c r="R128" s="1327"/>
      <c r="S128" s="325"/>
      <c r="T128" s="325"/>
      <c r="U128" s="325"/>
      <c r="V128" s="325"/>
      <c r="W128" s="1328"/>
      <c r="X128" s="1288"/>
      <c r="Y128" s="1288"/>
      <c r="Z128" s="1288"/>
      <c r="AA128" s="1288"/>
      <c r="AB128" s="1288"/>
      <c r="AC128" s="1288"/>
      <c r="AD128" s="1288"/>
      <c r="AE128" s="1288"/>
      <c r="AF128" s="1288"/>
      <c r="AG128" s="1288"/>
      <c r="AH128" s="1288"/>
      <c r="AI128" s="1288"/>
      <c r="AJ128" s="1288"/>
      <c r="AK128" s="1288"/>
      <c r="AL128" s="1288"/>
      <c r="AM128" s="1288"/>
      <c r="AN128" s="1288"/>
      <c r="AO128" s="1288"/>
      <c r="AP128" s="1288"/>
      <c r="AQ128" s="1288"/>
    </row>
    <row s="2973" customFormat="1" customHeight="1" ht="17.25" hidden="1">
      <c r="A129" s="314"/>
      <c r="C129" s="313"/>
      <c r="D129" s="1992"/>
      <c r="E129" s="1994"/>
      <c r="F129" s="1997"/>
      <c r="G129" s="1994"/>
      <c r="H129" s="1329"/>
      <c r="I129" s="1330"/>
      <c r="J129" s="1330"/>
      <c r="K129" s="1330"/>
      <c r="L129" s="1330"/>
      <c r="M129" s="1330"/>
      <c r="N129" s="1330"/>
      <c r="O129" s="1330"/>
      <c r="P129" s="1330"/>
      <c r="Q129" s="1330"/>
      <c r="R129" s="1330"/>
      <c r="S129" s="1331"/>
      <c r="T129" s="1331"/>
      <c r="U129" s="1331"/>
      <c r="V129" s="1331"/>
      <c r="W129" s="1332"/>
      <c r="X129" s="1288"/>
      <c r="Y129" s="1288"/>
      <c r="Z129" s="1288"/>
      <c r="AA129" s="1288"/>
      <c r="AB129" s="1288"/>
      <c r="AC129" s="1288"/>
      <c r="AD129" s="1288"/>
      <c r="AE129" s="1288"/>
      <c r="AF129" s="1288"/>
      <c r="AG129" s="1288"/>
      <c r="AH129" s="1288"/>
      <c r="AI129" s="1288"/>
      <c r="AJ129" s="1288"/>
      <c r="AK129" s="1288"/>
      <c r="AL129" s="1288"/>
      <c r="AM129" s="1288"/>
      <c r="AN129" s="1288"/>
      <c r="AO129" s="1288"/>
      <c r="AP129" s="1288"/>
      <c r="AQ129" s="1288"/>
    </row>
    <row s="2973" customFormat="1" customHeight="1" ht="17.25" hidden="1">
      <c r="A130" s="314"/>
      <c r="C130" s="195"/>
      <c r="D130" s="1991">
        <v>3</v>
      </c>
      <c r="E130" s="1993" t="s">
        <v>304</v>
      </c>
      <c r="F130" s="1995" t="s">
        <v>56</v>
      </c>
      <c r="G130" s="1993"/>
      <c r="H130" s="1998"/>
      <c r="I130" s="2000"/>
      <c r="J130" s="2002"/>
      <c r="K130" s="1989"/>
      <c r="L130" s="1989"/>
      <c r="M130" s="1989"/>
      <c r="N130" s="2005"/>
      <c r="O130" s="1989"/>
      <c r="P130" s="1989"/>
      <c r="Q130" s="1989"/>
      <c r="R130" s="2008"/>
      <c r="S130" s="1989"/>
      <c r="T130" s="1500"/>
      <c r="U130" s="1500"/>
      <c r="V130" s="1502"/>
      <c r="W130" s="1326"/>
      <c r="X130" s="1296"/>
      <c r="Y130" s="1296"/>
      <c r="Z130" s="1296"/>
      <c r="AA130" s="1296"/>
      <c r="AB130" s="1296"/>
      <c r="AC130" s="1296" t="s">
        <v>305</v>
      </c>
      <c r="AD130" s="1296" t="s">
        <v>306</v>
      </c>
      <c r="AE130" s="1296" t="s">
        <v>307</v>
      </c>
      <c r="AF130" s="1296" t="s">
        <v>308</v>
      </c>
      <c r="AG130" s="1296"/>
      <c r="AH130" s="1296" t="str">
        <f>IF($E$130=0,"",$E$130)</f>
        <v>Тариф на подключение (технологическое присоединение) к централизованной системе горячего водоснабжения</v>
      </c>
      <c r="AI130" s="1296" t="str">
        <f>IF($G$130=0,"",$G$130)</f>
        <v/>
      </c>
      <c r="AJ130" s="1296" t="str">
        <f>IF($J$130=0,"",$J$130)</f>
        <v/>
      </c>
      <c r="AK130" s="1296" t="str">
        <f>IF($K$130="нет","без дифференциации",IF($N$130=0,"",$N$130))</f>
        <v/>
      </c>
      <c r="AL130" s="1296" t="str">
        <f>IF($O$130="нет","без дифференциации",IF($R$130=0,"",$R$130))</f>
        <v/>
      </c>
      <c r="AM130" s="1296" t="str">
        <f>IF($S$130="нет","без дифференциации",IF($V$130=0,"",$V$130))</f>
        <v/>
      </c>
      <c r="AN130" s="1813">
        <f>$I$130</f>
        <v>0</v>
      </c>
      <c r="AO130" s="1296" t="str">
        <f>$I$130&amp;"."&amp;$M$130</f>
        <v>.</v>
      </c>
      <c r="AP130" s="1288" t="str">
        <f>$I$130&amp;"."&amp;$M$130&amp;"."&amp;$Q$130</f>
        <v>..</v>
      </c>
      <c r="AQ130" s="1288" t="str">
        <f>$I$130&amp;"."&amp;$M$130&amp;"."&amp;$Q$130&amp;"."&amp;$U$130</f>
        <v>...</v>
      </c>
    </row>
    <row s="2973" customFormat="1" customHeight="1" ht="17.25" hidden="1">
      <c r="A131" s="314"/>
      <c r="C131" s="313"/>
      <c r="D131" s="1991"/>
      <c r="E131" s="1993"/>
      <c r="F131" s="1996"/>
      <c r="G131" s="1993"/>
      <c r="H131" s="1999"/>
      <c r="I131" s="2001"/>
      <c r="J131" s="2003"/>
      <c r="K131" s="1990"/>
      <c r="L131" s="1990"/>
      <c r="M131" s="1990"/>
      <c r="N131" s="2006"/>
      <c r="O131" s="1990"/>
      <c r="P131" s="1990"/>
      <c r="Q131" s="1990"/>
      <c r="R131" s="2007"/>
      <c r="S131" s="1990"/>
      <c r="T131" s="1327"/>
      <c r="U131" s="1327"/>
      <c r="V131" s="1327"/>
      <c r="W131" s="1328"/>
      <c r="X131" s="1288"/>
      <c r="Y131" s="1288"/>
      <c r="Z131" s="1288"/>
      <c r="AA131" s="1288"/>
      <c r="AB131" s="1288"/>
      <c r="AC131" s="1288"/>
      <c r="AD131" s="1288"/>
      <c r="AE131" s="1288"/>
      <c r="AF131" s="1288"/>
      <c r="AG131" s="1288"/>
      <c r="AH131" s="1288"/>
      <c r="AI131" s="1288"/>
      <c r="AJ131" s="1288"/>
      <c r="AK131" s="1288"/>
      <c r="AL131" s="1288"/>
      <c r="AM131" s="1288"/>
      <c r="AN131" s="1288"/>
      <c r="AO131" s="1288"/>
      <c r="AP131" s="1288"/>
      <c r="AQ131" s="1288"/>
    </row>
    <row s="2973" customFormat="1" customHeight="1" ht="17.25" hidden="1">
      <c r="A132" s="314"/>
      <c r="C132" s="313"/>
      <c r="D132" s="1992"/>
      <c r="E132" s="1994"/>
      <c r="F132" s="1996"/>
      <c r="G132" s="1994"/>
      <c r="H132" s="1999"/>
      <c r="I132" s="2001"/>
      <c r="J132" s="2004"/>
      <c r="K132" s="1990"/>
      <c r="L132" s="1990"/>
      <c r="M132" s="1990"/>
      <c r="N132" s="2007"/>
      <c r="O132" s="1990"/>
      <c r="P132" s="1501"/>
      <c r="Q132" s="1327"/>
      <c r="R132" s="1327"/>
      <c r="S132" s="325"/>
      <c r="T132" s="325"/>
      <c r="U132" s="325"/>
      <c r="V132" s="325"/>
      <c r="W132" s="1328"/>
      <c r="X132" s="1288"/>
      <c r="Y132" s="1288"/>
      <c r="Z132" s="1288"/>
      <c r="AA132" s="1288"/>
      <c r="AB132" s="1288"/>
      <c r="AC132" s="1288"/>
      <c r="AD132" s="1288"/>
      <c r="AE132" s="1288"/>
      <c r="AF132" s="1288"/>
      <c r="AG132" s="1288"/>
      <c r="AH132" s="1288"/>
      <c r="AI132" s="1288"/>
      <c r="AJ132" s="1288"/>
      <c r="AK132" s="1288"/>
      <c r="AL132" s="1288"/>
      <c r="AM132" s="1288"/>
      <c r="AN132" s="1288"/>
      <c r="AO132" s="1288"/>
      <c r="AP132" s="1288"/>
      <c r="AQ132" s="1288"/>
    </row>
    <row s="2973" customFormat="1" customHeight="1" ht="17.25" hidden="1">
      <c r="A133" s="314"/>
      <c r="C133" s="313"/>
      <c r="D133" s="1992"/>
      <c r="E133" s="1994"/>
      <c r="F133" s="1996"/>
      <c r="G133" s="1994"/>
      <c r="H133" s="1999"/>
      <c r="I133" s="2001"/>
      <c r="J133" s="2004"/>
      <c r="K133" s="1990"/>
      <c r="L133" s="1327"/>
      <c r="M133" s="1327"/>
      <c r="N133" s="1327"/>
      <c r="O133" s="1327"/>
      <c r="P133" s="1327"/>
      <c r="Q133" s="1327"/>
      <c r="R133" s="1327"/>
      <c r="S133" s="325"/>
      <c r="T133" s="325"/>
      <c r="U133" s="325"/>
      <c r="V133" s="325"/>
      <c r="W133" s="1328"/>
      <c r="X133" s="1288"/>
      <c r="Y133" s="1288"/>
      <c r="Z133" s="1288"/>
      <c r="AA133" s="1288"/>
      <c r="AB133" s="1288"/>
      <c r="AC133" s="1288"/>
      <c r="AD133" s="1288"/>
      <c r="AE133" s="1288"/>
      <c r="AF133" s="1288"/>
      <c r="AG133" s="1288"/>
      <c r="AH133" s="1288"/>
      <c r="AI133" s="1288"/>
      <c r="AJ133" s="1288"/>
      <c r="AK133" s="1288"/>
      <c r="AL133" s="1288"/>
      <c r="AM133" s="1288"/>
      <c r="AN133" s="1288"/>
      <c r="AO133" s="1288"/>
      <c r="AP133" s="1288"/>
      <c r="AQ133" s="1288"/>
    </row>
    <row s="2973" customFormat="1" customHeight="1" ht="17.25" hidden="1">
      <c r="A134" s="314"/>
      <c r="C134" s="313"/>
      <c r="D134" s="1992"/>
      <c r="E134" s="1994"/>
      <c r="F134" s="1997"/>
      <c r="G134" s="1994"/>
      <c r="H134" s="1329"/>
      <c r="I134" s="1330"/>
      <c r="J134" s="1330"/>
      <c r="K134" s="1330"/>
      <c r="L134" s="1330"/>
      <c r="M134" s="1330"/>
      <c r="N134" s="1330"/>
      <c r="O134" s="1330"/>
      <c r="P134" s="1330"/>
      <c r="Q134" s="1330"/>
      <c r="R134" s="1330"/>
      <c r="S134" s="1331"/>
      <c r="T134" s="1331"/>
      <c r="U134" s="1331"/>
      <c r="V134" s="1331"/>
      <c r="W134" s="1332"/>
      <c r="X134" s="1288"/>
      <c r="Y134" s="1288"/>
      <c r="Z134" s="1288"/>
      <c r="AA134" s="1288"/>
      <c r="AB134" s="1288"/>
      <c r="AC134" s="1288"/>
      <c r="AD134" s="1288"/>
      <c r="AE134" s="1288"/>
      <c r="AF134" s="1288"/>
      <c r="AG134" s="1288"/>
      <c r="AH134" s="1288"/>
      <c r="AI134" s="1288"/>
      <c r="AJ134" s="1288"/>
      <c r="AK134" s="1288"/>
      <c r="AL134" s="1288"/>
      <c r="AM134" s="1288"/>
      <c r="AN134" s="1288"/>
      <c r="AO134" s="1288"/>
      <c r="AP134" s="1288"/>
      <c r="AQ134" s="1288"/>
    </row>
    <row s="2973" customFormat="1" customHeight="1" ht="11.25" hidden="1">
      <c r="A135" s="263"/>
      <c r="B135" s="263"/>
      <c r="Y135" s="1288"/>
      <c r="Z135" s="1288"/>
      <c r="AA135" s="1288"/>
      <c r="AB135" s="1288"/>
      <c r="AC135" s="1288"/>
      <c r="AD135" s="1288"/>
      <c r="AE135" s="1288"/>
      <c r="AF135" s="1288"/>
      <c r="AG135" s="1288"/>
      <c r="AH135" s="1288"/>
      <c r="AI135" s="1288"/>
      <c r="AJ135" s="1288"/>
      <c r="AK135" s="1288"/>
      <c r="AL135" s="1288"/>
      <c r="AM135" s="1288"/>
      <c r="AN135" s="1288"/>
      <c r="AO135" s="1288"/>
      <c r="AP135" s="1288"/>
      <c r="AQ135" s="1288"/>
    </row>
    <row s="2973" customFormat="1" customHeight="1" ht="17.25" hidden="1">
      <c r="A136" s="314"/>
      <c r="C136" s="195"/>
      <c r="D136" s="1991">
        <v>1</v>
      </c>
      <c r="E136" s="1993" t="s">
        <v>309</v>
      </c>
      <c r="F136" s="1995" t="s">
        <v>56</v>
      </c>
      <c r="G136" s="1993"/>
      <c r="H136" s="1998"/>
      <c r="I136" s="2000"/>
      <c r="J136" s="2002"/>
      <c r="K136" s="1989"/>
      <c r="L136" s="1989"/>
      <c r="M136" s="1989"/>
      <c r="N136" s="2005"/>
      <c r="O136" s="1989"/>
      <c r="P136" s="1989"/>
      <c r="Q136" s="1989"/>
      <c r="R136" s="2008"/>
      <c r="S136" s="1989"/>
      <c r="T136" s="1500"/>
      <c r="U136" s="1500"/>
      <c r="V136" s="1502"/>
      <c r="W136" s="1326"/>
      <c r="Y136" s="1296"/>
      <c r="Z136" s="1296"/>
      <c r="AA136" s="1296"/>
      <c r="AB136" s="1296"/>
      <c r="AC136" s="1296" t="s">
        <v>310</v>
      </c>
      <c r="AD136" s="1296" t="s">
        <v>311</v>
      </c>
      <c r="AE136" s="1296" t="s">
        <v>312</v>
      </c>
      <c r="AF136" s="1296" t="s">
        <v>313</v>
      </c>
      <c r="AG136" s="1296"/>
      <c r="AH136" s="1296" t="str">
        <f>IF($E$136=0,"",$E$136)</f>
        <v>Тариф на водоотведение</v>
      </c>
      <c r="AI136" s="1296" t="str">
        <f>IF($G$136=0,"",$G$136)</f>
        <v/>
      </c>
      <c r="AJ136" s="1296" t="str">
        <f>IF($J$136=0,"",$J$136)</f>
        <v/>
      </c>
      <c r="AK136" s="1296" t="str">
        <f>IF($K$136="нет","без дифференциации",IF($N$136=0,"",$N$136))</f>
        <v/>
      </c>
      <c r="AL136" s="1296" t="str">
        <f>IF($O$136="нет","без дифференциации",IF($R$136=0,"",$R$136))</f>
        <v/>
      </c>
      <c r="AM136" s="1296" t="str">
        <f>IF($S$136="нет","без дифференциации",IF($V$136=0,"",$V$136))</f>
        <v/>
      </c>
      <c r="AN136" s="1296">
        <f>$I$136</f>
        <v>0</v>
      </c>
      <c r="AO136" s="1296" t="str">
        <f>$I$136&amp;"."&amp;$M$136</f>
        <v>.</v>
      </c>
      <c r="AP136" s="1296" t="str">
        <f>$I$136&amp;"."&amp;$M$136&amp;"."&amp;$Q$136</f>
        <v>..</v>
      </c>
      <c r="AQ136" s="1296" t="str">
        <f>$I$136&amp;"."&amp;$M$136&amp;"."&amp;$Q$136&amp;"."&amp;$U$136</f>
        <v>...</v>
      </c>
    </row>
    <row s="2973" customFormat="1" customHeight="1" ht="17.25" hidden="1">
      <c r="A137" s="314"/>
      <c r="C137" s="313"/>
      <c r="D137" s="1991"/>
      <c r="E137" s="1993"/>
      <c r="F137" s="1996"/>
      <c r="G137" s="1993"/>
      <c r="H137" s="1999"/>
      <c r="I137" s="2001"/>
      <c r="J137" s="2003"/>
      <c r="K137" s="1990"/>
      <c r="L137" s="1990"/>
      <c r="M137" s="1990"/>
      <c r="N137" s="2006"/>
      <c r="O137" s="1990"/>
      <c r="P137" s="1990"/>
      <c r="Q137" s="1990"/>
      <c r="R137" s="2007"/>
      <c r="S137" s="1990"/>
      <c r="T137" s="1327"/>
      <c r="U137" s="1327"/>
      <c r="V137" s="1327"/>
      <c r="W137" s="1328"/>
      <c r="Y137" s="1288"/>
      <c r="Z137" s="1288"/>
      <c r="AA137" s="1288"/>
      <c r="AB137" s="1288"/>
      <c r="AC137" s="1288"/>
      <c r="AD137" s="1288"/>
      <c r="AE137" s="1288"/>
      <c r="AF137" s="1288"/>
      <c r="AG137" s="1288"/>
      <c r="AH137" s="1288"/>
      <c r="AI137" s="1288"/>
      <c r="AJ137" s="1288"/>
      <c r="AK137" s="1288"/>
      <c r="AL137" s="1288"/>
      <c r="AM137" s="1288"/>
      <c r="AN137" s="1288"/>
      <c r="AO137" s="1288"/>
      <c r="AP137" s="1288"/>
      <c r="AQ137" s="1288"/>
    </row>
    <row s="2973" customFormat="1" customHeight="1" ht="17.25" hidden="1">
      <c r="A138" s="314"/>
      <c r="C138" s="195"/>
      <c r="D138" s="1991"/>
      <c r="E138" s="1993"/>
      <c r="F138" s="1996"/>
      <c r="G138" s="1993"/>
      <c r="H138" s="1999"/>
      <c r="I138" s="2001"/>
      <c r="J138" s="2004"/>
      <c r="K138" s="1990"/>
      <c r="L138" s="1990"/>
      <c r="M138" s="1990"/>
      <c r="N138" s="2007"/>
      <c r="O138" s="1990"/>
      <c r="P138" s="1501"/>
      <c r="Q138" s="1327"/>
      <c r="R138" s="1327"/>
      <c r="S138" s="325"/>
      <c r="T138" s="325"/>
      <c r="U138" s="325"/>
      <c r="V138" s="325"/>
      <c r="W138" s="1328"/>
      <c r="Y138" s="1296"/>
      <c r="Z138" s="1296"/>
      <c r="AA138" s="1296"/>
      <c r="AB138" s="1296"/>
      <c r="AC138" s="1296"/>
      <c r="AD138" s="1296"/>
      <c r="AE138" s="1296"/>
      <c r="AF138" s="1296"/>
      <c r="AG138" s="1296"/>
      <c r="AH138" s="1296"/>
      <c r="AI138" s="1296"/>
      <c r="AJ138" s="1296"/>
      <c r="AK138" s="1296"/>
      <c r="AL138" s="1296"/>
      <c r="AM138" s="1296"/>
      <c r="AN138" s="1296"/>
      <c r="AO138" s="1296"/>
      <c r="AP138" s="1296"/>
      <c r="AQ138" s="1296"/>
    </row>
    <row s="2973" customFormat="1" customHeight="1" ht="17.25" hidden="1">
      <c r="A139" s="314"/>
      <c r="C139" s="313"/>
      <c r="D139" s="1991"/>
      <c r="E139" s="1993"/>
      <c r="F139" s="1996"/>
      <c r="G139" s="1993"/>
      <c r="H139" s="1999"/>
      <c r="I139" s="2001"/>
      <c r="J139" s="2004"/>
      <c r="K139" s="1990"/>
      <c r="L139" s="1327"/>
      <c r="M139" s="1327"/>
      <c r="N139" s="1327"/>
      <c r="O139" s="1327"/>
      <c r="P139" s="1327"/>
      <c r="Q139" s="1327"/>
      <c r="R139" s="1327"/>
      <c r="S139" s="325"/>
      <c r="T139" s="325"/>
      <c r="U139" s="325"/>
      <c r="V139" s="325"/>
      <c r="W139" s="1328"/>
      <c r="Y139" s="1288"/>
      <c r="Z139" s="1288"/>
      <c r="AA139" s="1288"/>
      <c r="AB139" s="1288"/>
      <c r="AC139" s="1288"/>
      <c r="AD139" s="1288"/>
      <c r="AE139" s="1288"/>
      <c r="AF139" s="1288"/>
      <c r="AG139" s="1288"/>
      <c r="AH139" s="1288"/>
      <c r="AI139" s="1288"/>
      <c r="AJ139" s="1288"/>
      <c r="AK139" s="1288"/>
      <c r="AL139" s="1288"/>
      <c r="AM139" s="1288"/>
      <c r="AN139" s="1288"/>
      <c r="AO139" s="1288"/>
      <c r="AP139" s="1288"/>
      <c r="AQ139" s="1288"/>
    </row>
    <row s="2973" customFormat="1" customHeight="1" ht="17.25" hidden="1">
      <c r="A140" s="314"/>
      <c r="C140" s="313"/>
      <c r="D140" s="1992"/>
      <c r="E140" s="1994"/>
      <c r="F140" s="1997"/>
      <c r="G140" s="1994"/>
      <c r="H140" s="1329"/>
      <c r="I140" s="1330"/>
      <c r="J140" s="1330"/>
      <c r="K140" s="1330"/>
      <c r="L140" s="1330"/>
      <c r="M140" s="1330"/>
      <c r="N140" s="1330"/>
      <c r="O140" s="1330"/>
      <c r="P140" s="1330"/>
      <c r="Q140" s="1330"/>
      <c r="R140" s="1330"/>
      <c r="S140" s="1331"/>
      <c r="T140" s="1331"/>
      <c r="U140" s="1331"/>
      <c r="V140" s="1331"/>
      <c r="W140" s="1332"/>
      <c r="Y140" s="1288"/>
      <c r="Z140" s="1288"/>
      <c r="AA140" s="1288"/>
      <c r="AB140" s="1288"/>
      <c r="AC140" s="1288"/>
      <c r="AD140" s="1288"/>
      <c r="AE140" s="1288"/>
      <c r="AF140" s="1288"/>
      <c r="AG140" s="1288"/>
      <c r="AH140" s="1288"/>
      <c r="AI140" s="1288"/>
      <c r="AJ140" s="1288"/>
      <c r="AK140" s="1288"/>
      <c r="AL140" s="1288"/>
      <c r="AM140" s="1288"/>
      <c r="AN140" s="1288"/>
      <c r="AO140" s="1288"/>
      <c r="AP140" s="1288"/>
      <c r="AQ140" s="1288"/>
    </row>
    <row s="2973" customFormat="1" customHeight="1" ht="17.25" hidden="1">
      <c r="A141" s="314"/>
      <c r="C141" s="195"/>
      <c r="D141" s="1991">
        <v>2</v>
      </c>
      <c r="E141" s="1993" t="s">
        <v>314</v>
      </c>
      <c r="F141" s="1995" t="s">
        <v>56</v>
      </c>
      <c r="G141" s="1993"/>
      <c r="H141" s="1998"/>
      <c r="I141" s="2000"/>
      <c r="J141" s="2002"/>
      <c r="K141" s="1989"/>
      <c r="L141" s="1989"/>
      <c r="M141" s="1989"/>
      <c r="N141" s="2005"/>
      <c r="O141" s="1989"/>
      <c r="P141" s="1989"/>
      <c r="Q141" s="1989"/>
      <c r="R141" s="2008"/>
      <c r="S141" s="1989"/>
      <c r="T141" s="1500"/>
      <c r="U141" s="1500"/>
      <c r="V141" s="1502"/>
      <c r="W141" s="1326"/>
      <c r="X141" s="1296"/>
      <c r="Y141" s="1296"/>
      <c r="Z141" s="1296"/>
      <c r="AA141" s="1296"/>
      <c r="AB141" s="1296"/>
      <c r="AC141" s="1296" t="s">
        <v>315</v>
      </c>
      <c r="AD141" s="1296" t="s">
        <v>316</v>
      </c>
      <c r="AE141" s="1296" t="s">
        <v>317</v>
      </c>
      <c r="AF141" s="1296" t="s">
        <v>318</v>
      </c>
      <c r="AG141" s="1296"/>
      <c r="AH141" s="1296" t="str">
        <f>IF($E$141=0,"",$E$141)</f>
        <v>Тариф на транспортировку сточных вод</v>
      </c>
      <c r="AI141" s="1296" t="str">
        <f>IF($G$141=0,"",$G$141)</f>
        <v/>
      </c>
      <c r="AJ141" s="1296" t="str">
        <f>IF($J$141=0,"",$J$141)</f>
        <v/>
      </c>
      <c r="AK141" s="1296" t="str">
        <f>IF($K$141="нет","без дифференциации",IF($N$141=0,"",$N$141))</f>
        <v/>
      </c>
      <c r="AL141" s="1296" t="str">
        <f>IF($O$141="нет","без дифференциации",IF($R$141=0,"",$R$141))</f>
        <v/>
      </c>
      <c r="AM141" s="1296" t="str">
        <f>IF($S$141="нет","без дифференциации",IF($V$141=0,"",$V$141))</f>
        <v/>
      </c>
      <c r="AN141" s="1813">
        <f>$I$141</f>
        <v>0</v>
      </c>
      <c r="AO141" s="1296" t="str">
        <f>$I$141&amp;"."&amp;$M$141</f>
        <v>.</v>
      </c>
      <c r="AP141" s="1288" t="str">
        <f>$I$141&amp;"."&amp;$M$141&amp;"."&amp;$Q$141</f>
        <v>..</v>
      </c>
      <c r="AQ141" s="1288" t="str">
        <f>$I$141&amp;"."&amp;$M$141&amp;"."&amp;$Q$141&amp;"."&amp;$U$141</f>
        <v>...</v>
      </c>
    </row>
    <row s="2973" customFormat="1" customHeight="1" ht="17.25" hidden="1">
      <c r="A142" s="314"/>
      <c r="C142" s="313"/>
      <c r="D142" s="1991"/>
      <c r="E142" s="1993"/>
      <c r="F142" s="1996"/>
      <c r="G142" s="1993"/>
      <c r="H142" s="1999"/>
      <c r="I142" s="2001"/>
      <c r="J142" s="2003"/>
      <c r="K142" s="1990"/>
      <c r="L142" s="1990"/>
      <c r="M142" s="1990"/>
      <c r="N142" s="2006"/>
      <c r="O142" s="1990"/>
      <c r="P142" s="1990"/>
      <c r="Q142" s="1990"/>
      <c r="R142" s="2007"/>
      <c r="S142" s="1990"/>
      <c r="T142" s="1327"/>
      <c r="U142" s="1327"/>
      <c r="V142" s="1327"/>
      <c r="W142" s="1328"/>
      <c r="X142" s="1288"/>
      <c r="Y142" s="1288"/>
      <c r="Z142" s="1288"/>
      <c r="AA142" s="1288"/>
      <c r="AB142" s="1288"/>
      <c r="AC142" s="1288"/>
      <c r="AD142" s="1288"/>
      <c r="AE142" s="1288"/>
      <c r="AF142" s="1288"/>
      <c r="AG142" s="1288"/>
      <c r="AH142" s="1288"/>
      <c r="AI142" s="1288"/>
      <c r="AJ142" s="1288"/>
      <c r="AK142" s="1288"/>
      <c r="AL142" s="1288"/>
      <c r="AM142" s="1288"/>
      <c r="AN142" s="1288"/>
      <c r="AO142" s="1288"/>
      <c r="AP142" s="1288"/>
      <c r="AQ142" s="1288"/>
    </row>
    <row s="2973" customFormat="1" customHeight="1" ht="17.25" hidden="1">
      <c r="A143" s="314"/>
      <c r="C143" s="313"/>
      <c r="D143" s="1992"/>
      <c r="E143" s="1994"/>
      <c r="F143" s="1996"/>
      <c r="G143" s="1994"/>
      <c r="H143" s="1999"/>
      <c r="I143" s="2001"/>
      <c r="J143" s="2004"/>
      <c r="K143" s="1990"/>
      <c r="L143" s="1990"/>
      <c r="M143" s="1990"/>
      <c r="N143" s="2007"/>
      <c r="O143" s="1990"/>
      <c r="P143" s="1501"/>
      <c r="Q143" s="1327"/>
      <c r="R143" s="1327"/>
      <c r="S143" s="325"/>
      <c r="T143" s="325"/>
      <c r="U143" s="325"/>
      <c r="V143" s="325"/>
      <c r="W143" s="1328"/>
      <c r="X143" s="1288"/>
      <c r="Y143" s="1288"/>
      <c r="Z143" s="1288"/>
      <c r="AA143" s="1288"/>
      <c r="AB143" s="1288"/>
      <c r="AC143" s="1288"/>
      <c r="AD143" s="1288"/>
      <c r="AE143" s="1288"/>
      <c r="AF143" s="1288"/>
      <c r="AG143" s="1288"/>
      <c r="AH143" s="1288"/>
      <c r="AI143" s="1288"/>
      <c r="AJ143" s="1288"/>
      <c r="AK143" s="1288"/>
      <c r="AL143" s="1288"/>
      <c r="AM143" s="1288"/>
      <c r="AN143" s="1288"/>
      <c r="AO143" s="1288"/>
      <c r="AP143" s="1288"/>
      <c r="AQ143" s="1288"/>
    </row>
    <row s="2973" customFormat="1" customHeight="1" ht="17.25" hidden="1">
      <c r="A144" s="314"/>
      <c r="C144" s="313"/>
      <c r="D144" s="1992"/>
      <c r="E144" s="1994"/>
      <c r="F144" s="1996"/>
      <c r="G144" s="1994"/>
      <c r="H144" s="1999"/>
      <c r="I144" s="2001"/>
      <c r="J144" s="2004"/>
      <c r="K144" s="1990"/>
      <c r="L144" s="1327"/>
      <c r="M144" s="1327"/>
      <c r="N144" s="1327"/>
      <c r="O144" s="1327"/>
      <c r="P144" s="1327"/>
      <c r="Q144" s="1327"/>
      <c r="R144" s="1327"/>
      <c r="S144" s="325"/>
      <c r="T144" s="325"/>
      <c r="U144" s="325"/>
      <c r="V144" s="325"/>
      <c r="W144" s="1328"/>
      <c r="X144" s="1288"/>
      <c r="Y144" s="1288"/>
      <c r="Z144" s="1288"/>
      <c r="AA144" s="1288"/>
      <c r="AB144" s="1288"/>
      <c r="AC144" s="1288"/>
      <c r="AD144" s="1288"/>
      <c r="AE144" s="1288"/>
      <c r="AF144" s="1288"/>
      <c r="AG144" s="1288"/>
      <c r="AH144" s="1288"/>
      <c r="AI144" s="1288"/>
      <c r="AJ144" s="1288"/>
      <c r="AK144" s="1288"/>
      <c r="AL144" s="1288"/>
      <c r="AM144" s="1288"/>
      <c r="AN144" s="1288"/>
      <c r="AO144" s="1288"/>
      <c r="AP144" s="1288"/>
      <c r="AQ144" s="1288"/>
    </row>
    <row s="2973" customFormat="1" customHeight="1" ht="17.25" hidden="1">
      <c r="A145" s="314"/>
      <c r="C145" s="313"/>
      <c r="D145" s="1992"/>
      <c r="E145" s="1994"/>
      <c r="F145" s="1997"/>
      <c r="G145" s="1994"/>
      <c r="H145" s="1329"/>
      <c r="I145" s="1330"/>
      <c r="J145" s="1330"/>
      <c r="K145" s="1330"/>
      <c r="L145" s="1330"/>
      <c r="M145" s="1330"/>
      <c r="N145" s="1330"/>
      <c r="O145" s="1330"/>
      <c r="P145" s="1330"/>
      <c r="Q145" s="1330"/>
      <c r="R145" s="1330"/>
      <c r="S145" s="1331"/>
      <c r="T145" s="1331"/>
      <c r="U145" s="1331"/>
      <c r="V145" s="1331"/>
      <c r="W145" s="1332"/>
      <c r="X145" s="1288"/>
      <c r="Y145" s="1288"/>
      <c r="Z145" s="1288"/>
      <c r="AA145" s="1288"/>
      <c r="AB145" s="1288"/>
      <c r="AC145" s="1288"/>
      <c r="AD145" s="1288"/>
      <c r="AE145" s="1288"/>
      <c r="AF145" s="1288"/>
      <c r="AG145" s="1288"/>
      <c r="AH145" s="1288"/>
      <c r="AI145" s="1288"/>
      <c r="AJ145" s="1288"/>
      <c r="AK145" s="1288"/>
      <c r="AL145" s="1288"/>
      <c r="AM145" s="1288"/>
      <c r="AN145" s="1288"/>
      <c r="AO145" s="1288"/>
      <c r="AP145" s="1288"/>
      <c r="AQ145" s="1288"/>
    </row>
    <row s="2973" customFormat="1" customHeight="1" ht="17.25" hidden="1">
      <c r="A146" s="314"/>
      <c r="C146" s="195"/>
      <c r="D146" s="1991">
        <v>3</v>
      </c>
      <c r="E146" s="1993" t="s">
        <v>319</v>
      </c>
      <c r="F146" s="1995" t="s">
        <v>56</v>
      </c>
      <c r="G146" s="1993"/>
      <c r="H146" s="1998"/>
      <c r="I146" s="2000"/>
      <c r="J146" s="2002"/>
      <c r="K146" s="1989"/>
      <c r="L146" s="1989"/>
      <c r="M146" s="1989"/>
      <c r="N146" s="2005"/>
      <c r="O146" s="1989"/>
      <c r="P146" s="1989"/>
      <c r="Q146" s="1989"/>
      <c r="R146" s="2008"/>
      <c r="S146" s="1989"/>
      <c r="T146" s="1500"/>
      <c r="U146" s="1500"/>
      <c r="V146" s="1502"/>
      <c r="W146" s="1326"/>
      <c r="X146" s="1296"/>
      <c r="Y146" s="1296"/>
      <c r="Z146" s="1296"/>
      <c r="AA146" s="1296"/>
      <c r="AB146" s="1296"/>
      <c r="AC146" s="1296" t="s">
        <v>320</v>
      </c>
      <c r="AD146" s="1296" t="s">
        <v>321</v>
      </c>
      <c r="AE146" s="1296" t="s">
        <v>322</v>
      </c>
      <c r="AF146" s="1296" t="s">
        <v>323</v>
      </c>
      <c r="AG146" s="1296"/>
      <c r="AH146" s="1296" t="str">
        <f>IF($E$146=0,"",$E$146)</f>
        <v>Тариф на подключение (технологическое присоединение) к централизованной системе водоотведения</v>
      </c>
      <c r="AI146" s="1296" t="str">
        <f>IF($G$146=0,"",$G$146)</f>
        <v/>
      </c>
      <c r="AJ146" s="1296" t="str">
        <f>IF($J$146=0,"",$J$146)</f>
        <v/>
      </c>
      <c r="AK146" s="1296" t="str">
        <f>IF($K$146="нет","без дифференциации",IF($N$146=0,"",$N$146))</f>
        <v/>
      </c>
      <c r="AL146" s="1296" t="str">
        <f>IF($O$146="нет","без дифференциации",IF($R$146=0,"",$R$146))</f>
        <v/>
      </c>
      <c r="AM146" s="1296" t="str">
        <f>IF($S$146="нет","без дифференциации",IF($V$146=0,"",$V$146))</f>
        <v/>
      </c>
      <c r="AN146" s="1813">
        <f>$I$146</f>
        <v>0</v>
      </c>
      <c r="AO146" s="1296" t="str">
        <f>$I$146&amp;"."&amp;$M$146</f>
        <v>.</v>
      </c>
      <c r="AP146" s="1288" t="str">
        <f>$I$146&amp;"."&amp;$M$146&amp;"."&amp;$Q$146</f>
        <v>..</v>
      </c>
      <c r="AQ146" s="1288" t="str">
        <f>$I$146&amp;"."&amp;$M$146&amp;"."&amp;$Q$146&amp;"."&amp;$U$146</f>
        <v>...</v>
      </c>
    </row>
    <row s="2973" customFormat="1" customHeight="1" ht="17.25" hidden="1">
      <c r="A147" s="314"/>
      <c r="C147" s="313"/>
      <c r="D147" s="1991"/>
      <c r="E147" s="1993"/>
      <c r="F147" s="1996"/>
      <c r="G147" s="1993"/>
      <c r="H147" s="1999"/>
      <c r="I147" s="2001"/>
      <c r="J147" s="2003"/>
      <c r="K147" s="1990"/>
      <c r="L147" s="1990"/>
      <c r="M147" s="1990"/>
      <c r="N147" s="2006"/>
      <c r="O147" s="1990"/>
      <c r="P147" s="1990"/>
      <c r="Q147" s="1990"/>
      <c r="R147" s="2007"/>
      <c r="S147" s="1990"/>
      <c r="T147" s="1327"/>
      <c r="U147" s="1327"/>
      <c r="V147" s="1327"/>
      <c r="W147" s="1328"/>
      <c r="X147" s="1288"/>
      <c r="Y147" s="1288"/>
      <c r="Z147" s="1288"/>
      <c r="AA147" s="1288"/>
      <c r="AB147" s="1288"/>
      <c r="AC147" s="1288"/>
      <c r="AD147" s="1288"/>
      <c r="AE147" s="1288"/>
      <c r="AF147" s="1288"/>
      <c r="AG147" s="1288"/>
      <c r="AH147" s="1288"/>
      <c r="AI147" s="1288"/>
      <c r="AJ147" s="1288"/>
      <c r="AK147" s="1288"/>
      <c r="AL147" s="1288"/>
      <c r="AM147" s="1288"/>
      <c r="AN147" s="1288"/>
      <c r="AO147" s="1288"/>
      <c r="AP147" s="1288"/>
      <c r="AQ147" s="1288"/>
    </row>
    <row s="2973" customFormat="1" customHeight="1" ht="17.25" hidden="1">
      <c r="A148" s="314"/>
      <c r="C148" s="313"/>
      <c r="D148" s="1992"/>
      <c r="E148" s="1994"/>
      <c r="F148" s="1996"/>
      <c r="G148" s="1994"/>
      <c r="H148" s="1999"/>
      <c r="I148" s="2001"/>
      <c r="J148" s="2004"/>
      <c r="K148" s="1990"/>
      <c r="L148" s="1990"/>
      <c r="M148" s="1990"/>
      <c r="N148" s="2007"/>
      <c r="O148" s="1990"/>
      <c r="P148" s="1501"/>
      <c r="Q148" s="1327"/>
      <c r="R148" s="1327"/>
      <c r="S148" s="325"/>
      <c r="T148" s="325"/>
      <c r="U148" s="325"/>
      <c r="V148" s="325"/>
      <c r="W148" s="1328"/>
      <c r="X148" s="1288"/>
      <c r="Y148" s="1288"/>
      <c r="Z148" s="1288"/>
      <c r="AA148" s="1288"/>
      <c r="AB148" s="1288"/>
      <c r="AC148" s="1288"/>
      <c r="AD148" s="1288"/>
      <c r="AE148" s="1288"/>
      <c r="AF148" s="1288"/>
      <c r="AG148" s="1288"/>
      <c r="AH148" s="1288"/>
      <c r="AI148" s="1288"/>
      <c r="AJ148" s="1288"/>
      <c r="AK148" s="1288"/>
      <c r="AL148" s="1288"/>
      <c r="AM148" s="1288"/>
      <c r="AN148" s="1288"/>
      <c r="AO148" s="1288"/>
      <c r="AP148" s="1288"/>
      <c r="AQ148" s="1288"/>
    </row>
    <row s="2973" customFormat="1" customHeight="1" ht="17.25" hidden="1">
      <c r="A149" s="314"/>
      <c r="C149" s="313"/>
      <c r="D149" s="1992"/>
      <c r="E149" s="1994"/>
      <c r="F149" s="1996"/>
      <c r="G149" s="1994"/>
      <c r="H149" s="1999"/>
      <c r="I149" s="2001"/>
      <c r="J149" s="2004"/>
      <c r="K149" s="1990"/>
      <c r="L149" s="1327"/>
      <c r="M149" s="1327"/>
      <c r="N149" s="1327"/>
      <c r="O149" s="1327"/>
      <c r="P149" s="1327"/>
      <c r="Q149" s="1327"/>
      <c r="R149" s="1327"/>
      <c r="S149" s="325"/>
      <c r="T149" s="325"/>
      <c r="U149" s="325"/>
      <c r="V149" s="325"/>
      <c r="W149" s="1328"/>
      <c r="X149" s="1288"/>
      <c r="Y149" s="1288"/>
      <c r="Z149" s="1288"/>
      <c r="AA149" s="1288"/>
      <c r="AB149" s="1288"/>
      <c r="AC149" s="1288"/>
      <c r="AD149" s="1288"/>
      <c r="AE149" s="1288"/>
      <c r="AF149" s="1288"/>
      <c r="AG149" s="1288"/>
      <c r="AH149" s="1288"/>
      <c r="AI149" s="1288"/>
      <c r="AJ149" s="1288"/>
      <c r="AK149" s="1288"/>
      <c r="AL149" s="1288"/>
      <c r="AM149" s="1288"/>
      <c r="AN149" s="1288"/>
      <c r="AO149" s="1288"/>
      <c r="AP149" s="1288"/>
      <c r="AQ149" s="1288"/>
    </row>
    <row s="2973" customFormat="1" customHeight="1" ht="17.25" hidden="1">
      <c r="A150" s="314"/>
      <c r="C150" s="313"/>
      <c r="D150" s="1992"/>
      <c r="E150" s="1994"/>
      <c r="F150" s="1997"/>
      <c r="G150" s="1994"/>
      <c r="H150" s="1329"/>
      <c r="I150" s="1330"/>
      <c r="J150" s="1330"/>
      <c r="K150" s="1330"/>
      <c r="L150" s="1330"/>
      <c r="M150" s="1330"/>
      <c r="N150" s="1330"/>
      <c r="O150" s="1330"/>
      <c r="P150" s="1330"/>
      <c r="Q150" s="1330"/>
      <c r="R150" s="1330"/>
      <c r="S150" s="1331"/>
      <c r="T150" s="1331"/>
      <c r="U150" s="1331"/>
      <c r="V150" s="1331"/>
      <c r="W150" s="1332"/>
      <c r="X150" s="1288"/>
      <c r="Y150" s="1288"/>
      <c r="Z150" s="1288"/>
      <c r="AA150" s="1288"/>
      <c r="AB150" s="1288"/>
      <c r="AC150" s="1288"/>
      <c r="AD150" s="1288"/>
      <c r="AE150" s="1288"/>
      <c r="AF150" s="1288"/>
      <c r="AG150" s="1288"/>
      <c r="AH150" s="1288"/>
      <c r="AI150" s="1288"/>
      <c r="AJ150" s="1288"/>
      <c r="AK150" s="1288"/>
      <c r="AL150" s="1288"/>
      <c r="AM150" s="1288"/>
      <c r="AN150" s="1288"/>
      <c r="AO150" s="1288"/>
      <c r="AP150" s="1288"/>
      <c r="AQ150" s="1288"/>
    </row>
    <row r="154" customHeight="1" ht="11.25">
      <c r="E154" s="1380"/>
    </row>
    <row customHeight="1" ht="11.25">
      <c r="E155" s="1380"/>
    </row>
    <row customHeight="1" ht="11.25">
      <c r="E156" s="1380"/>
    </row>
    <row customHeight="1" ht="11.25">
      <c r="E157" s="1380"/>
    </row>
    <row customHeight="1" ht="11.25">
      <c r="E158" s="1380"/>
    </row>
    <row customHeight="1" ht="11.25">
      <c r="E159" s="1380"/>
    </row>
    <row customHeight="1" ht="11.25">
      <c r="E160" s="1380"/>
    </row>
  </sheetData>
  <sheetProtection formatColumns="0" formatRows="0" autoFilter="0" sort="0" insertRows="0" insertColumns="1" deleteRows="0" deleteColumns="0"/>
  <mergeCells count="407">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M109:M111"/>
    <mergeCell ref="N109:N111"/>
    <mergeCell ref="O109:O111"/>
    <mergeCell ref="P109:P110"/>
    <mergeCell ref="Q109:Q110"/>
    <mergeCell ref="R109:R110"/>
    <mergeCell ref="S109:S110"/>
    <mergeCell ref="D104:D108"/>
    <mergeCell ref="E104:E108"/>
    <mergeCell ref="M104:M106"/>
    <mergeCell ref="D109:D113"/>
    <mergeCell ref="E109:E113"/>
    <mergeCell ref="F109:F113"/>
    <mergeCell ref="G109:G113"/>
    <mergeCell ref="H109:H112"/>
    <mergeCell ref="I109:I112"/>
    <mergeCell ref="J109:J112"/>
    <mergeCell ref="K109:K112"/>
    <mergeCell ref="L109:L111"/>
    <mergeCell ref="F104:F108"/>
    <mergeCell ref="G104:G108"/>
    <mergeCell ref="H104:H107"/>
    <mergeCell ref="I104:I107"/>
    <mergeCell ref="J104:J107"/>
    <mergeCell ref="L104:L106"/>
    <mergeCell ref="Q99:Q100"/>
    <mergeCell ref="R99:R100"/>
    <mergeCell ref="S99:S100"/>
    <mergeCell ref="K99:K102"/>
    <mergeCell ref="K94:K97"/>
    <mergeCell ref="N99:N101"/>
    <mergeCell ref="O99:O101"/>
    <mergeCell ref="P99:P100"/>
    <mergeCell ref="S104:S105"/>
    <mergeCell ref="N104:N106"/>
    <mergeCell ref="O104:O106"/>
    <mergeCell ref="P104:P105"/>
    <mergeCell ref="Q104:Q105"/>
    <mergeCell ref="R104:R105"/>
    <mergeCell ref="L99:L101"/>
    <mergeCell ref="N94:N96"/>
    <mergeCell ref="O94:O96"/>
    <mergeCell ref="P94:P95"/>
    <mergeCell ref="Q94:Q95"/>
    <mergeCell ref="R94:R95"/>
    <mergeCell ref="S94:S95"/>
    <mergeCell ref="M99:M101"/>
    <mergeCell ref="W9:W10"/>
    <mergeCell ref="O9:R9"/>
    <mergeCell ref="K9:N9"/>
    <mergeCell ref="T11:U11"/>
    <mergeCell ref="S9:V9"/>
    <mergeCell ref="T10:U10"/>
    <mergeCell ref="D94:D98"/>
    <mergeCell ref="E94:E98"/>
    <mergeCell ref="D99:D103"/>
    <mergeCell ref="E99:E103"/>
    <mergeCell ref="F99:F103"/>
    <mergeCell ref="G99:G103"/>
    <mergeCell ref="H99:H102"/>
    <mergeCell ref="I99:I102"/>
    <mergeCell ref="J99:J102"/>
    <mergeCell ref="F94:F98"/>
    <mergeCell ref="G94:G98"/>
    <mergeCell ref="H94:H97"/>
    <mergeCell ref="I94:I97"/>
    <mergeCell ref="J94:J97"/>
    <mergeCell ref="K13:K16"/>
    <mergeCell ref="G18:G22"/>
    <mergeCell ref="K18:K21"/>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P18:P19"/>
    <mergeCell ref="O18:O20"/>
    <mergeCell ref="L13:L15"/>
    <mergeCell ref="M13:M15"/>
    <mergeCell ref="N13:N15"/>
    <mergeCell ref="O13:O15"/>
    <mergeCell ref="Q13:Q14"/>
    <mergeCell ref="D18:D22"/>
    <mergeCell ref="E18:E22"/>
    <mergeCell ref="F18:F22"/>
    <mergeCell ref="Q18:Q19"/>
    <mergeCell ref="R18:R19"/>
    <mergeCell ref="H18:H21"/>
    <mergeCell ref="I18:I21"/>
    <mergeCell ref="J18:J21"/>
    <mergeCell ref="D23:D57"/>
    <mergeCell ref="E23:E57"/>
    <mergeCell ref="F23:F57"/>
    <mergeCell ref="G23:G57"/>
    <mergeCell ref="L18:L20"/>
    <mergeCell ref="M18:M20"/>
    <mergeCell ref="N18:N20"/>
    <mergeCell ref="D78:D82"/>
    <mergeCell ref="E78:E82"/>
    <mergeCell ref="F78:F82"/>
    <mergeCell ref="H78:H81"/>
    <mergeCell ref="N68:N70"/>
    <mergeCell ref="G63:G67"/>
    <mergeCell ref="K63:K66"/>
    <mergeCell ref="G78:G82"/>
    <mergeCell ref="K78:K81"/>
    <mergeCell ref="N78:N80"/>
    <mergeCell ref="I78:I81"/>
    <mergeCell ref="J78:J81"/>
    <mergeCell ref="L78:L80"/>
    <mergeCell ref="M78:M80"/>
    <mergeCell ref="L68:L70"/>
    <mergeCell ref="M68:M70"/>
    <mergeCell ref="K68:K71"/>
    <mergeCell ref="D68:D72"/>
    <mergeCell ref="I68:I71"/>
    <mergeCell ref="J68:J71"/>
    <mergeCell ref="I63:I66"/>
    <mergeCell ref="J63:J66"/>
    <mergeCell ref="L63:L65"/>
    <mergeCell ref="M63:M65"/>
    <mergeCell ref="D63:D67"/>
    <mergeCell ref="Q58:Q59"/>
    <mergeCell ref="R58:R59"/>
    <mergeCell ref="D73:D77"/>
    <mergeCell ref="E73:E77"/>
    <mergeCell ref="F73:F77"/>
    <mergeCell ref="G73:G77"/>
    <mergeCell ref="H73:H76"/>
    <mergeCell ref="I73:I76"/>
    <mergeCell ref="J73:J76"/>
    <mergeCell ref="K73:K76"/>
    <mergeCell ref="L73:L75"/>
    <mergeCell ref="D58:D62"/>
    <mergeCell ref="E58:E62"/>
    <mergeCell ref="F58:F62"/>
    <mergeCell ref="H58:H61"/>
    <mergeCell ref="I58:I61"/>
    <mergeCell ref="N58:N60"/>
    <mergeCell ref="P68:P69"/>
    <mergeCell ref="O63:O65"/>
    <mergeCell ref="Q68:Q69"/>
    <mergeCell ref="R68:R69"/>
    <mergeCell ref="O68:O70"/>
    <mergeCell ref="J58:J61"/>
    <mergeCell ref="G58:G62"/>
    <mergeCell ref="K58:K61"/>
    <mergeCell ref="S58:S59"/>
    <mergeCell ref="S63:S64"/>
    <mergeCell ref="S68:S69"/>
    <mergeCell ref="O58:O60"/>
    <mergeCell ref="E63:E67"/>
    <mergeCell ref="F63:F67"/>
    <mergeCell ref="H63:H66"/>
    <mergeCell ref="L58:L60"/>
    <mergeCell ref="M58:M60"/>
    <mergeCell ref="P63:P64"/>
    <mergeCell ref="Q63:Q64"/>
    <mergeCell ref="R63:R64"/>
    <mergeCell ref="P58:P59"/>
    <mergeCell ref="S18:S19"/>
    <mergeCell ref="M120:M122"/>
    <mergeCell ref="N120:N122"/>
    <mergeCell ref="O120:O122"/>
    <mergeCell ref="P120:P121"/>
    <mergeCell ref="Q120:Q121"/>
    <mergeCell ref="R120:R121"/>
    <mergeCell ref="S120:S121"/>
    <mergeCell ref="O78:O80"/>
    <mergeCell ref="E92:W92"/>
    <mergeCell ref="E84:W84"/>
    <mergeCell ref="E85:W85"/>
    <mergeCell ref="E86:W86"/>
    <mergeCell ref="E87:W87"/>
    <mergeCell ref="E88:W88"/>
    <mergeCell ref="L94:L96"/>
    <mergeCell ref="M94:M96"/>
    <mergeCell ref="E90:W90"/>
    <mergeCell ref="E91:W91"/>
    <mergeCell ref="K104:K107"/>
    <mergeCell ref="E68:E72"/>
    <mergeCell ref="F68:F72"/>
    <mergeCell ref="H68:H71"/>
    <mergeCell ref="G68:G72"/>
    <mergeCell ref="R13:R14"/>
    <mergeCell ref="S13:S14"/>
    <mergeCell ref="M73:M75"/>
    <mergeCell ref="N73:N75"/>
    <mergeCell ref="O73:O75"/>
    <mergeCell ref="N63:N65"/>
    <mergeCell ref="D120:D124"/>
    <mergeCell ref="E120:E124"/>
    <mergeCell ref="F120:F124"/>
    <mergeCell ref="G120:G124"/>
    <mergeCell ref="H120:H123"/>
    <mergeCell ref="I120:I123"/>
    <mergeCell ref="J120:J123"/>
    <mergeCell ref="K120:K123"/>
    <mergeCell ref="L120:L122"/>
    <mergeCell ref="P78:P79"/>
    <mergeCell ref="Q78:Q79"/>
    <mergeCell ref="R78:R79"/>
    <mergeCell ref="S78:S79"/>
    <mergeCell ref="P73:P74"/>
    <mergeCell ref="Q73:Q74"/>
    <mergeCell ref="R73:R74"/>
    <mergeCell ref="S73:S74"/>
    <mergeCell ref="P130:P131"/>
    <mergeCell ref="Q130:Q131"/>
    <mergeCell ref="R130:R131"/>
    <mergeCell ref="S130:S131"/>
    <mergeCell ref="D125:D129"/>
    <mergeCell ref="E125:E129"/>
    <mergeCell ref="F125:F129"/>
    <mergeCell ref="G125:G129"/>
    <mergeCell ref="H125:H128"/>
    <mergeCell ref="I125:I128"/>
    <mergeCell ref="J125:J128"/>
    <mergeCell ref="K125:K128"/>
    <mergeCell ref="L125:L127"/>
    <mergeCell ref="S136:S137"/>
    <mergeCell ref="D136:D140"/>
    <mergeCell ref="E136:E140"/>
    <mergeCell ref="F136:F140"/>
    <mergeCell ref="G136:G140"/>
    <mergeCell ref="M125:M127"/>
    <mergeCell ref="N125:N127"/>
    <mergeCell ref="O125:O127"/>
    <mergeCell ref="P125:P126"/>
    <mergeCell ref="Q125:Q126"/>
    <mergeCell ref="R125:R126"/>
    <mergeCell ref="S125:S126"/>
    <mergeCell ref="D130:D134"/>
    <mergeCell ref="E130:E134"/>
    <mergeCell ref="F130:F134"/>
    <mergeCell ref="G130:G134"/>
    <mergeCell ref="H130:H133"/>
    <mergeCell ref="I130:I133"/>
    <mergeCell ref="J130:J133"/>
    <mergeCell ref="K130:K133"/>
    <mergeCell ref="L130:L132"/>
    <mergeCell ref="M130:M132"/>
    <mergeCell ref="N130:N132"/>
    <mergeCell ref="O130:O132"/>
    <mergeCell ref="O136:O138"/>
    <mergeCell ref="M141:M143"/>
    <mergeCell ref="N141:N143"/>
    <mergeCell ref="O141:O143"/>
    <mergeCell ref="P136:P137"/>
    <mergeCell ref="Q136:Q137"/>
    <mergeCell ref="R136:R137"/>
    <mergeCell ref="P141:P142"/>
    <mergeCell ref="Q141:Q142"/>
    <mergeCell ref="R141:R142"/>
    <mergeCell ref="K141:K144"/>
    <mergeCell ref="L141:L143"/>
    <mergeCell ref="H136:H139"/>
    <mergeCell ref="I136:I139"/>
    <mergeCell ref="J136:J139"/>
    <mergeCell ref="K136:K139"/>
    <mergeCell ref="L136:L138"/>
    <mergeCell ref="M136:M138"/>
    <mergeCell ref="N136:N138"/>
    <mergeCell ref="S141:S142"/>
    <mergeCell ref="D146:D150"/>
    <mergeCell ref="E146:E150"/>
    <mergeCell ref="F146:F150"/>
    <mergeCell ref="G146:G150"/>
    <mergeCell ref="H146:H149"/>
    <mergeCell ref="I146:I149"/>
    <mergeCell ref="J146:J149"/>
    <mergeCell ref="K146:K149"/>
    <mergeCell ref="L146:L148"/>
    <mergeCell ref="M146:M148"/>
    <mergeCell ref="N146:N148"/>
    <mergeCell ref="O146:O148"/>
    <mergeCell ref="P146:P147"/>
    <mergeCell ref="Q146:Q147"/>
    <mergeCell ref="R146:R147"/>
    <mergeCell ref="S146:S147"/>
    <mergeCell ref="D141:D145"/>
    <mergeCell ref="E141:E145"/>
    <mergeCell ref="F141:F145"/>
    <mergeCell ref="G141:G145"/>
    <mergeCell ref="H141:H144"/>
    <mergeCell ref="I141:I144"/>
    <mergeCell ref="J141:J144"/>
    <mergeCell ref="I23:I39"/>
    <mergeCell ref="L23:L25"/>
    <mergeCell ref="N23:N25"/>
    <mergeCell ref="J23:J39"/>
    <mergeCell ref="H23:H39"/>
    <mergeCell ref="M23:M25"/>
    <mergeCell ref="O23:O25"/>
    <mergeCell ref="S23:S24"/>
    <mergeCell ref="P23:P24"/>
    <mergeCell ref="Q23:Q24"/>
    <mergeCell ref="R23:R24"/>
    <mergeCell ref="K23:K39"/>
    <mergeCell ref="L26:L28"/>
    <mergeCell ref="M26:M28"/>
    <mergeCell ref="N26:N28"/>
    <mergeCell ref="O26:O28"/>
    <mergeCell ref="P26:P27"/>
    <mergeCell ref="Q26:Q27"/>
    <mergeCell ref="R26:R27"/>
    <mergeCell ref="S26:S27"/>
    <mergeCell ref="L29:L31"/>
    <mergeCell ref="M29:M31"/>
    <mergeCell ref="N29:N31"/>
    <mergeCell ref="O29:O31"/>
    <mergeCell ref="P29:P30"/>
    <mergeCell ref="Q29:Q30"/>
    <mergeCell ref="R29:R30"/>
    <mergeCell ref="S29:S30"/>
    <mergeCell ref="L32:L34"/>
    <mergeCell ref="M32:M34"/>
    <mergeCell ref="N32:N34"/>
    <mergeCell ref="O32:O34"/>
    <mergeCell ref="P32:P33"/>
    <mergeCell ref="Q32:Q33"/>
    <mergeCell ref="R32:R33"/>
    <mergeCell ref="S32:S33"/>
    <mergeCell ref="L35:L38"/>
    <mergeCell ref="M35:M38"/>
    <mergeCell ref="N35:N38"/>
    <mergeCell ref="O35:O38"/>
    <mergeCell ref="P35:P37"/>
    <mergeCell ref="Q35:Q37"/>
    <mergeCell ref="R35:R37"/>
    <mergeCell ref="S35:S37"/>
    <mergeCell ref="O40:O42"/>
    <mergeCell ref="P40:P41"/>
    <mergeCell ref="Q40:Q41"/>
    <mergeCell ref="R40:R41"/>
    <mergeCell ref="S40:S41"/>
    <mergeCell ref="H40:H56"/>
    <mergeCell ref="I40:I56"/>
    <mergeCell ref="J40:J56"/>
    <mergeCell ref="K40:K56"/>
    <mergeCell ref="L40:L42"/>
    <mergeCell ref="M40:M42"/>
    <mergeCell ref="N40:N42"/>
    <mergeCell ref="L43:L45"/>
    <mergeCell ref="M43:M45"/>
    <mergeCell ref="N43:N45"/>
    <mergeCell ref="O43:O45"/>
    <mergeCell ref="P43:P44"/>
    <mergeCell ref="Q43:Q44"/>
    <mergeCell ref="R43:R44"/>
    <mergeCell ref="S43:S44"/>
    <mergeCell ref="L46:L48"/>
    <mergeCell ref="M46:M48"/>
    <mergeCell ref="N46:N48"/>
    <mergeCell ref="O46:O48"/>
    <mergeCell ref="P46:P47"/>
    <mergeCell ref="Q46:Q47"/>
    <mergeCell ref="R46:R47"/>
    <mergeCell ref="S46:S47"/>
    <mergeCell ref="L49:L51"/>
    <mergeCell ref="M49:M51"/>
    <mergeCell ref="N49:N51"/>
    <mergeCell ref="O49:O51"/>
    <mergeCell ref="P49:P50"/>
    <mergeCell ref="Q49:Q50"/>
    <mergeCell ref="R49:R50"/>
    <mergeCell ref="S49:S50"/>
    <mergeCell ref="L52:L55"/>
    <mergeCell ref="M52:M55"/>
    <mergeCell ref="N52:N55"/>
    <mergeCell ref="O52:O55"/>
    <mergeCell ref="P52:P54"/>
    <mergeCell ref="Q52:Q54"/>
    <mergeCell ref="R52:R54"/>
    <mergeCell ref="S52:S54"/>
  </mergeCells>
  <dataValidations count="202">
    <dataValidation allowBlank="1" showInputMessage="1" showErrorMessage="1" prompt="Выберите виды деятельности, выполнив двойной щелчок левой кнопки мыши по ячейке." sqref="G13:G25 G39 G57:G82 G94:G118 G120:G134 G136:G15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N75 N18:N20 N68:N70 N63:N65 N13:N15 N58:N60 N94:N96 N109:N111 N114:N116 N99:N101 N104:N106 N78:N80 N120:N122 N125:N127 N130:N132 N141:N143 N136:N138 N146:N148">
      <formula1>DESCRIPTION_TERRITORY</formula1>
    </dataValidation>
    <dataValidation type="textLength" operator="lessThanOrEqual" allowBlank="1" showInputMessage="1" showErrorMessage="1" errorTitle="Ошибка" error="Допускается ввод не более 900 символов!" sqref="J63:J64 J13:J14 J73:J74 R73:R74 V73:W73 J18:J19 J68:J69 R63:R64 R13:R14 R18:R19 R68:R69 V63:W63 V13:W13 V18:W18 V68:W68 J58:J59 R58:R59 V58:W58 J94:J95 R94:R95 V94:W94 J99:J100 R99:R100 V99:W99 J109:J110 R109:R110 V109:W109 J104:J105 R104:R105 V104:W104 J114:J115 R114:R115 V114:W114 J78:J79 R78:R79 V78:W78 J120:J121 R120:R121 V120:W120 J125:J126 R125:R126 V125:W125 J130:J131 R130:R131 V130:W130 J141:J142 R141:R142 V141:W141 J136:J137 R136:R137 V136:W136 J146:J147 R146:R147 V146:W146">
      <formula1>900</formula1>
    </dataValidation>
    <dataValidation allowBlank="1" showInputMessage="1" showErrorMessage="1" prompt="Для выбора выполните двойной щелчок левой клавиши мыши по соответствующей ячейке." sqref="K63:K64 K13:K14 K73:K74 O73:O74 S73:S74 K18:K19 K68:K69 O63:O64 O18:O19 O68:O69 S63:S64 S18:S19 S68:S69 F13:F25 F39 F57:F82 O13:O14 S13:S14 K58:K59 O58:O59 S58:S59 K94:K95 O94:O95 S94:S95 K99:K100 O99:O100 S99:S100 K109:K110 O109:O110 S109:S110 K104:K105 O104:O105 K114:K115 O114:O115 S78:S79 S104:S105 S114:S115 K78:K79 O78:O79 F94:F118 O120:O121 S120:S121 O125:O126 S125:S126 S130:S131 K120:K121 K125:K126 K130:K131 O130:O131 F120:F134 K141:K142 O141:O142 K136:K137 O136:O137 S141:S142 F136:F150 S136:S137 K146:K147 O146:O147 S146:S147"/>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Для выбора выполните двойной щелчок левой клавиши мыши по соответствующей ячейке." sqref="K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O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type="textLength" operator="lessThanOrEqual" allowBlank="1" showInputMessage="1" showErrorMessage="1" errorTitle="Ошибка" error="Допускается ввод не более 900 символов!" sqref="V26">
      <formula1>900</formula1>
    </dataValidation>
    <dataValidation type="textLength" operator="lessThanOrEqual" allowBlank="1" showInputMessage="1" showErrorMessage="1" errorTitle="Ошибка" error="Допускается ввод не более 900 символов!" sqref="W26">
      <formula1>900</formula1>
    </dataValidation>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V29">
      <formula1>900</formula1>
    </dataValidation>
    <dataValidation type="textLength" operator="lessThanOrEqual" allowBlank="1" showInputMessage="1" showErrorMessage="1" errorTitle="Ошибка" error="Допускается ввод не более 900 символов!" sqref="W29">
      <formula1>900</formula1>
    </dataValidation>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Для выбора выполните двойной щелчок левой клавиши мыши по соответствующей ячейке." sqref="K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O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V32">
      <formula1>900</formula1>
    </dataValidation>
    <dataValidation type="textLength" operator="lessThanOrEqual" allowBlank="1" showInputMessage="1" showErrorMessage="1" errorTitle="Ошибка" error="Допускается ввод не более 900 символов!" sqref="W32">
      <formula1>900</formula1>
    </dataValidation>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Для выбора выполните двойной щелчок левой клавиши мыши по соответствующей ячейке." sqref="K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O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type="textLength" operator="lessThanOrEqual" allowBlank="1" showInputMessage="1" showErrorMessage="1" errorTitle="Ошибка" error="Допускается ввод не более 900 символов!" sqref="V35">
      <formula1>900</formula1>
    </dataValidation>
    <dataValidation type="textLength" operator="lessThanOrEqual" allowBlank="1" showInputMessage="1" showErrorMessage="1" errorTitle="Ошибка" error="Допускается ввод не более 900 символов!" sqref="W35">
      <formula1>900</formula1>
    </dataValidation>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type="textLength" operator="lessThanOrEqual" allowBlank="1" showInputMessage="1" showErrorMessage="1" errorTitle="Ошибка" error="Допускается ввод не более 900 символов!" sqref="J36">
      <formula1>900</formula1>
    </dataValidation>
    <dataValidation type="textLength" operator="lessThanOrEqual" allowBlank="1" showInputMessage="1" showErrorMessage="1" errorTitle="Ошибка" error="Допускается ввод не более 900 символов!" sqref="R36">
      <formula1>900</formula1>
    </dataValidation>
    <dataValidation type="textLength" operator="lessThanOrEqual" allowBlank="1" showInputMessage="1" showErrorMessage="1" errorTitle="Ошибка" error="Допускается ввод не более 900 символов!" sqref="V36">
      <formula1>900</formula1>
    </dataValidation>
    <dataValidation type="textLength" operator="lessThanOrEqual" allowBlank="1" showInputMessage="1" showErrorMessage="1" errorTitle="Ошибка" error="Допускается ввод не более 900 символов!" sqref="W36">
      <formula1>900</formula1>
    </dataValidation>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type="textLength" operator="lessThanOrEqual" allowBlank="1" showInputMessage="1" showErrorMessage="1" errorTitle="Ошибка" error="Допускается ввод не более 900 символов!" sqref="J40">
      <formula1>900</formula1>
    </dataValidation>
    <dataValidation allowBlank="1" showInputMessage="1" showErrorMessage="1" prompt="Для выбора выполните двойной щелчок левой клавиши мыши по соответствующей ячейке." sqref="K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O40"/>
    <dataValidation type="textLength" operator="lessThanOrEqual" allowBlank="1" showInputMessage="1" showErrorMessage="1" errorTitle="Ошибка" error="Допускается ввод не более 900 символов!" sqref="R40">
      <formula1>900</formula1>
    </dataValidation>
    <dataValidation allowBlank="1" showInputMessage="1" showErrorMessage="1" prompt="Для выбора выполните двойной щелчок левой клавиши мыши по соответствующей ячейке." sqref="S40"/>
    <dataValidation type="textLength" operator="lessThanOrEqual" allowBlank="1" showInputMessage="1" showErrorMessage="1" errorTitle="Ошибка" error="Допускается ввод не более 900 символов!" sqref="V40">
      <formula1>900</formula1>
    </dataValidation>
    <dataValidation type="textLength" operator="lessThanOrEqual" allowBlank="1" showInputMessage="1" showErrorMessage="1" errorTitle="Ошибка" error="Допускается ввод не более 900 символов!" sqref="W40">
      <formula1>900</formula1>
    </dataValidation>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Для выбора выполните двойной щелчок левой клавиши мыши по соответствующей ячейке." sqref="K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allowBlank="1" showInputMessage="1" showErrorMessage="1" prompt="Для выбора выполните двойной щелчок левой клавиши мыши по соответствующей ячейке." sqref="O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type="textLength" operator="lessThanOrEqual" allowBlank="1" showInputMessage="1" showErrorMessage="1" errorTitle="Ошибка" error="Допускается ввод не более 900 символов!" sqref="V43">
      <formula1>900</formula1>
    </dataValidation>
    <dataValidation type="textLength" operator="lessThanOrEqual" allowBlank="1" showInputMessage="1" showErrorMessage="1" errorTitle="Ошибка" error="Допускается ввод не более 900 символов!" sqref="W43">
      <formula1>900</formula1>
    </dataValidation>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Для выбора выполните двойной щелчок левой клавиши мыши по соответствующей ячейке." sqref="K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allowBlank="1" showInputMessage="1" showErrorMessage="1" prompt="Для выбора выполните двойной щелчок левой клавиши мыши по соответствующей ячейке." sqref="O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type="textLength" operator="lessThanOrEqual" allowBlank="1" showInputMessage="1" showErrorMessage="1" errorTitle="Ошибка" error="Допускается ввод не более 900 символов!" sqref="V46">
      <formula1>900</formula1>
    </dataValidation>
    <dataValidation type="textLength" operator="lessThanOrEqual" allowBlank="1" showInputMessage="1" showErrorMessage="1" errorTitle="Ошибка" error="Допускается ввод не более 900 символов!" sqref="W46">
      <formula1>900</formula1>
    </dataValidation>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Выберите виды деятельности, выполнив двойной щелчок левой кнопки мыши по ячейке." sqref="G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49"/>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Для выбора выполните двойной щелчок левой клавиши мыши по соответствующей ячейке." sqref="K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allowBlank="1" showInputMessage="1" showErrorMessage="1" prompt="Для выбора выполните двойной щелчок левой клавиши мыши по соответствующей ячейке." sqref="O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V49">
      <formula1>900</formula1>
    </dataValidation>
    <dataValidation type="textLength" operator="lessThanOrEqual" allowBlank="1" showInputMessage="1" showErrorMessage="1" errorTitle="Ошибка" error="Допускается ввод не более 900 символов!" sqref="W49">
      <formula1>900</formula1>
    </dataValidation>
    <dataValidation allowBlank="1" showInputMessage="1" showErrorMessage="1" prompt="Для выбора выполните двойной щелчок левой клавиши мыши по соответствующей ячейке." sqref="F50"/>
    <dataValidation allowBlank="1" showInputMessage="1" showErrorMessage="1" prompt="Выберите виды деятельности, выполнив двойной щелчок левой кнопки мыши по ячейке." sqref="G50"/>
    <dataValidation type="textLength" operator="lessThanOrEqual" allowBlank="1" showInputMessage="1" showErrorMessage="1" errorTitle="Ошибка" error="Допускается ввод не более 900 символов!" sqref="J5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type="textLength" operator="lessThanOrEqual" allowBlank="1" showInputMessage="1" showErrorMessage="1" errorTitle="Ошибка" error="Допускается ввод не более 900 символов!" sqref="R50">
      <formula1>900</formula1>
    </dataValidation>
    <dataValidation allowBlank="1" showInputMessage="1" showErrorMessage="1" prompt="Для выбора выполните двойной щелчок левой клавиши мыши по соответствующей ячейке." sqref="S50"/>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Выберите виды деятельности, выполнив двойной щелчок левой кнопки мыши по ячейке." sqref="G5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allowBlank="1" showInputMessage="1" showErrorMessage="1" prompt="Для выбора выполните двойной щелчок левой клавиши мыши по соответствующей ячейке." sqref="F52"/>
    <dataValidation allowBlank="1" showInputMessage="1" showErrorMessage="1" prompt="Выберите виды деятельности, выполнив двойной щелчок левой кнопки мыши по ячейке." sqref="G52"/>
    <dataValidation type="textLength" operator="lessThanOrEqual" allowBlank="1" showInputMessage="1" showErrorMessage="1" errorTitle="Ошибка" error="Допускается ввод не более 900 символов!" sqref="J52">
      <formula1>900</formula1>
    </dataValidation>
    <dataValidation allowBlank="1" showInputMessage="1" showErrorMessage="1" prompt="Для выбора выполните двойной щелчок левой клавиши мыши по соответствующей ячейке." sqref="K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allowBlank="1" showInputMessage="1" showErrorMessage="1" prompt="Для выбора выполните двойной щелчок левой клавиши мыши по соответствующей ячейке." sqref="O52"/>
    <dataValidation type="textLength" operator="lessThanOrEqual" allowBlank="1" showInputMessage="1" showErrorMessage="1" errorTitle="Ошибка" error="Допускается ввод не более 900 символов!" sqref="R52">
      <formula1>900</formula1>
    </dataValidation>
    <dataValidation allowBlank="1" showInputMessage="1" showErrorMessage="1" prompt="Для выбора выполните двойной щелчок левой клавиши мыши по соответствующей ячейке." sqref="S52"/>
    <dataValidation type="textLength" operator="lessThanOrEqual" allowBlank="1" showInputMessage="1" showErrorMessage="1" errorTitle="Ошибка" error="Допускается ввод не более 900 символов!" sqref="V52">
      <formula1>900</formula1>
    </dataValidation>
    <dataValidation type="textLength" operator="lessThanOrEqual" allowBlank="1" showInputMessage="1" showErrorMessage="1" errorTitle="Ошибка" error="Допускается ввод не более 900 символов!" sqref="W52">
      <formula1>900</formula1>
    </dataValidation>
    <dataValidation allowBlank="1" showInputMessage="1" showErrorMessage="1" prompt="Для выбора выполните двойной щелчок левой клавиши мыши по соответствующей ячейке." sqref="F54"/>
    <dataValidation allowBlank="1" showInputMessage="1" showErrorMessage="1" prompt="Выберите виды деятельности, выполнив двойной щелчок левой кнопки мыши по ячейке." sqref="G54"/>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Для выбора выполните двойной щелчок левой клавиши мыши по соответствующей ячейке." sqref="F55"/>
    <dataValidation allowBlank="1" showInputMessage="1" showErrorMessage="1" prompt="Выберите виды деятельности, выполнив двойной щелчок левой кнопки мыши по ячейке." sqref="G5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Выберите виды деятельности, выполнив двойной щелчок левой кнопки мыши по ячейке." sqref="G53"/>
    <dataValidation type="textLength" operator="lessThanOrEqual" allowBlank="1" showInputMessage="1" showErrorMessage="1" errorTitle="Ошибка" error="Допускается ввод не более 900 символов!" sqref="J53">
      <formula1>900</formula1>
    </dataValidation>
    <dataValidation type="textLength" operator="lessThanOrEqual" allowBlank="1" showInputMessage="1" showErrorMessage="1" errorTitle="Ошибка" error="Допускается ввод не более 900 символов!" sqref="R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766FC-803E-5953-24CD-664FBBECC8FB}"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7" width="9.140625" hidden="1"/>
    <col min="3" max="4" style="2757" width="3.7109375" customWidth="1"/>
    <col min="5" max="6" style="2757" width="16.00390625" customWidth="1"/>
    <col min="7" max="7" style="2757" width="11.57421875" customWidth="1"/>
    <col min="8" max="9" style="2757" width="3.7109375" customWidth="1"/>
    <col min="10" max="10" style="2757" width="13.140625" customWidth="1"/>
    <col min="11" max="11" style="2757" width="0.28125" customWidth="1"/>
    <col min="12" max="13" style="2757" width="10.7109375" customWidth="1"/>
    <col min="14" max="15" style="2757" width="3.7109375" customWidth="1"/>
    <col min="16" max="16" style="2757" width="19.7109375" customWidth="1"/>
    <col min="17" max="17" style="2757" width="0.28125" customWidth="1"/>
    <col min="18" max="19" style="2757" width="10.7109375" customWidth="1"/>
    <col min="20" max="21" style="2757" width="3.7109375" customWidth="1"/>
    <col min="22" max="22" style="2757" width="25.7109375" customWidth="1"/>
    <col min="23" max="23" style="2757" width="0.28125" customWidth="1"/>
    <col min="24" max="25" style="2757" width="10.7109375" customWidth="1"/>
    <col min="26" max="27" style="2757" width="3.7109375" customWidth="1"/>
    <col min="28" max="28" style="2757" width="16.421875" customWidth="1"/>
    <col min="29" max="29" style="2757" width="0.28125" customWidth="1"/>
    <col min="30" max="31" style="2757" width="10.7109375" customWidth="1"/>
    <col min="32" max="33" style="2757" width="3.7109375" customWidth="1"/>
    <col min="34" max="34" style="2757" width="8.7109375" customWidth="1"/>
    <col min="35" max="35" style="2757" width="21.7109375" customWidth="1"/>
    <col min="36" max="36" style="2666" width="9.140625"/>
    <col min="37" max="37" style="2981"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77" customFormat="1" customHeight="1" ht="11.25" hidden="1">
      <c r="L2" s="1593" t="s">
        <v>324</v>
      </c>
      <c r="M2" s="1593" t="s">
        <v>325</v>
      </c>
      <c r="R2" s="1593" t="s">
        <v>326</v>
      </c>
      <c r="S2" s="1593" t="s">
        <v>325</v>
      </c>
      <c r="X2" s="1593" t="s">
        <v>324</v>
      </c>
      <c r="Y2" s="1593" t="s">
        <v>325</v>
      </c>
      <c r="AD2" s="1593" t="s">
        <v>324</v>
      </c>
      <c r="AE2" s="1593" t="s">
        <v>325</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79"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327</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90" customFormat="1" customHeight="1" ht="14.25">
      <c r="A5" s="1672"/>
      <c r="B5" s="1671"/>
      <c r="C5" s="1545"/>
      <c r="D5" s="2053" t="str">
        <f>IF(org=0,"Не определено",org)</f>
        <v>АО "Мурманэнергосбыт"</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124</v>
      </c>
      <c r="F8" s="2029" t="s">
        <v>139</v>
      </c>
      <c r="G8" s="2030"/>
      <c r="H8" s="2029" t="s">
        <v>87</v>
      </c>
      <c r="I8" s="2030"/>
      <c r="J8" s="1971" t="s">
        <v>140</v>
      </c>
      <c r="K8" s="1596"/>
      <c r="L8" s="2033" t="s">
        <v>328</v>
      </c>
      <c r="M8" s="2033"/>
      <c r="N8" s="2033"/>
      <c r="O8" s="2033"/>
      <c r="P8" s="2033"/>
      <c r="Q8" s="1597"/>
      <c r="R8" s="1950" t="s">
        <v>329</v>
      </c>
      <c r="S8" s="2034"/>
      <c r="T8" s="2034"/>
      <c r="U8" s="2034"/>
      <c r="V8" s="2034"/>
      <c r="W8" s="1597"/>
      <c r="X8" s="2035" t="s">
        <v>330</v>
      </c>
      <c r="Y8" s="2035"/>
      <c r="Z8" s="2035"/>
      <c r="AA8" s="2035"/>
      <c r="AB8" s="2035"/>
      <c r="AC8" s="1598"/>
      <c r="AD8" s="1971" t="s">
        <v>331</v>
      </c>
      <c r="AE8" s="1971"/>
      <c r="AF8" s="1971"/>
      <c r="AG8" s="1971"/>
      <c r="AH8" s="1955"/>
      <c r="AI8" s="1971" t="s">
        <v>332</v>
      </c>
      <c r="AJ8" s="1614"/>
    </row>
    <row customHeight="1" ht="22.5">
      <c r="D9" s="1971"/>
      <c r="E9" s="1971"/>
      <c r="F9" s="2028" t="s">
        <v>88</v>
      </c>
      <c r="G9" s="2028" t="s">
        <v>145</v>
      </c>
      <c r="H9" s="2031"/>
      <c r="I9" s="2032"/>
      <c r="J9" s="1955"/>
      <c r="K9" s="1599"/>
      <c r="L9" s="1971" t="s">
        <v>333</v>
      </c>
      <c r="M9" s="1955"/>
      <c r="N9" s="2029" t="s">
        <v>87</v>
      </c>
      <c r="O9" s="2030"/>
      <c r="P9" s="1971" t="s">
        <v>146</v>
      </c>
      <c r="Q9" s="1596"/>
      <c r="R9" s="1971" t="s">
        <v>333</v>
      </c>
      <c r="S9" s="1955"/>
      <c r="T9" s="2029" t="s">
        <v>87</v>
      </c>
      <c r="U9" s="2030"/>
      <c r="V9" s="1971" t="s">
        <v>146</v>
      </c>
      <c r="W9" s="1596"/>
      <c r="X9" s="1971" t="s">
        <v>333</v>
      </c>
      <c r="Y9" s="1955"/>
      <c r="Z9" s="2029" t="s">
        <v>87</v>
      </c>
      <c r="AA9" s="2030"/>
      <c r="AB9" s="1971" t="s">
        <v>334</v>
      </c>
      <c r="AC9" s="1596"/>
      <c r="AD9" s="1971" t="s">
        <v>333</v>
      </c>
      <c r="AE9" s="1955"/>
      <c r="AF9" s="2029" t="s">
        <v>87</v>
      </c>
      <c r="AG9" s="2030"/>
      <c r="AH9" s="1955" t="s">
        <v>334</v>
      </c>
      <c r="AI9" s="1971"/>
      <c r="AJ9" s="1614"/>
    </row>
    <row customHeight="1" ht="22.5">
      <c r="D10" s="2028"/>
      <c r="E10" s="2028"/>
      <c r="F10" s="2036"/>
      <c r="G10" s="2036"/>
      <c r="H10" s="2037"/>
      <c r="I10" s="2038"/>
      <c r="J10" s="2029"/>
      <c r="K10" s="1599"/>
      <c r="L10" s="1618" t="s">
        <v>335</v>
      </c>
      <c r="M10" s="1613" t="s">
        <v>336</v>
      </c>
      <c r="N10" s="2031"/>
      <c r="O10" s="2032"/>
      <c r="P10" s="2028"/>
      <c r="Q10" s="1596"/>
      <c r="R10" s="1618" t="s">
        <v>335</v>
      </c>
      <c r="S10" s="1613" t="s">
        <v>336</v>
      </c>
      <c r="T10" s="2031"/>
      <c r="U10" s="2032"/>
      <c r="V10" s="2028"/>
      <c r="W10" s="1596"/>
      <c r="X10" s="1618" t="s">
        <v>335</v>
      </c>
      <c r="Y10" s="1613" t="s">
        <v>336</v>
      </c>
      <c r="Z10" s="2031"/>
      <c r="AA10" s="2032"/>
      <c r="AB10" s="2028"/>
      <c r="AC10" s="1596"/>
      <c r="AD10" s="1618" t="s">
        <v>335</v>
      </c>
      <c r="AE10" s="1613" t="s">
        <v>336</v>
      </c>
      <c r="AF10" s="2031"/>
      <c r="AG10" s="2032"/>
      <c r="AH10" s="2029"/>
      <c r="AI10" s="2028"/>
      <c r="AJ10" s="1614"/>
      <c r="AK10" s="240" t="s">
        <v>337</v>
      </c>
      <c r="AL10" s="240" t="s">
        <v>147</v>
      </c>
    </row>
    <row customHeight="1" ht="14.25">
      <c r="D11" s="2039" t="s">
        <v>128</v>
      </c>
      <c r="E11" s="2041" t="s">
        <v>338</v>
      </c>
      <c r="F11" s="2041" t="s">
        <v>339</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79"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102</v>
      </c>
      <c r="E17" s="2041" t="s">
        <v>338</v>
      </c>
      <c r="F17" s="2041" t="s">
        <v>340</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79"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338</v>
      </c>
      <c r="F23" s="2041" t="s">
        <v>341</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79"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338</v>
      </c>
      <c r="F29" s="2041" t="s">
        <v>342</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79"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116</v>
      </c>
      <c r="E35" s="2041" t="s">
        <v>338</v>
      </c>
      <c r="F35" s="2041" t="s">
        <v>343</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79"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DD635-0CB2-FC22-EE01-EB4D87271C9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48" width="15.00390625" hidden="1" customWidth="1"/>
    <col min="2" max="2" style="3050" width="15.00390625" hidden="1" customWidth="1"/>
    <col min="3" max="3" style="3128" width="3.7109375" customWidth="1"/>
    <col min="4" max="4" style="3129" width="6.8515625" customWidth="1"/>
    <col min="5" max="5" style="3128" width="52.28125" customWidth="1"/>
    <col min="6" max="6" style="3128" width="48.8515625" customWidth="1"/>
    <col min="7" max="7" style="3128" width="121.7109375" customWidth="1"/>
    <col min="8" max="8" style="3128" width="9.140625"/>
    <col min="9" max="9" style="3128" width="65.00390625" customWidth="1"/>
  </cols>
  <sheetData>
    <row customHeight="1" ht="11.25" hidden="1">
      <c r="A1" s="1726" t="s">
        <v>344</v>
      </c>
    </row>
    <row customHeight="1" ht="11.25" hidden="1"/>
    <row s="304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"Мурманэнергосбыт"</v>
      </c>
      <c r="E5" s="2053"/>
      <c r="F5" s="2053"/>
      <c r="I5" s="721"/>
    </row>
    <row s="304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345</v>
      </c>
      <c r="E8" s="2057"/>
      <c r="F8" s="2057"/>
      <c r="G8" s="2061" t="s">
        <v>346</v>
      </c>
    </row>
    <row customHeight="1" ht="11.25">
      <c r="A9" s="463"/>
      <c r="B9" s="508"/>
      <c r="C9" s="463"/>
      <c r="D9" s="478" t="s">
        <v>87</v>
      </c>
      <c r="E9" s="452" t="s">
        <v>347</v>
      </c>
      <c r="F9" s="452" t="s">
        <v>348</v>
      </c>
      <c r="G9" s="2062"/>
    </row>
    <row customHeight="1" ht="12" hidden="1">
      <c r="A10" s="463"/>
      <c r="B10" s="508"/>
      <c r="C10" s="463"/>
      <c r="D10" s="470"/>
      <c r="E10" s="470"/>
      <c r="F10" s="470"/>
      <c r="G10" s="470"/>
    </row>
    <row customHeight="1" ht="22.5" hidden="1">
      <c r="A11" s="463"/>
      <c r="B11" s="508"/>
      <c r="C11" s="463"/>
      <c r="D11" s="1016" t="s">
        <v>128</v>
      </c>
      <c r="E11" s="1019" t="s">
        <v>349</v>
      </c>
      <c r="F11" s="1018" t="str">
        <f>IF(region_name="","",region_name)</f>
        <v>Мурманская область</v>
      </c>
      <c r="G11" s="1019" t="s">
        <v>350</v>
      </c>
      <c r="H11" s="481"/>
    </row>
    <row customHeight="1" ht="22.5" hidden="1">
      <c r="A12" s="463"/>
      <c r="B12" s="508"/>
      <c r="C12" s="463"/>
      <c r="D12" s="451" t="s">
        <v>128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351</v>
      </c>
      <c r="G12" s="480"/>
      <c r="H12" s="481"/>
    </row>
    <row customHeight="1" ht="22.5">
      <c r="A13" s="463"/>
      <c r="B13" s="508"/>
      <c r="C13" s="463"/>
      <c r="D13" s="451" t="s">
        <v>128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352</v>
      </c>
      <c r="E14" s="1017" t="s">
        <v>353</v>
      </c>
      <c r="F14" s="1018" t="str">
        <f>IF(inn="","",inn)</f>
        <v>5190907139</v>
      </c>
      <c r="G14" s="1019" t="s">
        <v>354</v>
      </c>
      <c r="H14" s="481"/>
    </row>
    <row customHeight="1" ht="22.5" hidden="1">
      <c r="A15" s="463"/>
      <c r="B15" s="508"/>
      <c r="C15" s="463"/>
      <c r="D15" s="1016" t="s">
        <v>355</v>
      </c>
      <c r="E15" s="1017" t="s">
        <v>356</v>
      </c>
      <c r="F15" s="1018" t="str">
        <f>IF(kpp="","",kpp)</f>
        <v>519001001</v>
      </c>
      <c r="G15" s="1019" t="s">
        <v>357</v>
      </c>
      <c r="H15" s="481"/>
    </row>
    <row customHeight="1" ht="36.75">
      <c r="A16" s="463"/>
      <c r="B16" s="508"/>
      <c r="C16" s="463"/>
      <c r="D16" s="451" t="s">
        <v>102</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358</v>
      </c>
      <c r="F19" s="449" t="s">
        <v>351</v>
      </c>
      <c r="G19" s="450" t="s">
        <v>359</v>
      </c>
      <c r="H19" s="481"/>
      <c r="I19" s="858"/>
    </row>
    <row customHeight="1" ht="33.75" hidden="1">
      <c r="A20" s="2058"/>
      <c r="B20" s="508"/>
      <c r="C20" s="2063"/>
      <c r="D20" s="451" t="s">
        <v>360</v>
      </c>
      <c r="E20" s="445" t="s">
        <v>361</v>
      </c>
      <c r="F20" s="887" t="s">
        <v>24</v>
      </c>
      <c r="G20" s="480"/>
      <c r="H20" s="481"/>
      <c r="I20" s="858"/>
    </row>
    <row customHeight="1" ht="22.5" hidden="1">
      <c r="A21" s="2058"/>
      <c r="B21" s="508"/>
      <c r="C21" s="2063"/>
      <c r="D21" s="451" t="s">
        <v>362</v>
      </c>
      <c r="E21" s="445" t="s">
        <v>363</v>
      </c>
      <c r="F21" s="1773" t="s">
        <v>24</v>
      </c>
      <c r="G21" s="450" t="s">
        <v>364</v>
      </c>
      <c r="H21" s="481"/>
      <c r="I21" s="858"/>
    </row>
    <row customHeight="1" ht="22.5" hidden="1">
      <c r="A22" s="2058"/>
      <c r="B22" s="508"/>
      <c r="C22" s="2063"/>
      <c r="D22" s="451" t="s">
        <v>365</v>
      </c>
      <c r="E22" s="445" t="s">
        <v>366</v>
      </c>
      <c r="F22" s="887" t="s">
        <v>24</v>
      </c>
      <c r="G22" s="480"/>
      <c r="H22" s="481"/>
      <c r="I22" s="858"/>
    </row>
    <row customHeight="1" ht="22.5" hidden="1">
      <c r="A23" s="2058"/>
      <c r="B23" s="508"/>
      <c r="C23" s="2063"/>
      <c r="D23" s="451" t="s">
        <v>367</v>
      </c>
      <c r="E23" s="445" t="s">
        <v>368</v>
      </c>
      <c r="F23" s="887" t="s">
        <v>24</v>
      </c>
      <c r="G23" s="450" t="s">
        <v>369</v>
      </c>
      <c r="H23" s="481"/>
      <c r="I23" s="858"/>
    </row>
    <row s="3050" customFormat="1" customHeight="1" ht="24.75" hidden="1">
      <c r="A24" s="463"/>
      <c r="B24" s="508"/>
      <c r="C24" s="508"/>
      <c r="D24" s="1013" t="s">
        <v>89</v>
      </c>
      <c r="E24" s="1015" t="s">
        <v>370</v>
      </c>
      <c r="F24" s="1020" t="s">
        <v>351</v>
      </c>
      <c r="G24" s="1015"/>
    </row>
    <row s="3050" customFormat="1" customHeight="1" ht="11.25" hidden="1">
      <c r="A25" s="463"/>
      <c r="B25" s="508"/>
      <c r="C25" s="508"/>
      <c r="D25" s="1013" t="s">
        <v>371</v>
      </c>
      <c r="E25" s="1014" t="s">
        <v>372</v>
      </c>
      <c r="F25" s="1020" t="s">
        <v>351</v>
      </c>
      <c r="G25" s="1015"/>
    </row>
    <row s="3050" customFormat="1" customHeight="1" ht="11.25" hidden="1">
      <c r="A26" s="463"/>
      <c r="B26" s="508"/>
      <c r="C26" s="508"/>
      <c r="D26" s="1013" t="s">
        <v>373</v>
      </c>
      <c r="E26" s="1021" t="s">
        <v>374</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50" customFormat="1" customHeight="1" ht="11.25" hidden="1">
      <c r="A27" s="463"/>
      <c r="B27" s="508"/>
      <c r="C27" s="508"/>
      <c r="D27" s="1013" t="s">
        <v>375</v>
      </c>
      <c r="E27" s="1021" t="s">
        <v>376</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50" customFormat="1" customHeight="1" ht="11.25" hidden="1">
      <c r="A28" s="463"/>
      <c r="B28" s="508"/>
      <c r="C28" s="508"/>
      <c r="D28" s="1013" t="s">
        <v>377</v>
      </c>
      <c r="E28" s="1021" t="s">
        <v>378</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50" customFormat="1" customHeight="1" ht="11.25" hidden="1">
      <c r="A29" s="463"/>
      <c r="B29" s="508"/>
      <c r="C29" s="508"/>
      <c r="D29" s="1013" t="s">
        <v>379</v>
      </c>
      <c r="E29" s="1014" t="s">
        <v>380</v>
      </c>
      <c r="F29" s="1022"/>
      <c r="G29" s="1015"/>
    </row>
    <row s="3050" customFormat="1" customHeight="1" ht="11.25" hidden="1">
      <c r="A30" s="463"/>
      <c r="B30" s="508"/>
      <c r="C30" s="508"/>
      <c r="D30" s="1013" t="s">
        <v>381</v>
      </c>
      <c r="E30" s="1014" t="s">
        <v>382</v>
      </c>
      <c r="F30" s="1022"/>
      <c r="G30" s="1015"/>
    </row>
    <row s="3050" customFormat="1" customHeight="1" ht="11.25" hidden="1">
      <c r="A31" s="463"/>
      <c r="B31" s="508"/>
      <c r="C31" s="508"/>
      <c r="D31" s="1013" t="s">
        <v>383</v>
      </c>
      <c r="E31" s="1014" t="s">
        <v>384</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351</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385</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385</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351</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386</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387</v>
      </c>
      <c r="H43" s="481"/>
    </row>
    <row customHeight="1" ht="22.5">
      <c r="A44" s="463"/>
      <c r="B44" s="508"/>
      <c r="C44" s="463"/>
      <c r="D44" s="446">
        <f>D43+1</f>
        <v>12</v>
      </c>
      <c r="E44" s="444" t="s">
        <v>388</v>
      </c>
      <c r="F44" s="449" t="s">
        <v>351</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389</v>
      </c>
      <c r="H45" s="481"/>
    </row>
    <row customHeight="1" ht="22.5">
      <c r="A46" s="2054"/>
      <c r="B46" s="508"/>
      <c r="C46" s="498"/>
      <c r="D46" s="446" t="str">
        <f>D44&amp;".2"</f>
        <v>12.2</v>
      </c>
      <c r="E46" s="448" t="s">
        <v>390</v>
      </c>
      <c r="F46" s="496"/>
      <c r="G46" s="443" t="s">
        <v>391</v>
      </c>
      <c r="H46" s="481"/>
    </row>
    <row customHeight="1" ht="22.5">
      <c r="A47" s="2054"/>
      <c r="B47" s="508"/>
      <c r="C47" s="498"/>
      <c r="D47" s="446" t="str">
        <f>D44&amp;".3"</f>
        <v>12.3</v>
      </c>
      <c r="E47" s="448" t="s">
        <v>392</v>
      </c>
      <c r="F47" s="496"/>
      <c r="G47" s="443" t="s">
        <v>393</v>
      </c>
      <c r="H47" s="481"/>
    </row>
    <row customHeight="1" ht="22.5">
      <c r="A48" s="2054"/>
      <c r="B48" s="508"/>
      <c r="C48" s="498"/>
      <c r="D48" s="446" t="str">
        <f>IF(TEMPLATE_SPHERE="TKO",D44&amp;".0",D44&amp;".4")</f>
        <v>12.4</v>
      </c>
      <c r="E48" s="442" t="s">
        <v>394</v>
      </c>
      <c r="F48" s="1725"/>
      <c r="G48" s="1802" t="s">
        <v>395</v>
      </c>
      <c r="H48" s="481"/>
    </row>
    <row customHeight="1" ht="22.5">
      <c r="A49" s="463"/>
      <c r="B49" s="508"/>
      <c r="C49" s="463"/>
      <c r="D49" s="473"/>
      <c r="E49" s="421" t="s">
        <v>396</v>
      </c>
      <c r="F49" s="474"/>
      <c r="G49" s="1802" t="s">
        <v>397</v>
      </c>
      <c r="H49" s="482"/>
    </row>
    <row customHeight="1" ht="22.5">
      <c r="A50" s="864"/>
      <c r="B50" s="508"/>
      <c r="C50" s="498"/>
      <c r="D50" s="446">
        <f>D44+1</f>
        <v>13</v>
      </c>
      <c r="E50" s="534" t="s">
        <v>398</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1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1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61519-23A7-7078-D887-FF2D91F15801}"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91" width="9.140625" hidden="1" customWidth="1"/>
    <col min="2" max="2" style="3170" width="9.140625" hidden="1" customWidth="1"/>
    <col min="3" max="3" style="3192" width="3.7109375" customWidth="1"/>
    <col min="4" max="4" style="3170" width="5.57421875" customWidth="1"/>
    <col min="5" max="5" style="3170" width="48.421875" customWidth="1"/>
    <col min="6" max="6" style="3170" width="38.140625" customWidth="1"/>
    <col min="7" max="7" style="2624" width="1.7109375" hidden="1" customWidth="1"/>
    <col min="8" max="11" style="3170" width="19.8515625" customWidth="1"/>
    <col min="12" max="12" style="3170" width="9.7109375" customWidth="1"/>
    <col min="13" max="18" style="3170" width="19.8515625" customWidth="1"/>
    <col min="19" max="19" style="2624" width="1.7109375" hidden="1" customWidth="1"/>
    <col min="20" max="22" style="3193" width="19.8515625" hidden="1" customWidth="1"/>
    <col min="23" max="23" style="2624" width="1.7109375" hidden="1" customWidth="1"/>
    <col min="24" max="26" style="3193" width="19.8515625" hidden="1" customWidth="1"/>
    <col min="27" max="27" style="2624" width="1.7109375" hidden="1" customWidth="1"/>
    <col min="28" max="29" style="3193" width="19.8515625" hidden="1" customWidth="1"/>
    <col min="30" max="30" style="2624" width="1.7109375" hidden="1" customWidth="1"/>
    <col min="31" max="31" style="3170" width="103.7109375" customWidth="1"/>
    <col min="32" max="34" style="3193" width="103.7109375" hidden="1" customWidth="1"/>
    <col min="35" max="35" style="3194" width="3.7109375" customWidth="1"/>
    <col min="36" max="38" style="3147" width="10.57421875"/>
    <col min="39" max="39" style="3147" width="13.7109375" hidden="1" customWidth="1"/>
    <col min="40" max="40" style="3147" width="15.421875" customWidth="1"/>
    <col min="41" max="41" style="3147" width="16.28125" customWidth="1"/>
    <col min="42" max="45" style="3147" width="10.57421875"/>
  </cols>
  <sheetData>
    <row customHeight="1" ht="14.25" hidden="1">
      <c r="E1" s="418"/>
      <c r="F1" s="418"/>
      <c r="G1" s="418"/>
      <c r="H1" s="2082" t="s">
        <v>399</v>
      </c>
      <c r="I1" s="2082"/>
      <c r="J1" s="2082"/>
      <c r="K1" s="2082"/>
      <c r="L1" s="2082"/>
      <c r="M1" s="2082"/>
      <c r="N1" s="2082"/>
      <c r="O1" s="2082"/>
      <c r="P1" s="2082"/>
      <c r="Q1" s="2082"/>
      <c r="R1" s="2082"/>
      <c r="T1" s="2082" t="s">
        <v>400</v>
      </c>
      <c r="U1" s="2082"/>
      <c r="V1" s="2082"/>
      <c r="X1" s="2082" t="s">
        <v>401</v>
      </c>
      <c r="Y1" s="2082"/>
      <c r="Z1" s="2082"/>
      <c r="AB1" s="2082" t="s">
        <v>402</v>
      </c>
      <c r="AC1" s="2082"/>
    </row>
    <row customHeight="1" ht="14.25" hidden="1"/>
    <row s="3130" customFormat="1" customHeight="1" ht="6">
      <c r="C3" s="707"/>
      <c r="D3" s="708"/>
      <c r="E3" s="708"/>
      <c r="F3" s="708"/>
      <c r="G3" s="708"/>
      <c r="H3" s="708" t="s">
        <v>403</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АО "Мурманэнергосбыт"</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4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345</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346</v>
      </c>
      <c r="AF7" s="2067" t="s">
        <v>346</v>
      </c>
      <c r="AG7" s="2067" t="s">
        <v>346</v>
      </c>
      <c r="AH7" s="2067" t="s">
        <v>346</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404</v>
      </c>
      <c r="I8" s="2075" t="s">
        <v>405</v>
      </c>
      <c r="J8" s="2067" t="s">
        <v>406</v>
      </c>
      <c r="K8" s="2067"/>
      <c r="L8" s="2067"/>
      <c r="M8" s="2068"/>
      <c r="N8" s="2067" t="s">
        <v>407</v>
      </c>
      <c r="O8" s="2067"/>
      <c r="P8" s="2067" t="s">
        <v>408</v>
      </c>
      <c r="Q8" s="2067"/>
      <c r="R8" s="2071" t="s">
        <v>409</v>
      </c>
      <c r="S8" s="830"/>
      <c r="T8" s="2069" t="s">
        <v>410</v>
      </c>
      <c r="U8" s="2069" t="s">
        <v>411</v>
      </c>
      <c r="V8" s="2069" t="s">
        <v>412</v>
      </c>
      <c r="W8" s="832"/>
      <c r="X8" s="2069" t="s">
        <v>413</v>
      </c>
      <c r="Y8" s="2069" t="s">
        <v>414</v>
      </c>
      <c r="Z8" s="2069" t="s">
        <v>415</v>
      </c>
      <c r="AA8" s="832"/>
      <c r="AB8" s="2069" t="s">
        <v>416</v>
      </c>
      <c r="AC8" s="2069" t="s">
        <v>409</v>
      </c>
      <c r="AD8" s="832"/>
      <c r="AE8" s="2067"/>
      <c r="AF8" s="2067"/>
      <c r="AG8" s="2067"/>
      <c r="AH8" s="2067"/>
    </row>
    <row customHeight="1" ht="43.5">
      <c r="C9" s="456"/>
      <c r="D9" s="1971"/>
      <c r="E9" s="2067"/>
      <c r="F9" s="2067"/>
      <c r="G9" s="835"/>
      <c r="H9" s="2074"/>
      <c r="I9" s="2076"/>
      <c r="J9" s="431" t="s">
        <v>417</v>
      </c>
      <c r="K9" s="431" t="s">
        <v>418</v>
      </c>
      <c r="L9" s="431" t="s">
        <v>419</v>
      </c>
      <c r="M9" s="437" t="s">
        <v>420</v>
      </c>
      <c r="N9" s="431" t="s">
        <v>421</v>
      </c>
      <c r="O9" s="431" t="s">
        <v>420</v>
      </c>
      <c r="P9" s="431" t="s">
        <v>422</v>
      </c>
      <c r="Q9" s="431" t="s">
        <v>420</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423</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128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424</v>
      </c>
      <c r="AF12" s="2077" t="s">
        <v>425</v>
      </c>
      <c r="AG12" s="2077" t="s">
        <v>426</v>
      </c>
      <c r="AH12" s="2077" t="s">
        <v>427</v>
      </c>
      <c r="AI12" s="453"/>
      <c r="AM12" s="517"/>
      <c r="AP12" s="506" t="s">
        <v>428</v>
      </c>
      <c r="AQ12" s="506" t="s">
        <v>428</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13581-4CF6-4EAD-203C-5DB5C2BBF2B4}"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17" width="9.140625" hidden="1" customWidth="1"/>
    <col min="2" max="2" style="3214" width="9.140625" hidden="1" customWidth="1"/>
    <col min="3" max="3" style="3192" width="3.7109375" customWidth="1"/>
    <col min="4" max="4" style="3214" width="5.57421875" customWidth="1"/>
    <col min="5" max="5" style="3214" width="38.140625" customWidth="1"/>
    <col min="6" max="7" style="3214" width="3.7109375" customWidth="1"/>
    <col min="8" max="8" style="3214" width="38.28125" customWidth="1"/>
    <col min="9" max="9" style="3214" width="35.7109375" customWidth="1"/>
    <col min="10" max="10" style="3214" width="103.7109375" customWidth="1"/>
    <col min="11" max="11" style="2990" width="3.7109375" customWidth="1"/>
    <col min="12" max="14" style="3207" width="10.57421875"/>
    <col min="15" max="15" style="3207" width="13.7109375" customWidth="1"/>
    <col min="16" max="16" style="3207" width="15.421875" customWidth="1"/>
    <col min="17" max="17" style="3207" width="16.28125" customWidth="1"/>
    <col min="18" max="21" style="3207" width="10.57421875"/>
  </cols>
  <sheetData>
    <row customHeight="1" ht="14.25" hidden="1">
      <c r="E1" s="418"/>
      <c r="F1" s="418"/>
      <c r="G1" s="418"/>
      <c r="H1" s="2082" t="s">
        <v>399</v>
      </c>
      <c r="I1" s="2082"/>
    </row>
    <row s="3195" customFormat="1" customHeight="1" ht="14.25" hidden="1">
      <c r="C2" s="1659"/>
      <c r="D2" s="2086" t="s">
        <v>128</v>
      </c>
      <c r="E2" s="2088"/>
      <c r="F2" s="1665"/>
      <c r="G2" s="1660" t="s">
        <v>128</v>
      </c>
      <c r="H2" s="1663"/>
      <c r="I2" s="1661"/>
      <c r="L2" s="1662"/>
      <c r="M2" s="1662"/>
      <c r="N2" s="1662"/>
      <c r="O2" s="1662" t="s">
        <v>429</v>
      </c>
      <c r="P2" s="1662"/>
      <c r="Q2" s="1662"/>
      <c r="R2" s="1664" t="s">
        <v>428</v>
      </c>
      <c r="S2" s="1664" t="s">
        <v>428</v>
      </c>
      <c r="T2" s="1662"/>
      <c r="U2" s="1662"/>
    </row>
    <row s="3195" customFormat="1" customHeight="1" ht="14.25" hidden="1">
      <c r="C3" s="1659"/>
      <c r="D3" s="2087"/>
      <c r="E3" s="2089"/>
      <c r="F3" s="411"/>
      <c r="G3" s="875"/>
      <c r="H3" s="875" t="s">
        <v>430</v>
      </c>
      <c r="I3" s="303"/>
      <c r="L3" s="1662"/>
      <c r="M3" s="1662"/>
      <c r="N3" s="1662"/>
      <c r="O3" s="1662"/>
      <c r="P3" s="1662"/>
      <c r="Q3" s="1662"/>
      <c r="R3" s="1664"/>
      <c r="S3" s="1664"/>
      <c r="T3" s="1662"/>
      <c r="U3" s="1662"/>
    </row>
    <row customHeight="1" ht="14.25" hidden="1"/>
    <row s="3206" customFormat="1" customHeight="1" ht="6">
      <c r="C5" s="707"/>
      <c r="D5" s="708"/>
      <c r="E5" s="708"/>
      <c r="F5" s="708"/>
      <c r="G5" s="708"/>
      <c r="H5" s="708" t="s">
        <v>403</v>
      </c>
      <c r="I5" s="708"/>
      <c r="J5" s="708"/>
      <c r="L5" s="1654"/>
      <c r="M5" s="1654"/>
      <c r="N5" s="1654"/>
      <c r="O5" s="1654"/>
      <c r="P5" s="1654"/>
      <c r="Q5" s="1654"/>
      <c r="R5" s="1654"/>
      <c r="S5" s="1654"/>
      <c r="T5" s="1654"/>
      <c r="U5" s="1654"/>
    </row>
    <row customHeight="1" ht="27.75">
      <c r="C6" s="1546"/>
      <c r="D6" s="2085" t="s">
        <v>431</v>
      </c>
      <c r="E6" s="2085"/>
      <c r="F6" s="2085"/>
      <c r="G6" s="2085"/>
      <c r="H6" s="2085"/>
      <c r="I6" s="2085"/>
      <c r="J6" s="497"/>
      <c r="K6" s="1655"/>
    </row>
    <row customHeight="1" ht="17.25">
      <c r="C7" s="1546"/>
      <c r="D7" s="2053" t="str">
        <f>IF(org=0,"Не определено",org)</f>
        <v>АО "Мурманэнергосбыт"</v>
      </c>
      <c r="E7" s="2053"/>
      <c r="F7" s="2053"/>
      <c r="G7" s="2053"/>
      <c r="H7" s="2053"/>
      <c r="I7" s="2053"/>
      <c r="J7" s="497"/>
      <c r="K7" s="1655"/>
    </row>
    <row s="3211" customFormat="1" customHeight="1" ht="6">
      <c r="A8" s="1651"/>
      <c r="C8" s="492"/>
      <c r="D8" s="491"/>
      <c r="E8" s="491"/>
      <c r="F8" s="491"/>
      <c r="G8" s="491"/>
      <c r="H8" s="491"/>
      <c r="I8" s="491"/>
      <c r="J8" s="491"/>
      <c r="L8" s="1654"/>
      <c r="M8" s="1654"/>
      <c r="N8" s="1654"/>
      <c r="O8" s="1654"/>
      <c r="P8" s="1654"/>
      <c r="Q8" s="1654"/>
      <c r="R8" s="1654"/>
      <c r="S8" s="1654"/>
      <c r="T8" s="1654"/>
      <c r="U8" s="1654"/>
    </row>
    <row s="3211"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345</v>
      </c>
      <c r="E10" s="2083"/>
      <c r="F10" s="2083"/>
      <c r="G10" s="2083"/>
      <c r="H10" s="2083"/>
      <c r="I10" s="2083"/>
      <c r="J10" s="2067" t="s">
        <v>346</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432</v>
      </c>
      <c r="I11" s="2028" t="s">
        <v>433</v>
      </c>
      <c r="J11" s="2067"/>
    </row>
    <row customHeight="1" ht="14.25">
      <c r="C12" s="1546"/>
      <c r="D12" s="1971"/>
      <c r="E12" s="2067"/>
      <c r="F12" s="2037"/>
      <c r="G12" s="2038"/>
      <c r="H12" s="2090"/>
      <c r="I12" s="2090"/>
      <c r="J12" s="2067"/>
    </row>
    <row s="2611" customFormat="1" customHeight="1" ht="11.25" hidden="1">
      <c r="C13" s="504"/>
      <c r="D13" s="505" t="s">
        <v>423</v>
      </c>
      <c r="E13" s="505"/>
      <c r="F13" s="505"/>
      <c r="G13" s="505"/>
      <c r="H13" s="503"/>
      <c r="I13" s="503"/>
      <c r="J13" s="441"/>
      <c r="L13" s="1654"/>
      <c r="M13" s="1654"/>
      <c r="N13" s="1654"/>
      <c r="O13" s="1654"/>
      <c r="P13" s="1654"/>
      <c r="Q13" s="1654"/>
      <c r="R13" s="1654"/>
      <c r="S13" s="1654"/>
      <c r="T13" s="1654"/>
      <c r="U13" s="1654"/>
    </row>
    <row customHeight="1" ht="14.25">
      <c r="A14" s="1647"/>
      <c r="C14" s="1546"/>
      <c r="D14" s="2086" t="s">
        <v>128</v>
      </c>
      <c r="E14" s="2088"/>
      <c r="F14" s="1657"/>
      <c r="G14" s="1656" t="s">
        <v>128</v>
      </c>
      <c r="H14" s="1663"/>
      <c r="I14" s="1661"/>
      <c r="J14" s="2015" t="s">
        <v>434</v>
      </c>
      <c r="K14" s="1647"/>
      <c r="R14" s="506" t="s">
        <v>428</v>
      </c>
      <c r="S14" s="506" t="s">
        <v>428</v>
      </c>
    </row>
    <row customHeight="1" ht="14.25">
      <c r="A15" s="1647"/>
      <c r="C15" s="1546"/>
      <c r="D15" s="2087"/>
      <c r="E15" s="2089"/>
      <c r="F15" s="411"/>
      <c r="G15" s="875"/>
      <c r="H15" s="875" t="s">
        <v>430</v>
      </c>
      <c r="I15" s="303"/>
      <c r="J15" s="2016"/>
      <c r="K15" s="1647"/>
      <c r="R15" s="506"/>
      <c r="S15" s="506"/>
    </row>
    <row customHeight="1" ht="14.25">
      <c r="A16" s="1647"/>
      <c r="C16" s="1546"/>
      <c r="D16" s="411"/>
      <c r="E16" s="875" t="s">
        <v>138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18794-D017-4696-36C8-066124DE62A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91" width="9.140625" hidden="1" customWidth="1"/>
    <col min="2" max="2" style="3170" width="9.140625" hidden="1" customWidth="1"/>
    <col min="3" max="3" style="2624" width="9.140625" hidden="1" customWidth="1"/>
    <col min="4" max="4" style="3192" width="3.7109375" customWidth="1"/>
    <col min="5" max="5" style="3170" width="6.28125" customWidth="1"/>
    <col min="6" max="6" style="2624" width="1.7109375" hidden="1" customWidth="1"/>
    <col min="7" max="8" style="3170" width="30.7109375" customWidth="1"/>
    <col min="9" max="9" style="3170" width="9.00390625" customWidth="1"/>
    <col min="10" max="10" style="3170" width="12.140625" customWidth="1"/>
    <col min="11" max="11" style="3170" width="46.7109375" customWidth="1"/>
    <col min="12" max="12" style="3170" width="100.28125" customWidth="1"/>
    <col min="13" max="13" style="3194" width="7.57421875" customWidth="1"/>
    <col min="14" max="22" style="3170" width="10.57421875"/>
  </cols>
  <sheetData>
    <row s="3147" customFormat="1" customHeight="1" ht="5.25" hidden="1">
      <c r="C1" s="517"/>
      <c r="D1" s="500"/>
      <c r="F1" s="517"/>
      <c r="G1" s="495" t="s">
        <v>82</v>
      </c>
      <c r="H1" s="495" t="s">
        <v>83</v>
      </c>
      <c r="I1" s="495" t="s">
        <v>84</v>
      </c>
      <c r="P1" s="495" t="s">
        <v>82</v>
      </c>
      <c r="Q1" s="495" t="s">
        <v>83</v>
      </c>
      <c r="R1" s="495" t="s">
        <v>84</v>
      </c>
    </row>
    <row s="3147" customFormat="1" customHeight="1" ht="5.25" hidden="1">
      <c r="C2" s="517"/>
      <c r="D2" s="500"/>
      <c r="F2" s="517"/>
    </row>
    <row s="3142" customFormat="1" customHeight="1" ht="6">
      <c r="A3" s="485"/>
      <c r="D3" s="492"/>
      <c r="E3" s="487"/>
      <c r="F3" s="487"/>
      <c r="G3" s="487"/>
      <c r="H3" s="487"/>
      <c r="I3" s="488"/>
      <c r="J3" s="489"/>
      <c r="K3" s="489"/>
      <c r="L3" s="489"/>
    </row>
    <row customHeight="1" ht="22.5">
      <c r="D4" s="456"/>
      <c r="E4" s="2091" t="s">
        <v>435</v>
      </c>
      <c r="F4" s="2091"/>
      <c r="G4" s="2092"/>
      <c r="H4" s="2092"/>
      <c r="I4" s="2093"/>
      <c r="J4" s="497"/>
      <c r="K4" s="459"/>
      <c r="L4" s="459"/>
    </row>
    <row s="2624" customFormat="1" customHeight="1" ht="17.25">
      <c r="A5" s="765"/>
      <c r="D5" s="828"/>
      <c r="E5" s="2079" t="str">
        <f>IF(org=0,"Не определено",org)</f>
        <v>АО "Мурманэнергосбыт"</v>
      </c>
      <c r="F5" s="2079"/>
      <c r="G5" s="2080"/>
      <c r="H5" s="2080"/>
      <c r="I5" s="2081"/>
      <c r="J5" s="497"/>
      <c r="K5" s="459"/>
      <c r="L5" s="459"/>
      <c r="M5" s="513"/>
    </row>
    <row s="3142" customFormat="1" customHeight="1" ht="11.25">
      <c r="A6" s="485"/>
      <c r="D6" s="492"/>
      <c r="E6" s="487"/>
      <c r="F6" s="487"/>
      <c r="G6" s="490"/>
      <c r="H6" s="490"/>
      <c r="I6" s="491"/>
      <c r="J6" s="491"/>
      <c r="K6" s="758"/>
      <c r="L6" s="491"/>
    </row>
    <row customHeight="1" ht="14.25">
      <c r="D7" s="456"/>
      <c r="E7" s="2061" t="s">
        <v>345</v>
      </c>
      <c r="F7" s="2061"/>
      <c r="G7" s="2062"/>
      <c r="H7" s="2062"/>
      <c r="I7" s="2062"/>
      <c r="J7" s="2062"/>
      <c r="K7" s="2062"/>
      <c r="L7" s="2067" t="s">
        <v>346</v>
      </c>
    </row>
    <row customHeight="1" ht="45">
      <c r="D8" s="456"/>
      <c r="E8" s="479" t="s">
        <v>87</v>
      </c>
      <c r="F8" s="829"/>
      <c r="G8" s="471" t="s">
        <v>85</v>
      </c>
      <c r="H8" s="471" t="s">
        <v>86</v>
      </c>
      <c r="I8" s="420" t="s">
        <v>84</v>
      </c>
      <c r="J8" s="420" t="s">
        <v>436</v>
      </c>
      <c r="K8" s="420" t="s">
        <v>437</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438</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42" customFormat="1" customHeight="1" ht="14.25">
      <c r="A12" s="1953"/>
      <c r="B12" s="510"/>
      <c r="C12" s="510"/>
      <c r="D12" s="872"/>
      <c r="E12" s="829">
        <v>1</v>
      </c>
      <c r="F12" s="870">
        <v>23</v>
      </c>
      <c r="G12" s="869"/>
      <c r="H12" s="799"/>
      <c r="I12" s="797"/>
      <c r="J12" s="526" t="s">
        <v>61</v>
      </c>
      <c r="K12" s="1172" t="s">
        <v>24</v>
      </c>
      <c r="L12" s="2094"/>
      <c r="M12" s="517"/>
      <c r="N12" s="517"/>
      <c r="O12" s="517"/>
      <c r="P12" s="522" t="s">
        <v>439</v>
      </c>
      <c r="Q12" s="522" t="s">
        <v>440</v>
      </c>
      <c r="R12" s="523" t="s">
        <v>441</v>
      </c>
      <c r="S12" s="517" t="s">
        <v>442</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A559E-FB6C-1FA8-1B99-D3D9EDE95D5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1" width="19.140625" hidden="1" customWidth="1"/>
    <col min="13" max="14" style="3332" width="12.28125" hidden="1" customWidth="1"/>
    <col min="15" max="15" style="3332" width="23.421875" hidden="1" customWidth="1"/>
    <col min="16" max="16" style="3408" width="3.7109375" customWidth="1"/>
    <col min="17" max="18" style="3409" width="3.7109375" customWidth="1"/>
    <col min="19" max="19" style="3410" width="12.7109375" customWidth="1"/>
    <col min="20" max="20" style="2983" width="35.7109375" customWidth="1"/>
    <col min="21" max="21" style="2983" width="0.140625" customWidth="1"/>
    <col min="22" max="22" style="2983" width="24.7109375" hidden="1" customWidth="1"/>
    <col min="23" max="23" style="2983" width="0.140625" hidden="1" customWidth="1"/>
    <col min="24" max="25" style="2983" width="24.7109375" hidden="1" customWidth="1"/>
    <col min="26" max="26" style="2983" width="11.7109375" hidden="1" customWidth="1"/>
    <col min="27" max="27" style="2983" width="3.7109375" hidden="1" customWidth="1"/>
    <col min="28" max="28" style="2983" width="11.7109375" hidden="1" customWidth="1"/>
    <col min="29" max="29" style="2983" width="8.57421875" hidden="1" customWidth="1"/>
    <col min="30" max="30" style="2983" width="24.7109375" customWidth="1"/>
    <col min="31" max="31" style="2983" width="0.140625" customWidth="1"/>
    <col min="32" max="33" style="2983" width="24.7109375" customWidth="1"/>
    <col min="34" max="34" style="2983" width="11.7109375" customWidth="1"/>
    <col min="35" max="35" style="2983" width="3.7109375" customWidth="1"/>
    <col min="36" max="36" style="2983" width="11.7109375" customWidth="1"/>
    <col min="37" max="37" style="2983" width="8.57421875" hidden="1" customWidth="1"/>
    <col min="38" max="38" style="2983" width="4.7109375" customWidth="1"/>
    <col min="39" max="39" style="2983"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140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443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444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445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446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447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448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449</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450</v>
      </c>
      <c r="M6" s="543"/>
      <c r="P6" s="2111">
        <v>1</v>
      </c>
      <c r="Q6" s="1335"/>
      <c r="R6" s="352"/>
      <c r="S6" s="1339">
        <f>$I6</f>
      </c>
      <c r="T6" s="273" t="s">
        <v>451</v>
      </c>
      <c r="U6" s="288"/>
      <c r="V6" s="2095"/>
      <c r="W6" s="2096"/>
      <c r="X6" s="2096"/>
      <c r="Y6" s="2096"/>
      <c r="Z6" s="2096"/>
      <c r="AA6" s="2096"/>
      <c r="AB6" s="2096"/>
      <c r="AC6" s="2097"/>
      <c r="AD6" s="2095"/>
      <c r="AE6" s="2096"/>
      <c r="AF6" s="2096"/>
      <c r="AG6" s="2096"/>
      <c r="AH6" s="2096"/>
      <c r="AI6" s="2096"/>
      <c r="AJ6" s="2096"/>
      <c r="AK6" s="2096"/>
      <c r="AL6" s="2097"/>
      <c r="AM6" s="1286" t="s">
        <v>452</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453</v>
      </c>
      <c r="M7" s="543"/>
      <c r="N7" s="1396"/>
      <c r="P7" s="2111"/>
      <c r="Q7" s="2111">
        <v>1</v>
      </c>
      <c r="R7" s="353"/>
      <c r="S7" s="1339">
        <f>$J7</f>
      </c>
      <c r="T7" s="274" t="s">
        <v>454</v>
      </c>
      <c r="U7" s="288"/>
      <c r="V7" s="2095"/>
      <c r="W7" s="2096"/>
      <c r="X7" s="2096"/>
      <c r="Y7" s="2096"/>
      <c r="Z7" s="2096"/>
      <c r="AA7" s="2096"/>
      <c r="AB7" s="2096"/>
      <c r="AC7" s="2097"/>
      <c r="AD7" s="2095"/>
      <c r="AE7" s="2096"/>
      <c r="AF7" s="2096"/>
      <c r="AG7" s="2096"/>
      <c r="AH7" s="2096"/>
      <c r="AI7" s="2096"/>
      <c r="AJ7" s="2096"/>
      <c r="AK7" s="2096"/>
      <c r="AL7" s="2097"/>
      <c r="AM7" s="1286" t="s">
        <v>455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456</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457</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458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459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460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191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192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2683" customFormat="1" customHeight="1" ht="22.5" hidden="1">
      <c r="L20" s="1359"/>
      <c r="M20" s="1392"/>
      <c r="N20" s="1392"/>
      <c r="O20" s="1397" t="s">
        <v>461</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462</v>
      </c>
      <c r="P22" s="1392"/>
      <c r="Q22" s="1401"/>
      <c r="R22" s="1401"/>
      <c r="S22" s="735"/>
      <c r="T22" s="1168" t="s">
        <v>463</v>
      </c>
      <c r="AA22" s="172" t="s">
        <v>464</v>
      </c>
      <c r="AC22" s="172" t="s">
        <v>465</v>
      </c>
      <c r="AD22" s="1168" t="s">
        <v>463</v>
      </c>
      <c r="AI22" s="172" t="s">
        <v>466</v>
      </c>
      <c r="AK22" s="172" t="s">
        <v>465</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3" customFormat="1" customHeight="1" ht="18.75">
      <c r="A30" s="1398"/>
      <c r="B30" s="1398"/>
      <c r="C30" s="1398"/>
      <c r="D30" s="1398"/>
      <c r="E30" s="1398"/>
      <c r="F30" s="1398"/>
      <c r="G30" s="1398"/>
      <c r="H30" s="1398"/>
      <c r="I30" s="1398"/>
      <c r="J30" s="1398"/>
      <c r="K30" s="1398"/>
      <c r="L30" s="1399"/>
      <c r="M30" s="1398"/>
      <c r="N30" s="1398"/>
      <c r="O30" s="1398"/>
      <c r="S30" s="2098" t="s">
        <v>467</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43" customFormat="1" customHeight="1" ht="18.75">
      <c r="A31" s="1398"/>
      <c r="B31" s="1398"/>
      <c r="C31" s="1398"/>
      <c r="D31" s="1398"/>
      <c r="E31" s="1398"/>
      <c r="F31" s="1398"/>
      <c r="G31" s="1398"/>
      <c r="H31" s="1398"/>
      <c r="I31" s="1398"/>
      <c r="J31" s="1398"/>
      <c r="K31" s="1398"/>
      <c r="L31" s="1399"/>
      <c r="M31" s="1398"/>
      <c r="N31" s="1398"/>
      <c r="O31" s="1398"/>
      <c r="S31" s="2098" t="s">
        <v>468</v>
      </c>
      <c r="T31" s="2098"/>
      <c r="U31" s="1402"/>
      <c r="V31" s="2100" t="str">
        <f>IF(TITLE_NUMBER_PR_CHANGE="",IF(TITLE_NUMBER_PR="","",TITLE_NUMBER_PR),TITLE_NUMBER_PR_CHANGE)</f>
        <v>51/11</v>
      </c>
      <c r="W31" s="2100"/>
      <c r="X31" s="2100"/>
      <c r="Y31" s="2100"/>
      <c r="Z31" s="2100"/>
      <c r="AA31" s="2100"/>
      <c r="AB31" s="2100"/>
      <c r="AC31" s="322"/>
      <c r="AD31" s="2100" t="str">
        <f>IF(TITLE_NUMBER_PR_CHANGE="",IF(TITLE_NUMBER_PR="","",TITLE_NUMBER_PR),TITLE_NUMBER_PR_CHANGE)</f>
        <v>51/11</v>
      </c>
      <c r="AE31" s="2100"/>
      <c r="AF31" s="2100"/>
      <c r="AG31" s="2100"/>
      <c r="AH31" s="2100"/>
      <c r="AI31" s="2100"/>
      <c r="AJ31" s="2100"/>
      <c r="AK31" s="322"/>
      <c r="AL31" s="322"/>
      <c r="AM31" s="268"/>
      <c r="AN31" s="368"/>
      <c r="AO31" s="368"/>
      <c r="AP31" s="368"/>
      <c r="AQ31" s="368"/>
      <c r="AR31" s="368"/>
    </row>
    <row s="334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https://npa.gov-murman.ru/bitrix/components/b1team/govmurman.element.file/download.php?ID=508451&amp;FID=750724</v>
      </c>
      <c r="W32" s="2100"/>
      <c r="X32" s="2100"/>
      <c r="Y32" s="2100"/>
      <c r="Z32" s="2100"/>
      <c r="AA32" s="2100"/>
      <c r="AB32" s="2100"/>
      <c r="AC32" s="322"/>
      <c r="AD32" s="2100" t="str">
        <f>IF(TITLE_IST_PUB_CHANGE="",IF(TITLE_IST_PUB="","",TITLE_IST_PUB),TITLE_IST_PUB_CHANGE)</f>
        <v>https://npa.gov-murman.ru/bitrix/components/b1team/govmurman.element.file/download.php?ID=508451&amp;FID=750724</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3" customFormat="1" customHeight="1" ht="18.75" hidden="1">
      <c r="A34" s="1398"/>
      <c r="B34" s="1398"/>
      <c r="C34" s="1398"/>
      <c r="D34" s="1398"/>
      <c r="E34" s="1398"/>
      <c r="F34" s="1398"/>
      <c r="G34" s="1398"/>
      <c r="H34" s="1398"/>
      <c r="I34" s="1398"/>
      <c r="J34" s="1398"/>
      <c r="K34" s="1398"/>
      <c r="L34" s="1399"/>
      <c r="M34" s="1398"/>
      <c r="N34" s="1398"/>
      <c r="O34" s="1398"/>
      <c r="S34" s="2098" t="s">
        <v>469</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43" customFormat="1" customHeight="1" ht="18.75" hidden="1">
      <c r="A35" s="1398"/>
      <c r="B35" s="1398"/>
      <c r="C35" s="1398"/>
      <c r="D35" s="1398"/>
      <c r="E35" s="1398"/>
      <c r="F35" s="1398"/>
      <c r="G35" s="1398"/>
      <c r="H35" s="1398"/>
      <c r="I35" s="1398"/>
      <c r="J35" s="1398"/>
      <c r="K35" s="1398"/>
      <c r="L35" s="1399"/>
      <c r="M35" s="1398"/>
      <c r="N35" s="1398"/>
      <c r="O35" s="1398"/>
      <c r="S35" s="2098" t="s">
        <v>470</v>
      </c>
      <c r="T35" s="2098"/>
      <c r="U35" s="1402"/>
      <c r="V35" s="2100" t="str">
        <f>IF(TITLE_NUMBER_PR_CHANGE="",IF(TITLE_NUMBER_PR="","",TITLE_NUMBER_PR),TITLE_NUMBER_PR_CHANGE)</f>
        <v>51/11</v>
      </c>
      <c r="W35" s="2100"/>
      <c r="X35" s="2100"/>
      <c r="Y35" s="2100"/>
      <c r="Z35" s="2100"/>
      <c r="AA35" s="2100"/>
      <c r="AB35" s="2100"/>
      <c r="AC35" s="322"/>
      <c r="AD35" s="2100" t="str">
        <f>IF(TITLE_NUMBER_PR_CHANGE="",IF(TITLE_NUMBER_PR="","",TITLE_NUMBER_PR),TITLE_NUMBER_PR_CHANGE)</f>
        <v>51/11</v>
      </c>
      <c r="AE35" s="2100"/>
      <c r="AF35" s="2100"/>
      <c r="AG35" s="2100"/>
      <c r="AH35" s="2100"/>
      <c r="AI35" s="2100"/>
      <c r="AJ35" s="2100"/>
      <c r="AK35" s="322"/>
      <c r="AL35" s="322"/>
      <c r="AM35" s="268"/>
      <c r="AN35" s="368"/>
      <c r="AO35" s="368"/>
      <c r="AP35" s="368"/>
      <c r="AQ35" s="368"/>
      <c r="AR35" s="368"/>
    </row>
    <row s="3343"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471</v>
      </c>
      <c r="AD36" s="322"/>
      <c r="AE36" s="322"/>
      <c r="AF36" s="322"/>
      <c r="AG36" s="322"/>
      <c r="AH36" s="322"/>
      <c r="AI36" s="322"/>
      <c r="AJ36" s="322"/>
      <c r="AK36" s="266" t="s">
        <v>471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345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346</v>
      </c>
    </row>
    <row customHeight="1" ht="14.25">
      <c r="Q39" s="377"/>
      <c r="R39" s="377"/>
      <c r="S39" s="2125" t="s">
        <v>87</v>
      </c>
      <c r="T39" s="2062" t="s">
        <v>472</v>
      </c>
      <c r="U39" s="289"/>
      <c r="V39" s="2126" t="s">
        <v>473</v>
      </c>
      <c r="W39" s="2127"/>
      <c r="X39" s="2127"/>
      <c r="Y39" s="2127"/>
      <c r="Z39" s="2127"/>
      <c r="AA39" s="2127"/>
      <c r="AB39" s="2128"/>
      <c r="AC39" s="2129" t="s">
        <v>474</v>
      </c>
      <c r="AD39" s="2126" t="s">
        <v>473</v>
      </c>
      <c r="AE39" s="2127"/>
      <c r="AF39" s="2127"/>
      <c r="AG39" s="2127"/>
      <c r="AH39" s="2127"/>
      <c r="AI39" s="2127"/>
      <c r="AJ39" s="2128"/>
      <c r="AK39" s="2129" t="s">
        <v>475</v>
      </c>
      <c r="AL39" s="2132" t="s">
        <v>476</v>
      </c>
      <c r="AM39" s="1971"/>
    </row>
    <row customHeight="1" ht="33.75">
      <c r="Q40" s="377"/>
      <c r="R40" s="377"/>
      <c r="S40" s="2125"/>
      <c r="T40" s="2062"/>
      <c r="U40" s="1038"/>
      <c r="V40" s="2135" t="s">
        <v>477</v>
      </c>
      <c r="W40" s="2116" t="s">
        <v>478</v>
      </c>
      <c r="X40" s="2118" t="s">
        <v>479</v>
      </c>
      <c r="Y40" s="2120"/>
      <c r="Z40" s="2118" t="s">
        <v>480</v>
      </c>
      <c r="AA40" s="2119"/>
      <c r="AB40" s="2120"/>
      <c r="AC40" s="2130"/>
      <c r="AD40" s="2135" t="s">
        <v>477</v>
      </c>
      <c r="AE40" s="2116" t="s">
        <v>478</v>
      </c>
      <c r="AF40" s="2118" t="s">
        <v>479</v>
      </c>
      <c r="AG40" s="2120"/>
      <c r="AH40" s="2118" t="s">
        <v>480</v>
      </c>
      <c r="AI40" s="2119"/>
      <c r="AJ40" s="2120"/>
      <c r="AK40" s="2130"/>
      <c r="AL40" s="2133"/>
      <c r="AM40" s="1971"/>
    </row>
    <row customHeight="1" ht="33.75">
      <c r="A41" s="1400"/>
      <c r="B41" s="1400" t="s">
        <v>152</v>
      </c>
      <c r="C41" s="1400" t="s">
        <v>153</v>
      </c>
      <c r="D41" s="1400" t="s">
        <v>154</v>
      </c>
      <c r="E41" s="1394" t="s">
        <v>481</v>
      </c>
      <c r="F41" s="1394" t="s">
        <v>482</v>
      </c>
      <c r="G41" s="1394" t="s">
        <v>483</v>
      </c>
      <c r="H41" s="1394" t="s">
        <v>484</v>
      </c>
      <c r="I41" s="1394" t="s">
        <v>485</v>
      </c>
      <c r="J41" s="1394" t="s">
        <v>486</v>
      </c>
      <c r="K41" s="1394" t="s">
        <v>487</v>
      </c>
      <c r="L41" s="1394" t="s">
        <v>462</v>
      </c>
      <c r="Q41" s="377"/>
      <c r="R41" s="377"/>
      <c r="S41" s="2125"/>
      <c r="T41" s="2062"/>
      <c r="U41" s="290"/>
      <c r="V41" s="2136"/>
      <c r="W41" s="2117"/>
      <c r="X41" s="1237" t="s">
        <v>488</v>
      </c>
      <c r="Y41" s="1237" t="s">
        <v>489</v>
      </c>
      <c r="Z41" s="1236" t="s">
        <v>490</v>
      </c>
      <c r="AA41" s="2121" t="s">
        <v>491</v>
      </c>
      <c r="AB41" s="2122"/>
      <c r="AC41" s="2131"/>
      <c r="AD41" s="2136"/>
      <c r="AE41" s="2117"/>
      <c r="AF41" s="1237" t="s">
        <v>488</v>
      </c>
      <c r="AG41" s="1237" t="s">
        <v>489</v>
      </c>
      <c r="AH41" s="1343" t="s">
        <v>490</v>
      </c>
      <c r="AI41" s="2121" t="s">
        <v>491</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128</v>
      </c>
      <c r="T42" s="1281" t="s">
        <v>102</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172</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140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172</v>
      </c>
      <c r="B44" s="1393" t="s">
        <v>173</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444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445</v>
      </c>
      <c r="AO44" s="506"/>
      <c r="AP44" s="506" t="str">
        <f>IF(T44="","",T44)</f>
        <v>Территория действия тарифа</v>
      </c>
      <c r="AQ44" s="506"/>
      <c r="AR44" s="506"/>
    </row>
    <row customHeight="1" ht="23.25">
      <c r="A45" s="1393" t="s">
        <v>172</v>
      </c>
      <c r="B45" s="1393" t="s">
        <v>173</v>
      </c>
      <c r="C45" s="1393" t="s">
        <v>174</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446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447</v>
      </c>
      <c r="AO45" s="506"/>
      <c r="AP45" s="506" t="str">
        <f>IF(T45="","",T45)</f>
        <v>Наименование системы теплоснабжения </v>
      </c>
      <c r="AQ45" s="506"/>
      <c r="AR45" s="506"/>
    </row>
    <row customHeight="1" ht="23.25">
      <c r="A46" s="1393" t="s">
        <v>172</v>
      </c>
      <c r="B46" s="1393" t="s">
        <v>173</v>
      </c>
      <c r="C46" s="1393" t="s">
        <v>174</v>
      </c>
      <c r="D46" s="1393" t="s">
        <v>175</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448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449</v>
      </c>
      <c r="AO46" s="506"/>
      <c r="AP46" s="506" t="str">
        <f>IF(T46="","",T46)</f>
        <v>Источник тепловой энергии  </v>
      </c>
      <c r="AQ46" s="506"/>
      <c r="AR46" s="506"/>
    </row>
    <row customHeight="1" ht="47.25">
      <c r="A47" s="1393" t="s">
        <v>172</v>
      </c>
      <c r="B47" s="1393" t="s">
        <v>173</v>
      </c>
      <c r="C47" s="1393" t="s">
        <v>174</v>
      </c>
      <c r="D47" s="1393" t="s">
        <v>175</v>
      </c>
      <c r="E47" s="2108"/>
      <c r="F47" s="2108"/>
      <c r="G47" s="2108"/>
      <c r="H47" s="2108"/>
      <c r="I47" s="2109" t="str">
        <f>S46&amp;".1"</f>
        <v>....1</v>
      </c>
      <c r="J47" s="1393"/>
      <c r="K47" s="1393"/>
      <c r="L47" s="1394" t="s">
        <v>450</v>
      </c>
      <c r="P47" s="2111">
        <v>1</v>
      </c>
      <c r="Q47" s="1235"/>
      <c r="R47" s="352"/>
      <c r="S47" s="1241" t="str">
        <f>$I47</f>
        <v>....1</v>
      </c>
      <c r="T47" s="273" t="s">
        <v>451</v>
      </c>
      <c r="U47" s="288"/>
      <c r="V47" s="2095"/>
      <c r="W47" s="2096"/>
      <c r="X47" s="2096"/>
      <c r="Y47" s="2096"/>
      <c r="Z47" s="2096"/>
      <c r="AA47" s="2096"/>
      <c r="AB47" s="2096"/>
      <c r="AC47" s="2097"/>
      <c r="AD47" s="2095"/>
      <c r="AE47" s="2096"/>
      <c r="AF47" s="2096"/>
      <c r="AG47" s="2096"/>
      <c r="AH47" s="2096"/>
      <c r="AI47" s="2096"/>
      <c r="AJ47" s="2096"/>
      <c r="AK47" s="2096"/>
      <c r="AL47" s="2097"/>
      <c r="AM47" s="1286" t="s">
        <v>452</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172</v>
      </c>
      <c r="B48" s="1393" t="s">
        <v>173</v>
      </c>
      <c r="C48" s="1393" t="s">
        <v>174</v>
      </c>
      <c r="D48" s="1393" t="s">
        <v>175</v>
      </c>
      <c r="E48" s="2108"/>
      <c r="F48" s="2108"/>
      <c r="G48" s="2108"/>
      <c r="H48" s="2108"/>
      <c r="I48" s="2110"/>
      <c r="J48" s="2109" t="str">
        <f>I47&amp;".1"</f>
        <v>....1.1</v>
      </c>
      <c r="K48" s="1393"/>
      <c r="L48" s="1394" t="s">
        <v>453</v>
      </c>
      <c r="P48" s="2111"/>
      <c r="Q48" s="2111">
        <v>1</v>
      </c>
      <c r="R48" s="353"/>
      <c r="S48" s="1241" t="str">
        <f>$J48</f>
        <v>....1.1</v>
      </c>
      <c r="T48" s="274" t="s">
        <v>454</v>
      </c>
      <c r="U48" s="288"/>
      <c r="V48" s="2095"/>
      <c r="W48" s="2096"/>
      <c r="X48" s="2096"/>
      <c r="Y48" s="2096"/>
      <c r="Z48" s="2096"/>
      <c r="AA48" s="2096"/>
      <c r="AB48" s="2096"/>
      <c r="AC48" s="2097"/>
      <c r="AD48" s="2095"/>
      <c r="AE48" s="2096"/>
      <c r="AF48" s="2096"/>
      <c r="AG48" s="2096"/>
      <c r="AH48" s="2096"/>
      <c r="AI48" s="2096"/>
      <c r="AJ48" s="2096"/>
      <c r="AK48" s="2096"/>
      <c r="AL48" s="2097"/>
      <c r="AM48" s="1286" t="s">
        <v>455</v>
      </c>
      <c r="AO48" s="506"/>
      <c r="AP48" s="506" t="str">
        <f>IF(T48="","",T48)</f>
        <v>Группа потребителей</v>
      </c>
      <c r="AQ48" s="506"/>
      <c r="AR48" s="506"/>
    </row>
    <row customHeight="1" ht="23.25">
      <c r="A49" s="1393" t="s">
        <v>172</v>
      </c>
      <c r="B49" s="1393" t="s">
        <v>173</v>
      </c>
      <c r="C49" s="1393" t="s">
        <v>174</v>
      </c>
      <c r="D49" s="1393" t="s">
        <v>175</v>
      </c>
      <c r="E49" s="2108"/>
      <c r="F49" s="2108"/>
      <c r="G49" s="2108"/>
      <c r="H49" s="2108"/>
      <c r="I49" s="2110"/>
      <c r="J49" s="2110"/>
      <c r="K49" s="2109" t="str">
        <f>J48&amp;".1"</f>
        <v>....1.1.1</v>
      </c>
      <c r="L49" s="1394" t="s">
        <v>456</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457</v>
      </c>
      <c r="AN49" s="517">
        <f>STRCHECKDATE(V50:AL50)</f>
      </c>
      <c r="AO49" s="506"/>
      <c r="AP49" s="506" t="str">
        <f>IF(T49="","",T49)</f>
        <v/>
      </c>
      <c r="AQ49" s="506"/>
      <c r="AR49" s="506"/>
    </row>
    <row customHeight="1" ht="0.75">
      <c r="A50" s="1393" t="s">
        <v>172</v>
      </c>
      <c r="B50" s="1393" t="s">
        <v>173</v>
      </c>
      <c r="C50" s="1393" t="s">
        <v>174</v>
      </c>
      <c r="D50" s="1393" t="s">
        <v>175</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172</v>
      </c>
      <c r="B51" s="1393" t="s">
        <v>173</v>
      </c>
      <c r="C51" s="1393" t="s">
        <v>174</v>
      </c>
      <c r="D51" s="1393" t="s">
        <v>175</v>
      </c>
      <c r="E51" s="2108"/>
      <c r="F51" s="2108"/>
      <c r="G51" s="2108"/>
      <c r="H51" s="2108"/>
      <c r="I51" s="2110"/>
      <c r="J51" s="2109"/>
      <c r="K51" s="1393"/>
      <c r="L51" s="1394"/>
      <c r="P51" s="2111"/>
      <c r="Q51" s="2111"/>
      <c r="R51" s="352"/>
      <c r="S51" s="1308"/>
      <c r="T51" s="276" t="s">
        <v>458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172</v>
      </c>
      <c r="B52" s="1393" t="s">
        <v>173</v>
      </c>
      <c r="C52" s="1393" t="s">
        <v>174</v>
      </c>
      <c r="D52" s="1393" t="s">
        <v>175</v>
      </c>
      <c r="E52" s="2108"/>
      <c r="F52" s="2108"/>
      <c r="G52" s="2108"/>
      <c r="H52" s="2108"/>
      <c r="I52" s="2109"/>
      <c r="J52" s="1393"/>
      <c r="K52" s="1393"/>
      <c r="L52" s="1394"/>
      <c r="P52" s="2111"/>
      <c r="Q52" s="1235"/>
      <c r="R52" s="352"/>
      <c r="S52" s="1308"/>
      <c r="T52" s="275" t="s">
        <v>459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172</v>
      </c>
      <c r="B53" s="1393" t="s">
        <v>173</v>
      </c>
      <c r="C53" s="1393" t="s">
        <v>174</v>
      </c>
      <c r="D53" s="1393" t="s">
        <v>175</v>
      </c>
      <c r="E53" s="2108"/>
      <c r="F53" s="2108"/>
      <c r="G53" s="2108"/>
      <c r="H53" s="2107"/>
      <c r="I53" s="1393"/>
      <c r="J53" s="1393"/>
      <c r="K53" s="1393"/>
      <c r="L53" s="1394"/>
      <c r="M53" s="1395"/>
      <c r="N53" s="1395"/>
      <c r="O53" s="543"/>
      <c r="P53" s="356"/>
      <c r="Q53" s="376"/>
      <c r="R53" s="351"/>
      <c r="S53" s="1308"/>
      <c r="T53" s="364" t="s">
        <v>460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2" customFormat="1" customHeight="1" ht="0.75">
      <c r="A54" s="1373" t="s">
        <v>172</v>
      </c>
      <c r="B54" s="1373" t="s">
        <v>173</v>
      </c>
      <c r="C54" s="1373" t="s">
        <v>174</v>
      </c>
      <c r="D54" s="1344"/>
      <c r="E54" s="2108"/>
      <c r="F54" s="2108"/>
      <c r="G54" s="2107"/>
      <c r="H54" s="1344"/>
      <c r="I54" s="1344"/>
      <c r="J54" s="1344"/>
      <c r="K54" s="1344"/>
      <c r="L54" s="1369"/>
      <c r="M54" s="1345"/>
      <c r="N54" s="1345"/>
      <c r="P54" s="1346"/>
      <c r="Q54" s="1347"/>
      <c r="R54" s="1346"/>
      <c r="S54" s="1352"/>
      <c r="T54" s="1355" t="s">
        <v>191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75">
      <c r="A55" s="1373" t="s">
        <v>172</v>
      </c>
      <c r="B55" s="1373" t="s">
        <v>173</v>
      </c>
      <c r="C55" s="1344"/>
      <c r="D55" s="1344"/>
      <c r="E55" s="2108"/>
      <c r="F55" s="2107"/>
      <c r="G55" s="1344"/>
      <c r="H55" s="1344"/>
      <c r="I55" s="1344"/>
      <c r="J55" s="1344"/>
      <c r="K55" s="1344"/>
      <c r="L55" s="1369"/>
      <c r="M55" s="1351"/>
      <c r="N55" s="1351"/>
      <c r="P55" s="1346"/>
      <c r="Q55" s="1347"/>
      <c r="R55" s="1346"/>
      <c r="S55" s="1352"/>
      <c r="T55" s="1355" t="s">
        <v>192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172</v>
      </c>
      <c r="B56" s="1373"/>
      <c r="C56" s="1373"/>
      <c r="D56" s="1373"/>
      <c r="E56" s="2107"/>
      <c r="F56" s="1373"/>
      <c r="G56" s="1373"/>
      <c r="H56" s="1373"/>
      <c r="I56" s="1373"/>
      <c r="J56" s="1373"/>
      <c r="K56" s="1373"/>
      <c r="L56" s="1376"/>
      <c r="M56" s="1351"/>
      <c r="N56" s="1351"/>
      <c r="O56" s="524"/>
      <c r="P56" s="385"/>
      <c r="Q56" s="1374"/>
      <c r="R56" s="385"/>
      <c r="S56" s="1352"/>
      <c r="T56" s="1355" t="s">
        <v>211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DF885-34BC-3EBA-87F5-DA9A8FFFBD9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1" width="19.140625" hidden="1" customWidth="1"/>
    <col min="13" max="14" style="3332" width="12.28125" hidden="1" customWidth="1"/>
    <col min="15" max="15" style="3332" width="23.421875" hidden="1" customWidth="1"/>
    <col min="16" max="16" style="3353" width="3.7109375" customWidth="1"/>
    <col min="17" max="18" style="3409" width="3.7109375" customWidth="1"/>
    <col min="19" max="19" style="3410" width="12.7109375" customWidth="1"/>
    <col min="20" max="20" style="2983" width="32.00390625" customWidth="1"/>
    <col min="21" max="21" style="2983" width="0.140625" customWidth="1"/>
    <col min="22" max="22" style="2983" width="24.7109375" hidden="1" customWidth="1"/>
    <col min="23" max="23" style="2983" width="0.140625" hidden="1" customWidth="1"/>
    <col min="24" max="25" style="2983" width="24.7109375" hidden="1" customWidth="1"/>
    <col min="26" max="26" style="2983" width="11.7109375" hidden="1" customWidth="1"/>
    <col min="27" max="27" style="2983" width="3.7109375" hidden="1" customWidth="1"/>
    <col min="28" max="28" style="2983" width="11.7109375" hidden="1" customWidth="1"/>
    <col min="29" max="29" style="2983" width="8.57421875" hidden="1" customWidth="1"/>
    <col min="30" max="30" style="2983" width="24.7109375" customWidth="1"/>
    <col min="31" max="31" style="2983" width="0.140625" customWidth="1"/>
    <col min="32" max="33" style="2983" width="24.7109375" customWidth="1"/>
    <col min="34" max="34" style="2983" width="11.7109375" customWidth="1"/>
    <col min="35" max="35" style="2983" width="3.7109375" customWidth="1"/>
    <col min="36" max="36" style="2983" width="11.7109375" customWidth="1"/>
    <col min="37" max="37" style="2983" width="8.57421875" hidden="1" customWidth="1"/>
    <col min="38" max="38" style="2983" width="4.7109375" customWidth="1"/>
    <col min="39" max="39" style="2983"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443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444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445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446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447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448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449</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450</v>
      </c>
      <c r="M6" s="543"/>
      <c r="P6" s="2111">
        <v>1</v>
      </c>
      <c r="Q6" s="1361"/>
      <c r="R6" s="352"/>
      <c r="S6" s="1366">
        <f>$I6</f>
      </c>
      <c r="T6" s="273" t="s">
        <v>451</v>
      </c>
      <c r="U6" s="288"/>
      <c r="V6" s="2095"/>
      <c r="W6" s="2096"/>
      <c r="X6" s="2096"/>
      <c r="Y6" s="2096"/>
      <c r="Z6" s="2096"/>
      <c r="AA6" s="2096"/>
      <c r="AB6" s="2096"/>
      <c r="AC6" s="2097"/>
      <c r="AD6" s="2095"/>
      <c r="AE6" s="2096"/>
      <c r="AF6" s="2096"/>
      <c r="AG6" s="2096"/>
      <c r="AH6" s="2096"/>
      <c r="AI6" s="2096"/>
      <c r="AJ6" s="2096"/>
      <c r="AK6" s="2096"/>
      <c r="AL6" s="2097"/>
      <c r="AM6" s="1286" t="s">
        <v>452</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453</v>
      </c>
      <c r="M7" s="543"/>
      <c r="N7" s="1396"/>
      <c r="P7" s="2111"/>
      <c r="Q7" s="2111">
        <v>1</v>
      </c>
      <c r="R7" s="353"/>
      <c r="S7" s="1366">
        <f>$J7</f>
      </c>
      <c r="T7" s="274" t="s">
        <v>454</v>
      </c>
      <c r="U7" s="288"/>
      <c r="V7" s="2095"/>
      <c r="W7" s="2096"/>
      <c r="X7" s="2096"/>
      <c r="Y7" s="2096"/>
      <c r="Z7" s="2096"/>
      <c r="AA7" s="2096"/>
      <c r="AB7" s="2096"/>
      <c r="AC7" s="2097"/>
      <c r="AD7" s="2095"/>
      <c r="AE7" s="2096"/>
      <c r="AF7" s="2096"/>
      <c r="AG7" s="2096"/>
      <c r="AH7" s="2096"/>
      <c r="AI7" s="2096"/>
      <c r="AJ7" s="2096"/>
      <c r="AK7" s="2096"/>
      <c r="AL7" s="2097"/>
      <c r="AM7" s="1286" t="s">
        <v>455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456</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457</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458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459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460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191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192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461</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462</v>
      </c>
      <c r="P22" s="1392"/>
      <c r="Q22" s="1401"/>
      <c r="R22" s="1401"/>
      <c r="S22" s="735"/>
      <c r="T22" s="1168" t="s">
        <v>463</v>
      </c>
      <c r="AA22" s="172" t="s">
        <v>464</v>
      </c>
      <c r="AC22" s="172" t="s">
        <v>465</v>
      </c>
      <c r="AD22" s="1168" t="s">
        <v>463</v>
      </c>
      <c r="AI22" s="172" t="s">
        <v>466</v>
      </c>
      <c r="AK22" s="172" t="s">
        <v>465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3" customFormat="1" customHeight="1" ht="18.75">
      <c r="A30" s="1398"/>
      <c r="B30" s="1398"/>
      <c r="C30" s="1398"/>
      <c r="D30" s="1398"/>
      <c r="E30" s="1398"/>
      <c r="F30" s="1398"/>
      <c r="G30" s="1398"/>
      <c r="H30" s="1398"/>
      <c r="I30" s="1398"/>
      <c r="J30" s="1398"/>
      <c r="K30" s="1398"/>
      <c r="L30" s="1399"/>
      <c r="M30" s="1398"/>
      <c r="N30" s="1398"/>
      <c r="O30" s="1398"/>
      <c r="S30" s="2098" t="s">
        <v>467</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43" customFormat="1" customHeight="1" ht="18.75">
      <c r="A31" s="1398"/>
      <c r="B31" s="1398"/>
      <c r="C31" s="1398"/>
      <c r="D31" s="1398"/>
      <c r="E31" s="1398"/>
      <c r="F31" s="1398"/>
      <c r="G31" s="1398"/>
      <c r="H31" s="1398"/>
      <c r="I31" s="1398"/>
      <c r="J31" s="1398"/>
      <c r="K31" s="1398"/>
      <c r="L31" s="1399"/>
      <c r="M31" s="1398"/>
      <c r="N31" s="1398"/>
      <c r="O31" s="1398"/>
      <c r="S31" s="2098" t="s">
        <v>468</v>
      </c>
      <c r="T31" s="2098"/>
      <c r="U31" s="1402"/>
      <c r="V31" s="2100" t="str">
        <f>IF(TITLE_NUMBER_PR_CHANGE="",IF(TITLE_NUMBER_PR="","",TITLE_NUMBER_PR),TITLE_NUMBER_PR_CHANGE)</f>
        <v>51/11</v>
      </c>
      <c r="W31" s="2100"/>
      <c r="X31" s="2100"/>
      <c r="Y31" s="2100"/>
      <c r="Z31" s="2100"/>
      <c r="AA31" s="2100"/>
      <c r="AB31" s="2100"/>
      <c r="AC31" s="322"/>
      <c r="AD31" s="2100" t="str">
        <f>IF(TITLE_NUMBER_PR_CHANGE="",IF(TITLE_NUMBER_PR="","",TITLE_NUMBER_PR),TITLE_NUMBER_PR_CHANGE)</f>
        <v>51/11</v>
      </c>
      <c r="AE31" s="2100"/>
      <c r="AF31" s="2100"/>
      <c r="AG31" s="2100"/>
      <c r="AH31" s="2100"/>
      <c r="AI31" s="2100"/>
      <c r="AJ31" s="2100"/>
      <c r="AK31" s="322"/>
      <c r="AL31" s="322"/>
      <c r="AM31" s="268"/>
      <c r="AN31" s="368"/>
      <c r="AO31" s="368"/>
      <c r="AP31" s="368"/>
      <c r="AQ31" s="368"/>
      <c r="AR31" s="368"/>
    </row>
    <row s="334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https://npa.gov-murman.ru/bitrix/components/b1team/govmurman.element.file/download.php?ID=508451&amp;FID=750724</v>
      </c>
      <c r="W32" s="2100"/>
      <c r="X32" s="2100"/>
      <c r="Y32" s="2100"/>
      <c r="Z32" s="2100"/>
      <c r="AA32" s="2100"/>
      <c r="AB32" s="2100"/>
      <c r="AC32" s="322"/>
      <c r="AD32" s="2100" t="str">
        <f>IF(TITLE_IST_PUB_CHANGE="",IF(TITLE_IST_PUB="","",TITLE_IST_PUB),TITLE_IST_PUB_CHANGE)</f>
        <v>https://npa.gov-murman.ru/bitrix/components/b1team/govmurman.element.file/download.php?ID=508451&amp;FID=750724</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3" customFormat="1" customHeight="1" ht="18.75" hidden="1">
      <c r="A34" s="1398"/>
      <c r="B34" s="1398"/>
      <c r="C34" s="1398"/>
      <c r="D34" s="1398"/>
      <c r="E34" s="1398"/>
      <c r="F34" s="1398"/>
      <c r="G34" s="1398"/>
      <c r="H34" s="1398"/>
      <c r="I34" s="1398"/>
      <c r="J34" s="1398"/>
      <c r="K34" s="1398"/>
      <c r="L34" s="1399"/>
      <c r="M34" s="1398"/>
      <c r="N34" s="1398"/>
      <c r="O34" s="1398"/>
      <c r="S34" s="2098" t="s">
        <v>469</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43" customFormat="1" customHeight="1" ht="18.75" hidden="1">
      <c r="A35" s="1398"/>
      <c r="B35" s="1398"/>
      <c r="C35" s="1398"/>
      <c r="D35" s="1398"/>
      <c r="E35" s="1398"/>
      <c r="F35" s="1398"/>
      <c r="G35" s="1398"/>
      <c r="H35" s="1398"/>
      <c r="I35" s="1398"/>
      <c r="J35" s="1398"/>
      <c r="K35" s="1398"/>
      <c r="L35" s="1399"/>
      <c r="M35" s="1398"/>
      <c r="N35" s="1398"/>
      <c r="O35" s="1398"/>
      <c r="S35" s="2098" t="s">
        <v>470</v>
      </c>
      <c r="T35" s="2098"/>
      <c r="U35" s="1402"/>
      <c r="V35" s="2100" t="str">
        <f>IF(TITLE_NUMBER_PR_CHANGE="",IF(TITLE_NUMBER_PR="","",TITLE_NUMBER_PR),TITLE_NUMBER_PR_CHANGE)</f>
        <v>51/11</v>
      </c>
      <c r="W35" s="2100"/>
      <c r="X35" s="2100"/>
      <c r="Y35" s="2100"/>
      <c r="Z35" s="2100"/>
      <c r="AA35" s="2100"/>
      <c r="AB35" s="2100"/>
      <c r="AC35" s="322"/>
      <c r="AD35" s="2100" t="str">
        <f>IF(TITLE_NUMBER_PR_CHANGE="",IF(TITLE_NUMBER_PR="","",TITLE_NUMBER_PR),TITLE_NUMBER_PR_CHANGE)</f>
        <v>51/11</v>
      </c>
      <c r="AE35" s="2100"/>
      <c r="AF35" s="2100"/>
      <c r="AG35" s="2100"/>
      <c r="AH35" s="2100"/>
      <c r="AI35" s="2100"/>
      <c r="AJ35" s="2100"/>
      <c r="AK35" s="322"/>
      <c r="AL35" s="322"/>
      <c r="AM35" s="268"/>
      <c r="AN35" s="368"/>
      <c r="AO35" s="368"/>
      <c r="AP35" s="368"/>
      <c r="AQ35" s="368"/>
      <c r="AR35" s="368"/>
    </row>
    <row s="334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471</v>
      </c>
      <c r="AD36" s="322"/>
      <c r="AE36" s="322"/>
      <c r="AF36" s="322"/>
      <c r="AG36" s="322"/>
      <c r="AH36" s="322"/>
      <c r="AI36" s="322"/>
      <c r="AJ36" s="322"/>
      <c r="AK36" s="266" t="s">
        <v>471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345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346</v>
      </c>
    </row>
    <row customHeight="1" ht="14.25">
      <c r="Q39" s="377"/>
      <c r="R39" s="377"/>
      <c r="S39" s="2125" t="s">
        <v>87</v>
      </c>
      <c r="T39" s="2062" t="s">
        <v>472</v>
      </c>
      <c r="U39" s="289"/>
      <c r="V39" s="2126" t="s">
        <v>473</v>
      </c>
      <c r="W39" s="2127"/>
      <c r="X39" s="2127"/>
      <c r="Y39" s="2127"/>
      <c r="Z39" s="2127"/>
      <c r="AA39" s="2127"/>
      <c r="AB39" s="2128"/>
      <c r="AC39" s="2129" t="s">
        <v>474</v>
      </c>
      <c r="AD39" s="2126" t="s">
        <v>473</v>
      </c>
      <c r="AE39" s="2127"/>
      <c r="AF39" s="2127"/>
      <c r="AG39" s="2127"/>
      <c r="AH39" s="2127"/>
      <c r="AI39" s="2127"/>
      <c r="AJ39" s="2128"/>
      <c r="AK39" s="2129" t="s">
        <v>475</v>
      </c>
      <c r="AL39" s="2132" t="s">
        <v>476</v>
      </c>
      <c r="AM39" s="1971"/>
    </row>
    <row customHeight="1" ht="33.75">
      <c r="Q40" s="377"/>
      <c r="R40" s="377"/>
      <c r="S40" s="2125"/>
      <c r="T40" s="2062"/>
      <c r="U40" s="1038"/>
      <c r="V40" s="2135" t="s">
        <v>477</v>
      </c>
      <c r="W40" s="2116" t="s">
        <v>478</v>
      </c>
      <c r="X40" s="2118" t="s">
        <v>479</v>
      </c>
      <c r="Y40" s="2120"/>
      <c r="Z40" s="2118" t="s">
        <v>492</v>
      </c>
      <c r="AA40" s="2119"/>
      <c r="AB40" s="2120"/>
      <c r="AC40" s="2130"/>
      <c r="AD40" s="2135" t="s">
        <v>477</v>
      </c>
      <c r="AE40" s="2116" t="s">
        <v>478</v>
      </c>
      <c r="AF40" s="2118" t="s">
        <v>479</v>
      </c>
      <c r="AG40" s="2120"/>
      <c r="AH40" s="2118" t="s">
        <v>480</v>
      </c>
      <c r="AI40" s="2119"/>
      <c r="AJ40" s="2120"/>
      <c r="AK40" s="2130"/>
      <c r="AL40" s="2133"/>
      <c r="AM40" s="1971"/>
    </row>
    <row customHeight="1" ht="33.75">
      <c r="A41" s="1400"/>
      <c r="B41" s="1400" t="s">
        <v>152</v>
      </c>
      <c r="C41" s="1400" t="s">
        <v>153</v>
      </c>
      <c r="D41" s="1400" t="s">
        <v>154</v>
      </c>
      <c r="E41" s="1394" t="s">
        <v>481</v>
      </c>
      <c r="F41" s="1394" t="s">
        <v>482</v>
      </c>
      <c r="G41" s="1394" t="s">
        <v>483</v>
      </c>
      <c r="H41" s="1394" t="s">
        <v>484</v>
      </c>
      <c r="I41" s="1394" t="s">
        <v>485</v>
      </c>
      <c r="J41" s="1394" t="s">
        <v>486</v>
      </c>
      <c r="K41" s="1394" t="s">
        <v>487</v>
      </c>
      <c r="L41" s="1394" t="s">
        <v>462</v>
      </c>
      <c r="Q41" s="377"/>
      <c r="R41" s="377"/>
      <c r="S41" s="2125"/>
      <c r="T41" s="2062"/>
      <c r="U41" s="290"/>
      <c r="V41" s="2136"/>
      <c r="W41" s="2117"/>
      <c r="X41" s="1237" t="s">
        <v>488</v>
      </c>
      <c r="Y41" s="1237" t="s">
        <v>489</v>
      </c>
      <c r="Z41" s="1368" t="s">
        <v>490</v>
      </c>
      <c r="AA41" s="2121" t="s">
        <v>491</v>
      </c>
      <c r="AB41" s="2122"/>
      <c r="AC41" s="2131"/>
      <c r="AD41" s="2136"/>
      <c r="AE41" s="2117"/>
      <c r="AF41" s="1237" t="s">
        <v>488</v>
      </c>
      <c r="AG41" s="1237" t="s">
        <v>489</v>
      </c>
      <c r="AH41" s="1368" t="s">
        <v>490</v>
      </c>
      <c r="AI41" s="2121" t="s">
        <v>491</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128</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178</v>
      </c>
      <c r="B44" s="1393" t="s">
        <v>179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444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445</v>
      </c>
      <c r="AO44" s="506"/>
      <c r="AP44" s="506" t="str">
        <f>IF(T44="","",T44)</f>
        <v>Территория действия тарифа</v>
      </c>
      <c r="AQ44" s="506"/>
      <c r="AR44" s="506"/>
    </row>
    <row customHeight="1" ht="23.25">
      <c r="A45" s="1393" t="s">
        <v>178</v>
      </c>
      <c r="B45" s="1393" t="s">
        <v>179</v>
      </c>
      <c r="C45" s="1393" t="s">
        <v>180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446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447</v>
      </c>
      <c r="AO45" s="506"/>
      <c r="AP45" s="506" t="str">
        <f>IF(T45="","",T45)</f>
        <v>Наименование системы теплоснабжения </v>
      </c>
      <c r="AQ45" s="506"/>
      <c r="AR45" s="506"/>
    </row>
    <row customHeight="1" ht="21">
      <c r="A46" s="1393" t="s">
        <v>178</v>
      </c>
      <c r="B46" s="1393" t="s">
        <v>179</v>
      </c>
      <c r="C46" s="1393" t="s">
        <v>180</v>
      </c>
      <c r="D46" s="1393" t="s">
        <v>181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448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449</v>
      </c>
      <c r="AO46" s="506"/>
      <c r="AP46" s="506" t="str">
        <f>IF(T46="","",T46)</f>
        <v>Источник тепловой энергии  </v>
      </c>
      <c r="AQ46" s="506"/>
      <c r="AR46" s="506"/>
    </row>
    <row customHeight="1" ht="47.25">
      <c r="A47" s="1393" t="s">
        <v>178</v>
      </c>
      <c r="B47" s="1393" t="s">
        <v>179</v>
      </c>
      <c r="C47" s="1393" t="s">
        <v>180</v>
      </c>
      <c r="D47" s="1393" t="s">
        <v>181</v>
      </c>
      <c r="E47" s="2108"/>
      <c r="F47" s="2108"/>
      <c r="G47" s="2108"/>
      <c r="H47" s="2108"/>
      <c r="I47" s="2109" t="str">
        <f>S46&amp;".1"</f>
        <v>....1</v>
      </c>
      <c r="J47" s="1393"/>
      <c r="K47" s="1393"/>
      <c r="L47" s="1394" t="s">
        <v>450</v>
      </c>
      <c r="P47" s="2111">
        <v>1</v>
      </c>
      <c r="Q47" s="1361"/>
      <c r="R47" s="352"/>
      <c r="S47" s="1366" t="str">
        <f>$I47</f>
        <v>....1</v>
      </c>
      <c r="T47" s="273" t="s">
        <v>451</v>
      </c>
      <c r="U47" s="288"/>
      <c r="V47" s="2095"/>
      <c r="W47" s="2096"/>
      <c r="X47" s="2096"/>
      <c r="Y47" s="2096"/>
      <c r="Z47" s="2096"/>
      <c r="AA47" s="2096"/>
      <c r="AB47" s="2096"/>
      <c r="AC47" s="2097"/>
      <c r="AD47" s="2095"/>
      <c r="AE47" s="2096"/>
      <c r="AF47" s="2096"/>
      <c r="AG47" s="2096"/>
      <c r="AH47" s="2096"/>
      <c r="AI47" s="2096"/>
      <c r="AJ47" s="2096"/>
      <c r="AK47" s="2096"/>
      <c r="AL47" s="2097"/>
      <c r="AM47" s="1286" t="s">
        <v>452</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178</v>
      </c>
      <c r="B48" s="1393" t="s">
        <v>179</v>
      </c>
      <c r="C48" s="1393" t="s">
        <v>180</v>
      </c>
      <c r="D48" s="1393" t="s">
        <v>181</v>
      </c>
      <c r="E48" s="2108"/>
      <c r="F48" s="2108"/>
      <c r="G48" s="2108"/>
      <c r="H48" s="2108"/>
      <c r="I48" s="2110"/>
      <c r="J48" s="2109" t="str">
        <f>I47&amp;".1"</f>
        <v>....1.1</v>
      </c>
      <c r="K48" s="1393"/>
      <c r="L48" s="1394" t="s">
        <v>453</v>
      </c>
      <c r="P48" s="2111"/>
      <c r="Q48" s="2111">
        <v>1</v>
      </c>
      <c r="R48" s="353"/>
      <c r="S48" s="1366" t="str">
        <f>$J48</f>
        <v>....1.1</v>
      </c>
      <c r="T48" s="274" t="s">
        <v>454</v>
      </c>
      <c r="U48" s="288"/>
      <c r="V48" s="2095"/>
      <c r="W48" s="2096"/>
      <c r="X48" s="2096"/>
      <c r="Y48" s="2096"/>
      <c r="Z48" s="2096"/>
      <c r="AA48" s="2096"/>
      <c r="AB48" s="2096"/>
      <c r="AC48" s="2097"/>
      <c r="AD48" s="2095"/>
      <c r="AE48" s="2096"/>
      <c r="AF48" s="2096"/>
      <c r="AG48" s="2096"/>
      <c r="AH48" s="2096"/>
      <c r="AI48" s="2096"/>
      <c r="AJ48" s="2096"/>
      <c r="AK48" s="2096"/>
      <c r="AL48" s="2097"/>
      <c r="AM48" s="1286" t="s">
        <v>455</v>
      </c>
      <c r="AO48" s="506"/>
      <c r="AP48" s="506" t="str">
        <f>IF(T48="","",T48)</f>
        <v>Группа потребителей</v>
      </c>
      <c r="AQ48" s="506"/>
      <c r="AR48" s="506"/>
    </row>
    <row customHeight="1" ht="21">
      <c r="A49" s="1393" t="s">
        <v>178</v>
      </c>
      <c r="B49" s="1393" t="s">
        <v>179</v>
      </c>
      <c r="C49" s="1393" t="s">
        <v>180</v>
      </c>
      <c r="D49" s="1393" t="s">
        <v>181</v>
      </c>
      <c r="E49" s="2108"/>
      <c r="F49" s="2108"/>
      <c r="G49" s="2108"/>
      <c r="H49" s="2108"/>
      <c r="I49" s="2110"/>
      <c r="J49" s="2110"/>
      <c r="K49" s="2109" t="str">
        <f>J48&amp;".1"</f>
        <v>....1.1.1</v>
      </c>
      <c r="L49" s="1394" t="s">
        <v>456</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457</v>
      </c>
      <c r="AN49" s="517">
        <f>STRCHECKDATE(V50:AL50)</f>
      </c>
      <c r="AO49" s="506"/>
      <c r="AP49" s="506" t="str">
        <f>IF(T49="","",T49)</f>
        <v/>
      </c>
      <c r="AQ49" s="506"/>
      <c r="AR49" s="506"/>
    </row>
    <row customHeight="1" ht="0.75">
      <c r="A50" s="1393" t="s">
        <v>178</v>
      </c>
      <c r="B50" s="1393" t="s">
        <v>179</v>
      </c>
      <c r="C50" s="1393" t="s">
        <v>180</v>
      </c>
      <c r="D50" s="1393" t="s">
        <v>181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178</v>
      </c>
      <c r="B51" s="1393" t="s">
        <v>179</v>
      </c>
      <c r="C51" s="1393" t="s">
        <v>180</v>
      </c>
      <c r="D51" s="1393" t="s">
        <v>181</v>
      </c>
      <c r="E51" s="2108"/>
      <c r="F51" s="2108"/>
      <c r="G51" s="2108"/>
      <c r="H51" s="2108"/>
      <c r="I51" s="2110"/>
      <c r="J51" s="2109"/>
      <c r="K51" s="1393"/>
      <c r="L51" s="1394"/>
      <c r="P51" s="2111"/>
      <c r="Q51" s="2111"/>
      <c r="R51" s="352"/>
      <c r="S51" s="1308"/>
      <c r="T51" s="276" t="s">
        <v>458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178</v>
      </c>
      <c r="B52" s="1393" t="s">
        <v>179</v>
      </c>
      <c r="C52" s="1393" t="s">
        <v>180</v>
      </c>
      <c r="D52" s="1393" t="s">
        <v>181</v>
      </c>
      <c r="E52" s="2108"/>
      <c r="F52" s="2108"/>
      <c r="G52" s="2108"/>
      <c r="H52" s="2108"/>
      <c r="I52" s="2109"/>
      <c r="J52" s="1393"/>
      <c r="K52" s="1393"/>
      <c r="L52" s="1394"/>
      <c r="P52" s="2111"/>
      <c r="Q52" s="1361"/>
      <c r="R52" s="352"/>
      <c r="S52" s="1308"/>
      <c r="T52" s="275" t="s">
        <v>459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178</v>
      </c>
      <c r="B53" s="1393" t="s">
        <v>179</v>
      </c>
      <c r="C53" s="1393" t="s">
        <v>180</v>
      </c>
      <c r="D53" s="1393" t="s">
        <v>181</v>
      </c>
      <c r="E53" s="2108"/>
      <c r="F53" s="2108"/>
      <c r="G53" s="2108"/>
      <c r="H53" s="2107"/>
      <c r="I53" s="1393"/>
      <c r="J53" s="1393"/>
      <c r="K53" s="1393"/>
      <c r="L53" s="1394"/>
      <c r="M53" s="1395"/>
      <c r="N53" s="1395"/>
      <c r="O53" s="543"/>
      <c r="P53" s="356"/>
      <c r="Q53" s="376"/>
      <c r="R53" s="351"/>
      <c r="S53" s="1308"/>
      <c r="T53" s="364" t="s">
        <v>460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2" customFormat="1" customHeight="1" ht="0.75">
      <c r="A54" s="1373" t="s">
        <v>178</v>
      </c>
      <c r="B54" s="1373" t="s">
        <v>179</v>
      </c>
      <c r="C54" s="1373" t="s">
        <v>180</v>
      </c>
      <c r="D54" s="1344"/>
      <c r="E54" s="2108"/>
      <c r="F54" s="2108"/>
      <c r="G54" s="2107"/>
      <c r="H54" s="1344"/>
      <c r="I54" s="1344"/>
      <c r="J54" s="1344"/>
      <c r="K54" s="1344"/>
      <c r="L54" s="1369"/>
      <c r="M54" s="1345"/>
      <c r="N54" s="1345"/>
      <c r="P54" s="1346"/>
      <c r="Q54" s="1347"/>
      <c r="R54" s="1346"/>
      <c r="S54" s="1352"/>
      <c r="T54" s="1355" t="s">
        <v>191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75">
      <c r="A55" s="1373" t="s">
        <v>178</v>
      </c>
      <c r="B55" s="1373" t="s">
        <v>179</v>
      </c>
      <c r="C55" s="1344"/>
      <c r="D55" s="1344"/>
      <c r="E55" s="2108"/>
      <c r="F55" s="2107"/>
      <c r="G55" s="1344"/>
      <c r="H55" s="1344"/>
      <c r="I55" s="1344"/>
      <c r="J55" s="1344"/>
      <c r="K55" s="1344"/>
      <c r="L55" s="1369"/>
      <c r="M55" s="1351"/>
      <c r="N55" s="1351"/>
      <c r="P55" s="1346"/>
      <c r="Q55" s="1347"/>
      <c r="R55" s="1346"/>
      <c r="S55" s="1352"/>
      <c r="T55" s="1355" t="s">
        <v>192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178</v>
      </c>
      <c r="B56" s="1373"/>
      <c r="C56" s="1373"/>
      <c r="D56" s="1373"/>
      <c r="E56" s="2107"/>
      <c r="F56" s="1373"/>
      <c r="G56" s="1373"/>
      <c r="H56" s="1373"/>
      <c r="I56" s="1373"/>
      <c r="J56" s="1373"/>
      <c r="K56" s="1373"/>
      <c r="L56" s="1376"/>
      <c r="M56" s="1351"/>
      <c r="N56" s="1351"/>
      <c r="O56" s="524"/>
      <c r="P56" s="385"/>
      <c r="Q56" s="1374"/>
      <c r="R56" s="385"/>
      <c r="S56" s="1352"/>
      <c r="T56" s="1355" t="s">
        <v>211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2D4DC-2101-2984-0F1C-B657908E671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1" width="19.140625" hidden="1" customWidth="1"/>
    <col min="13" max="14" style="3332" width="12.28125" hidden="1" customWidth="1"/>
    <col min="15" max="15" style="3332" width="23.421875" hidden="1" customWidth="1"/>
    <col min="16" max="16" style="3353" width="3.7109375" customWidth="1"/>
    <col min="17" max="18" style="3409" width="3.7109375" customWidth="1"/>
    <col min="19" max="19" style="3410" width="12.7109375" customWidth="1"/>
    <col min="20" max="20" style="2983" width="32.00390625" customWidth="1"/>
    <col min="21" max="21" style="2983" width="0.7109375" hidden="1" customWidth="1"/>
    <col min="22" max="22" style="2983" width="1.7109375" hidden="1" customWidth="1"/>
    <col min="23" max="23" style="2983" width="24.7109375" hidden="1" customWidth="1"/>
    <col min="24" max="25" style="2983" width="0.140625" hidden="1" customWidth="1"/>
    <col min="26" max="26" style="2983" width="11.7109375" hidden="1" customWidth="1"/>
    <col min="27" max="27" style="2983" width="3.7109375" hidden="1" customWidth="1"/>
    <col min="28" max="28" style="2983" width="11.7109375" hidden="1" customWidth="1"/>
    <col min="29" max="29" style="2983" width="8.57421875" hidden="1" customWidth="1"/>
    <col min="30" max="30" style="2983" width="0.140625" customWidth="1"/>
    <col min="31" max="31" style="2983" width="24.7109375" customWidth="1"/>
    <col min="32" max="33" style="2983" width="0.140625" customWidth="1"/>
    <col min="34" max="34" style="2983" width="11.7109375" customWidth="1"/>
    <col min="35" max="35" style="2983" width="3.7109375" customWidth="1"/>
    <col min="36" max="36" style="2983" width="11.7109375" customWidth="1"/>
    <col min="37" max="37" style="2983" width="8.57421875" hidden="1" customWidth="1"/>
    <col min="38" max="38" style="2983" width="4.7109375" customWidth="1"/>
    <col min="39" max="39" style="2983"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443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444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445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446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447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448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449</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450</v>
      </c>
      <c r="M6" s="543"/>
      <c r="P6" s="2111">
        <v>1</v>
      </c>
      <c r="Q6" s="1361"/>
      <c r="R6" s="352"/>
      <c r="S6" s="1366">
        <f>$I6</f>
      </c>
      <c r="T6" s="273" t="s">
        <v>451</v>
      </c>
      <c r="U6" s="288"/>
      <c r="V6" s="2095"/>
      <c r="W6" s="2096"/>
      <c r="X6" s="2096"/>
      <c r="Y6" s="2096"/>
      <c r="Z6" s="2096"/>
      <c r="AA6" s="2096"/>
      <c r="AB6" s="2096"/>
      <c r="AC6" s="2097"/>
      <c r="AD6" s="2095"/>
      <c r="AE6" s="2096"/>
      <c r="AF6" s="2096"/>
      <c r="AG6" s="2096"/>
      <c r="AH6" s="2096"/>
      <c r="AI6" s="2096"/>
      <c r="AJ6" s="2096"/>
      <c r="AK6" s="2096"/>
      <c r="AL6" s="2097"/>
      <c r="AM6" s="1286" t="s">
        <v>452</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453</v>
      </c>
      <c r="M7" s="543"/>
      <c r="N7" s="1396"/>
      <c r="P7" s="2111"/>
      <c r="Q7" s="2111">
        <v>1</v>
      </c>
      <c r="R7" s="353"/>
      <c r="S7" s="1366">
        <f>$J7</f>
      </c>
      <c r="T7" s="274" t="s">
        <v>454</v>
      </c>
      <c r="U7" s="288"/>
      <c r="V7" s="2095"/>
      <c r="W7" s="2096"/>
      <c r="X7" s="2096"/>
      <c r="Y7" s="2096"/>
      <c r="Z7" s="2096"/>
      <c r="AA7" s="2096"/>
      <c r="AB7" s="2096"/>
      <c r="AC7" s="2097"/>
      <c r="AD7" s="2095"/>
      <c r="AE7" s="2096"/>
      <c r="AF7" s="2096"/>
      <c r="AG7" s="2096"/>
      <c r="AH7" s="2096"/>
      <c r="AI7" s="2096"/>
      <c r="AJ7" s="2096"/>
      <c r="AK7" s="2096"/>
      <c r="AL7" s="2097"/>
      <c r="AM7" s="1286" t="s">
        <v>455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456</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457</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458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459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460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191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192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461</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33.75" hidden="1">
      <c r="L22" s="1359"/>
      <c r="M22" s="1392"/>
      <c r="N22" s="1392"/>
      <c r="O22" s="1394" t="s">
        <v>462</v>
      </c>
      <c r="P22" s="1392"/>
      <c r="Q22" s="1401"/>
      <c r="R22" s="1401"/>
      <c r="S22" s="735"/>
      <c r="T22" s="1168" t="s">
        <v>463</v>
      </c>
      <c r="AA22" s="172" t="s">
        <v>464</v>
      </c>
      <c r="AC22" s="172" t="s">
        <v>465</v>
      </c>
      <c r="AD22" s="1168" t="s">
        <v>463</v>
      </c>
      <c r="AI22" s="172" t="s">
        <v>466</v>
      </c>
      <c r="AK22" s="172" t="s">
        <v>465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3" customFormat="1" customHeight="1" ht="18.75">
      <c r="A30" s="1398"/>
      <c r="B30" s="1398"/>
      <c r="C30" s="1398"/>
      <c r="D30" s="1398"/>
      <c r="E30" s="1398"/>
      <c r="F30" s="1398"/>
      <c r="G30" s="1398"/>
      <c r="H30" s="1398"/>
      <c r="I30" s="1398"/>
      <c r="J30" s="1398"/>
      <c r="K30" s="1398"/>
      <c r="L30" s="1399"/>
      <c r="M30" s="1398"/>
      <c r="N30" s="1398"/>
      <c r="O30" s="1398"/>
      <c r="S30" s="2098" t="s">
        <v>467</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43" customFormat="1" customHeight="1" ht="18.75">
      <c r="A31" s="1398"/>
      <c r="B31" s="1398"/>
      <c r="C31" s="1398"/>
      <c r="D31" s="1398"/>
      <c r="E31" s="1398"/>
      <c r="F31" s="1398"/>
      <c r="G31" s="1398"/>
      <c r="H31" s="1398"/>
      <c r="I31" s="1398"/>
      <c r="J31" s="1398"/>
      <c r="K31" s="1398"/>
      <c r="L31" s="1399"/>
      <c r="M31" s="1398"/>
      <c r="N31" s="1398"/>
      <c r="O31" s="1398"/>
      <c r="S31" s="2098" t="s">
        <v>468</v>
      </c>
      <c r="T31" s="2098"/>
      <c r="U31" s="1402"/>
      <c r="V31" s="2100" t="str">
        <f>IF(TITLE_NUMBER_PR_CHANGE="",IF(TITLE_NUMBER_PR="","",TITLE_NUMBER_PR),TITLE_NUMBER_PR_CHANGE)</f>
        <v>51/11</v>
      </c>
      <c r="W31" s="2100"/>
      <c r="X31" s="2100"/>
      <c r="Y31" s="2100"/>
      <c r="Z31" s="2100"/>
      <c r="AA31" s="2100"/>
      <c r="AB31" s="2100"/>
      <c r="AC31" s="322"/>
      <c r="AD31" s="2100" t="str">
        <f>IF(TITLE_NUMBER_PR_CHANGE="",IF(TITLE_NUMBER_PR="","",TITLE_NUMBER_PR),TITLE_NUMBER_PR_CHANGE)</f>
        <v>51/11</v>
      </c>
      <c r="AE31" s="2100"/>
      <c r="AF31" s="2100"/>
      <c r="AG31" s="2100"/>
      <c r="AH31" s="2100"/>
      <c r="AI31" s="2100"/>
      <c r="AJ31" s="2100"/>
      <c r="AK31" s="322"/>
      <c r="AL31" s="322"/>
      <c r="AM31" s="268"/>
      <c r="AN31" s="368"/>
      <c r="AO31" s="368"/>
      <c r="AP31" s="368"/>
      <c r="AQ31" s="368"/>
      <c r="AR31" s="368"/>
    </row>
    <row s="334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https://npa.gov-murman.ru/bitrix/components/b1team/govmurman.element.file/download.php?ID=508451&amp;FID=750724</v>
      </c>
      <c r="W32" s="2100"/>
      <c r="X32" s="2100"/>
      <c r="Y32" s="2100"/>
      <c r="Z32" s="2100"/>
      <c r="AA32" s="2100"/>
      <c r="AB32" s="2100"/>
      <c r="AC32" s="322"/>
      <c r="AD32" s="2100" t="str">
        <f>IF(TITLE_IST_PUB_CHANGE="",IF(TITLE_IST_PUB="","",TITLE_IST_PUB),TITLE_IST_PUB_CHANGE)</f>
        <v>https://npa.gov-murman.ru/bitrix/components/b1team/govmurman.element.file/download.php?ID=508451&amp;FID=750724</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3" customFormat="1" customHeight="1" ht="18.75" hidden="1">
      <c r="A34" s="1398"/>
      <c r="B34" s="1398"/>
      <c r="C34" s="1398"/>
      <c r="D34" s="1398"/>
      <c r="E34" s="1398"/>
      <c r="F34" s="1398"/>
      <c r="G34" s="1398"/>
      <c r="H34" s="1398"/>
      <c r="I34" s="1398"/>
      <c r="J34" s="1398"/>
      <c r="K34" s="1398"/>
      <c r="L34" s="1399"/>
      <c r="M34" s="1398"/>
      <c r="N34" s="1398"/>
      <c r="O34" s="1398"/>
      <c r="S34" s="2098" t="s">
        <v>469</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43" customFormat="1" customHeight="1" ht="18.75" hidden="1">
      <c r="A35" s="1398"/>
      <c r="B35" s="1398"/>
      <c r="C35" s="1398"/>
      <c r="D35" s="1398"/>
      <c r="E35" s="1398"/>
      <c r="F35" s="1398"/>
      <c r="G35" s="1398"/>
      <c r="H35" s="1398"/>
      <c r="I35" s="1398"/>
      <c r="J35" s="1398"/>
      <c r="K35" s="1398"/>
      <c r="L35" s="1399"/>
      <c r="M35" s="1398"/>
      <c r="N35" s="1398"/>
      <c r="O35" s="1398"/>
      <c r="S35" s="2098" t="s">
        <v>470</v>
      </c>
      <c r="T35" s="2098"/>
      <c r="U35" s="1402"/>
      <c r="V35" s="2100" t="str">
        <f>IF(TITLE_NUMBER_PR_CHANGE="",IF(TITLE_NUMBER_PR="","",TITLE_NUMBER_PR),TITLE_NUMBER_PR_CHANGE)</f>
        <v>51/11</v>
      </c>
      <c r="W35" s="2100"/>
      <c r="X35" s="2100"/>
      <c r="Y35" s="2100"/>
      <c r="Z35" s="2100"/>
      <c r="AA35" s="2100"/>
      <c r="AB35" s="2100"/>
      <c r="AC35" s="322"/>
      <c r="AD35" s="2100" t="str">
        <f>IF(TITLE_NUMBER_PR_CHANGE="",IF(TITLE_NUMBER_PR="","",TITLE_NUMBER_PR),TITLE_NUMBER_PR_CHANGE)</f>
        <v>51/11</v>
      </c>
      <c r="AE35" s="2100"/>
      <c r="AF35" s="2100"/>
      <c r="AG35" s="2100"/>
      <c r="AH35" s="2100"/>
      <c r="AI35" s="2100"/>
      <c r="AJ35" s="2100"/>
      <c r="AK35" s="322"/>
      <c r="AL35" s="322"/>
      <c r="AM35" s="268"/>
      <c r="AN35" s="368"/>
      <c r="AO35" s="368"/>
      <c r="AP35" s="368"/>
      <c r="AQ35" s="368"/>
      <c r="AR35" s="368"/>
    </row>
    <row s="334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471</v>
      </c>
      <c r="AD36" s="322"/>
      <c r="AE36" s="322"/>
      <c r="AF36" s="322"/>
      <c r="AG36" s="322"/>
      <c r="AH36" s="322"/>
      <c r="AI36" s="322"/>
      <c r="AJ36" s="322"/>
      <c r="AK36" s="266" t="s">
        <v>471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345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346</v>
      </c>
    </row>
    <row customHeight="1" ht="14.25">
      <c r="Q39" s="377"/>
      <c r="R39" s="377"/>
      <c r="S39" s="2125" t="s">
        <v>87</v>
      </c>
      <c r="T39" s="2062" t="s">
        <v>472</v>
      </c>
      <c r="U39" s="289"/>
      <c r="V39" s="2126" t="s">
        <v>473</v>
      </c>
      <c r="W39" s="2127"/>
      <c r="X39" s="2146"/>
      <c r="Y39" s="2146"/>
      <c r="Z39" s="2127"/>
      <c r="AA39" s="2127"/>
      <c r="AB39" s="2128"/>
      <c r="AC39" s="2129" t="s">
        <v>474</v>
      </c>
      <c r="AD39" s="2126" t="s">
        <v>473</v>
      </c>
      <c r="AE39" s="2127"/>
      <c r="AF39" s="2146"/>
      <c r="AG39" s="2146"/>
      <c r="AH39" s="2127"/>
      <c r="AI39" s="2127"/>
      <c r="AJ39" s="2128"/>
      <c r="AK39" s="2129" t="s">
        <v>475</v>
      </c>
      <c r="AL39" s="2132" t="s">
        <v>476</v>
      </c>
      <c r="AM39" s="1971"/>
    </row>
    <row customHeight="1" ht="23.25">
      <c r="Q40" s="377"/>
      <c r="R40" s="377"/>
      <c r="S40" s="2125"/>
      <c r="T40" s="2062"/>
      <c r="U40" s="1038"/>
      <c r="V40" s="2142" t="s">
        <v>477</v>
      </c>
      <c r="W40" s="2144" t="s">
        <v>478</v>
      </c>
      <c r="X40" s="1406" t="s">
        <v>479</v>
      </c>
      <c r="Y40" s="1406"/>
      <c r="Z40" s="2119" t="s">
        <v>480</v>
      </c>
      <c r="AA40" s="2119"/>
      <c r="AB40" s="2120"/>
      <c r="AC40" s="2130"/>
      <c r="AD40" s="2142" t="s">
        <v>477</v>
      </c>
      <c r="AE40" s="2144" t="s">
        <v>478</v>
      </c>
      <c r="AF40" s="1406" t="s">
        <v>479</v>
      </c>
      <c r="AG40" s="1406"/>
      <c r="AH40" s="2119" t="s">
        <v>480</v>
      </c>
      <c r="AI40" s="2119"/>
      <c r="AJ40" s="2120"/>
      <c r="AK40" s="2130"/>
      <c r="AL40" s="2133"/>
      <c r="AM40" s="1971"/>
    </row>
    <row s="3423" customFormat="1" customHeight="1" ht="23.25">
      <c r="A41" s="1400"/>
      <c r="B41" s="1400" t="s">
        <v>152</v>
      </c>
      <c r="C41" s="1400" t="s">
        <v>153</v>
      </c>
      <c r="D41" s="1400" t="s">
        <v>154</v>
      </c>
      <c r="E41" s="1394" t="s">
        <v>481</v>
      </c>
      <c r="F41" s="1394" t="s">
        <v>482</v>
      </c>
      <c r="G41" s="1394" t="s">
        <v>483</v>
      </c>
      <c r="H41" s="1394" t="s">
        <v>484</v>
      </c>
      <c r="I41" s="1394" t="s">
        <v>485</v>
      </c>
      <c r="J41" s="1394" t="s">
        <v>486</v>
      </c>
      <c r="K41" s="1394" t="s">
        <v>487</v>
      </c>
      <c r="L41" s="1394" t="s">
        <v>462</v>
      </c>
      <c r="M41" s="1392"/>
      <c r="N41" s="1392"/>
      <c r="O41" s="1392"/>
      <c r="P41" s="1358"/>
      <c r="Q41" s="377"/>
      <c r="R41" s="377"/>
      <c r="S41" s="2125"/>
      <c r="T41" s="2062"/>
      <c r="U41" s="290"/>
      <c r="V41" s="2143"/>
      <c r="W41" s="2145"/>
      <c r="X41" s="1403" t="s">
        <v>488</v>
      </c>
      <c r="Y41" s="1403" t="s">
        <v>489</v>
      </c>
      <c r="Z41" s="1364" t="s">
        <v>490</v>
      </c>
      <c r="AA41" s="2121" t="s">
        <v>491</v>
      </c>
      <c r="AB41" s="2122"/>
      <c r="AC41" s="2131"/>
      <c r="AD41" s="2143"/>
      <c r="AE41" s="2145"/>
      <c r="AF41" s="1403" t="s">
        <v>488</v>
      </c>
      <c r="AG41" s="1403" t="s">
        <v>489</v>
      </c>
      <c r="AH41" s="1364" t="s">
        <v>490</v>
      </c>
      <c r="AI41" s="2121" t="s">
        <v>491</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128</v>
      </c>
      <c r="T42" s="1281" t="s">
        <v>102</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251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251</v>
      </c>
      <c r="B44" s="1393" t="s">
        <v>252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444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445</v>
      </c>
      <c r="AO44" s="506"/>
      <c r="AP44" s="506" t="str">
        <f>IF(T44="","",T44)</f>
        <v>Территория действия тарифа</v>
      </c>
      <c r="AQ44" s="506"/>
      <c r="AR44" s="506"/>
    </row>
    <row customHeight="1" ht="23.25">
      <c r="A45" s="1393" t="s">
        <v>251</v>
      </c>
      <c r="B45" s="1393" t="s">
        <v>252</v>
      </c>
      <c r="C45" s="1393" t="s">
        <v>253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446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447</v>
      </c>
      <c r="AO45" s="506"/>
      <c r="AP45" s="506" t="str">
        <f>IF(T45="","",T45)</f>
        <v>Наименование системы теплоснабжения </v>
      </c>
      <c r="AQ45" s="506"/>
      <c r="AR45" s="506"/>
    </row>
    <row customHeight="1" ht="21">
      <c r="A46" s="1393" t="s">
        <v>251</v>
      </c>
      <c r="B46" s="1393" t="s">
        <v>252</v>
      </c>
      <c r="C46" s="1393" t="s">
        <v>253</v>
      </c>
      <c r="D46" s="1393" t="s">
        <v>254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448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449</v>
      </c>
      <c r="AO46" s="506"/>
      <c r="AP46" s="506" t="str">
        <f>IF(T46="","",T46)</f>
        <v>Источник тепловой энергии  </v>
      </c>
      <c r="AQ46" s="506"/>
      <c r="AR46" s="506"/>
    </row>
    <row customHeight="1" ht="47.25">
      <c r="A47" s="1393" t="s">
        <v>251</v>
      </c>
      <c r="B47" s="1393" t="s">
        <v>252</v>
      </c>
      <c r="C47" s="1393" t="s">
        <v>253</v>
      </c>
      <c r="D47" s="1393" t="s">
        <v>254</v>
      </c>
      <c r="E47" s="2108"/>
      <c r="F47" s="2108"/>
      <c r="G47" s="2108"/>
      <c r="H47" s="2108"/>
      <c r="I47" s="2109" t="str">
        <f>S46&amp;".1"</f>
        <v>....1</v>
      </c>
      <c r="J47" s="1393"/>
      <c r="K47" s="1393"/>
      <c r="L47" s="1394" t="s">
        <v>450</v>
      </c>
      <c r="P47" s="2111">
        <v>1</v>
      </c>
      <c r="Q47" s="1361"/>
      <c r="R47" s="352"/>
      <c r="S47" s="1366" t="str">
        <f>$I47</f>
        <v>....1</v>
      </c>
      <c r="T47" s="273" t="s">
        <v>451</v>
      </c>
      <c r="U47" s="288"/>
      <c r="V47" s="2095"/>
      <c r="W47" s="2096"/>
      <c r="X47" s="2096"/>
      <c r="Y47" s="2096"/>
      <c r="Z47" s="2096"/>
      <c r="AA47" s="2096"/>
      <c r="AB47" s="2096"/>
      <c r="AC47" s="2097"/>
      <c r="AD47" s="2095"/>
      <c r="AE47" s="2096"/>
      <c r="AF47" s="2096"/>
      <c r="AG47" s="2096"/>
      <c r="AH47" s="2096"/>
      <c r="AI47" s="2096"/>
      <c r="AJ47" s="2096"/>
      <c r="AK47" s="2096"/>
      <c r="AL47" s="2097"/>
      <c r="AM47" s="1286" t="s">
        <v>452</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251</v>
      </c>
      <c r="B48" s="1393" t="s">
        <v>252</v>
      </c>
      <c r="C48" s="1393" t="s">
        <v>253</v>
      </c>
      <c r="D48" s="1393" t="s">
        <v>254</v>
      </c>
      <c r="E48" s="2108"/>
      <c r="F48" s="2108"/>
      <c r="G48" s="2108"/>
      <c r="H48" s="2108"/>
      <c r="I48" s="2110"/>
      <c r="J48" s="2109" t="str">
        <f>I47&amp;".1"</f>
        <v>....1.1</v>
      </c>
      <c r="K48" s="1393"/>
      <c r="L48" s="1394" t="s">
        <v>453</v>
      </c>
      <c r="P48" s="2111"/>
      <c r="Q48" s="2111">
        <v>1</v>
      </c>
      <c r="R48" s="353"/>
      <c r="S48" s="1366" t="str">
        <f>$J48</f>
        <v>....1.1</v>
      </c>
      <c r="T48" s="274" t="s">
        <v>454</v>
      </c>
      <c r="U48" s="288"/>
      <c r="V48" s="2095"/>
      <c r="W48" s="2096"/>
      <c r="X48" s="2096"/>
      <c r="Y48" s="2096"/>
      <c r="Z48" s="2096"/>
      <c r="AA48" s="2096"/>
      <c r="AB48" s="2096"/>
      <c r="AC48" s="2097"/>
      <c r="AD48" s="2095"/>
      <c r="AE48" s="2096"/>
      <c r="AF48" s="2096"/>
      <c r="AG48" s="2096"/>
      <c r="AH48" s="2096"/>
      <c r="AI48" s="2096"/>
      <c r="AJ48" s="2096"/>
      <c r="AK48" s="2096"/>
      <c r="AL48" s="2097"/>
      <c r="AM48" s="1286" t="s">
        <v>455</v>
      </c>
      <c r="AO48" s="506"/>
      <c r="AP48" s="506" t="str">
        <f>IF(T48="","",T48)</f>
        <v>Группа потребителей</v>
      </c>
      <c r="AQ48" s="506"/>
      <c r="AR48" s="506"/>
    </row>
    <row customHeight="1" ht="21">
      <c r="A49" s="1393" t="s">
        <v>251</v>
      </c>
      <c r="B49" s="1393" t="s">
        <v>252</v>
      </c>
      <c r="C49" s="1393" t="s">
        <v>253</v>
      </c>
      <c r="D49" s="1393" t="s">
        <v>254</v>
      </c>
      <c r="E49" s="2108"/>
      <c r="F49" s="2108"/>
      <c r="G49" s="2108"/>
      <c r="H49" s="2108"/>
      <c r="I49" s="2110"/>
      <c r="J49" s="2110"/>
      <c r="K49" s="2109" t="str">
        <f>J48&amp;".1"</f>
        <v>....1.1.1</v>
      </c>
      <c r="L49" s="1394" t="s">
        <v>456</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457</v>
      </c>
      <c r="AN49" s="517">
        <f>STRCHECKDATE(V50:AL50)</f>
      </c>
      <c r="AO49" s="506"/>
      <c r="AP49" s="506" t="str">
        <f>IF(T49="","",T49)</f>
        <v/>
      </c>
      <c r="AQ49" s="506"/>
      <c r="AR49" s="506"/>
    </row>
    <row customHeight="1" ht="0.75">
      <c r="A50" s="1393" t="s">
        <v>251</v>
      </c>
      <c r="B50" s="1393" t="s">
        <v>252</v>
      </c>
      <c r="C50" s="1393" t="s">
        <v>253</v>
      </c>
      <c r="D50" s="1393" t="s">
        <v>254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251</v>
      </c>
      <c r="B51" s="1393" t="s">
        <v>252</v>
      </c>
      <c r="C51" s="1393" t="s">
        <v>253</v>
      </c>
      <c r="D51" s="1393" t="s">
        <v>254</v>
      </c>
      <c r="E51" s="2108"/>
      <c r="F51" s="2108"/>
      <c r="G51" s="2108"/>
      <c r="H51" s="2108"/>
      <c r="I51" s="2110"/>
      <c r="J51" s="2109"/>
      <c r="K51" s="1393"/>
      <c r="L51" s="1394"/>
      <c r="P51" s="2111"/>
      <c r="Q51" s="2111"/>
      <c r="R51" s="352"/>
      <c r="S51" s="1308"/>
      <c r="T51" s="276" t="s">
        <v>458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251</v>
      </c>
      <c r="B52" s="1393" t="s">
        <v>252</v>
      </c>
      <c r="C52" s="1393" t="s">
        <v>253</v>
      </c>
      <c r="D52" s="1393" t="s">
        <v>254</v>
      </c>
      <c r="E52" s="2108"/>
      <c r="F52" s="2108"/>
      <c r="G52" s="2108"/>
      <c r="H52" s="2108"/>
      <c r="I52" s="2109"/>
      <c r="J52" s="1393"/>
      <c r="K52" s="1393"/>
      <c r="L52" s="1394"/>
      <c r="P52" s="2111"/>
      <c r="Q52" s="1361"/>
      <c r="R52" s="352"/>
      <c r="S52" s="1308"/>
      <c r="T52" s="275" t="s">
        <v>459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251</v>
      </c>
      <c r="B53" s="1393" t="s">
        <v>252</v>
      </c>
      <c r="C53" s="1393" t="s">
        <v>253</v>
      </c>
      <c r="D53" s="1393" t="s">
        <v>254</v>
      </c>
      <c r="E53" s="2108"/>
      <c r="F53" s="2108"/>
      <c r="G53" s="2108"/>
      <c r="H53" s="2107"/>
      <c r="I53" s="1393"/>
      <c r="J53" s="1393"/>
      <c r="K53" s="1393"/>
      <c r="L53" s="1394"/>
      <c r="M53" s="1395"/>
      <c r="N53" s="1395"/>
      <c r="O53" s="543"/>
      <c r="P53" s="356"/>
      <c r="Q53" s="376"/>
      <c r="R53" s="351"/>
      <c r="S53" s="1308"/>
      <c r="T53" s="364" t="s">
        <v>460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2" customFormat="1" customHeight="1" ht="0.75">
      <c r="A54" s="1373" t="s">
        <v>251</v>
      </c>
      <c r="B54" s="1373" t="s">
        <v>252</v>
      </c>
      <c r="C54" s="1373" t="s">
        <v>253</v>
      </c>
      <c r="D54" s="1344"/>
      <c r="E54" s="2108"/>
      <c r="F54" s="2108"/>
      <c r="G54" s="2107"/>
      <c r="H54" s="1344"/>
      <c r="I54" s="1344"/>
      <c r="J54" s="1344"/>
      <c r="K54" s="1344"/>
      <c r="L54" s="1369"/>
      <c r="M54" s="1345"/>
      <c r="N54" s="1345"/>
      <c r="P54" s="1346"/>
      <c r="Q54" s="1347"/>
      <c r="R54" s="1346"/>
      <c r="S54" s="1352"/>
      <c r="T54" s="1355" t="s">
        <v>191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75">
      <c r="A55" s="1373" t="s">
        <v>251</v>
      </c>
      <c r="B55" s="1373" t="s">
        <v>252</v>
      </c>
      <c r="C55" s="1344"/>
      <c r="D55" s="1344"/>
      <c r="E55" s="2108"/>
      <c r="F55" s="2107"/>
      <c r="G55" s="1344"/>
      <c r="H55" s="1344"/>
      <c r="I55" s="1344"/>
      <c r="J55" s="1344"/>
      <c r="K55" s="1344"/>
      <c r="L55" s="1369"/>
      <c r="M55" s="1351"/>
      <c r="N55" s="1351"/>
      <c r="P55" s="1346"/>
      <c r="Q55" s="1347"/>
      <c r="R55" s="1346"/>
      <c r="S55" s="1352"/>
      <c r="T55" s="1355" t="s">
        <v>192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251</v>
      </c>
      <c r="B56" s="1373"/>
      <c r="C56" s="1373"/>
      <c r="D56" s="1373"/>
      <c r="E56" s="2107"/>
      <c r="F56" s="1373"/>
      <c r="G56" s="1373"/>
      <c r="H56" s="1373"/>
      <c r="I56" s="1373"/>
      <c r="J56" s="1373"/>
      <c r="K56" s="1373"/>
      <c r="L56" s="1376"/>
      <c r="M56" s="1351"/>
      <c r="N56" s="1351"/>
      <c r="O56" s="524"/>
      <c r="P56" s="385"/>
      <c r="Q56" s="1374"/>
      <c r="R56" s="385"/>
      <c r="S56" s="1352"/>
      <c r="T56" s="1355" t="s">
        <v>211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2387E-B10D-1A05-D0A6-C6167232A709}" mc:Ignorable="x14ac xr xr2 xr3">
  <sheetPr>
    <tabColor theme="6" tint="0.4"/>
  </sheetPr>
  <dimension ref="A1:DL191"/>
  <sheetViews>
    <sheetView topLeftCell="Q25" showGridLines="0" zoomScale="90" workbookViewId="0" tabSelected="1">
      <selection activeCell="AL31" sqref="AL31:AR3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1" width="19.140625" hidden="1" customWidth="1"/>
    <col min="13" max="14" style="3332" width="12.28125" hidden="1" customWidth="1"/>
    <col min="15" max="15" style="3332" width="23.421875" hidden="1" customWidth="1"/>
    <col min="16" max="16" style="3353" width="3.7109375" hidden="1" customWidth="1"/>
    <col min="17" max="18" style="3409" width="3.7109375" customWidth="1"/>
    <col min="19" max="19" style="3410" width="12.7109375" customWidth="1"/>
    <col min="20" max="20" style="2983" width="32.00390625" customWidth="1"/>
    <col min="21" max="21" style="2983" width="0.140625" customWidth="1"/>
    <col min="22" max="22" style="2983" width="24.7109375" hidden="1" customWidth="1"/>
    <col min="23" max="23" style="2983" width="0.140625" hidden="1" customWidth="1"/>
    <col min="24" max="25" style="2983" width="24.7109375" hidden="1" customWidth="1"/>
    <col min="26" max="26" style="2983" width="11.7109375" hidden="1" customWidth="1"/>
    <col min="27" max="27" style="2983" width="3.7109375" hidden="1" customWidth="1"/>
    <col min="28" max="28" style="2983" width="11.7109375" hidden="1" customWidth="1"/>
    <col min="29" max="29" style="2983" width="8.57421875" hidden="1" customWidth="1"/>
    <col min="30" max="30" style="2983" width="24.7109375" customWidth="1"/>
    <col min="31" max="31" style="2983" width="0.140625" customWidth="1"/>
    <col min="32" max="33" style="2983" width="24.7109375" customWidth="1"/>
    <col min="34" max="34" style="2983" width="11.7109375" customWidth="1"/>
    <col min="35" max="35" style="2983" width="3.7109375" customWidth="1"/>
    <col min="36" max="36" style="2983" width="11.7109375" customWidth="1"/>
    <col min="37" max="37" style="2983" width="8.57421875" customWidth="1"/>
    <col min="109" max="109" width="10.57421875" hidden="1"/>
    <col min="110" max="110" style="2983" width="4.7109375" customWidth="1"/>
    <col min="111" max="111" style="2983" width="115.7109375" customWidth="1"/>
    <col min="112" max="113" style="2612" width="10.57421875"/>
    <col min="114" max="114" style="2612" width="11.140625" customWidth="1"/>
    <col min="115" max="116" style="2612" width="10.57421875"/>
  </cols>
  <sheetData>
    <row customHeight="1" ht="14.25" hidden="1">
      <c r="Y1" s="323"/>
      <c r="Z1" s="323"/>
      <c r="AG1" s="323"/>
      <c r="AH1" s="323"/>
      <c r="AL1" s="3429"/>
      <c r="AM1" s="3429"/>
      <c r="AN1" s="3429"/>
      <c r="AO1" s="3429"/>
      <c r="AP1" s="3429"/>
      <c r="AQ1" s="3429"/>
      <c r="AR1" s="3429"/>
      <c r="AS1" s="3429"/>
      <c r="AT1" s="3429"/>
      <c r="AU1" s="3429"/>
      <c r="AV1" s="3429"/>
      <c r="AW1" s="3429"/>
      <c r="AX1" s="3429"/>
      <c r="AY1" s="3429"/>
      <c r="AZ1" s="3429"/>
      <c r="BA1" s="3429"/>
      <c r="BB1" s="3429"/>
      <c r="BC1" s="3429"/>
      <c r="BD1" s="3429"/>
      <c r="BE1" s="3429"/>
      <c r="BF1" s="3429"/>
      <c r="BG1" s="3429"/>
      <c r="BH1" s="3429"/>
      <c r="BI1" s="3429"/>
      <c r="BJ1" s="3429"/>
      <c r="BK1" s="3429"/>
      <c r="BL1" s="3429"/>
      <c r="BM1" s="3429"/>
      <c r="BN1" s="3429"/>
      <c r="BO1" s="3429"/>
      <c r="BP1" s="3429"/>
      <c r="BQ1" s="3429"/>
      <c r="BR1" s="3429"/>
      <c r="BS1" s="3429"/>
      <c r="BT1" s="3429"/>
      <c r="BU1" s="3429"/>
      <c r="BV1" s="3429"/>
      <c r="BW1" s="3429"/>
      <c r="BX1" s="3429"/>
      <c r="BY1" s="3429"/>
      <c r="BZ1" s="3429"/>
      <c r="CA1" s="3429"/>
      <c r="CB1" s="3429"/>
      <c r="CC1" s="3429"/>
      <c r="CD1" s="3429"/>
      <c r="CE1" s="3429"/>
      <c r="CF1" s="3429"/>
      <c r="CG1" s="3429"/>
      <c r="CH1" s="3429"/>
      <c r="CI1" s="3429"/>
      <c r="CJ1" s="3429"/>
      <c r="CK1" s="3429"/>
      <c r="CL1" s="3429"/>
      <c r="CM1" s="3429"/>
      <c r="CN1" s="3429"/>
      <c r="CO1" s="3429"/>
      <c r="CP1" s="3429"/>
      <c r="CQ1" s="3429"/>
      <c r="CR1" s="3429"/>
      <c r="CS1" s="3429"/>
      <c r="CT1" s="3429"/>
      <c r="CU1" s="3429"/>
      <c r="CV1" s="3429"/>
      <c r="CW1" s="3429"/>
      <c r="CX1" s="3429"/>
      <c r="CY1" s="3429"/>
      <c r="CZ1" s="3429"/>
      <c r="DA1" s="3429"/>
      <c r="DB1" s="3429"/>
      <c r="DC1" s="3429"/>
      <c r="DD1" s="3429"/>
      <c r="DE1" s="3429"/>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30"/>
      <c r="AM2" s="3431"/>
      <c r="AN2" s="3431"/>
      <c r="AO2" s="3431"/>
      <c r="AP2" s="3431"/>
      <c r="AQ2" s="3431"/>
      <c r="AR2" s="3431"/>
      <c r="AS2" s="3432"/>
      <c r="AT2" s="3430"/>
      <c r="AU2" s="3431"/>
      <c r="AV2" s="3431"/>
      <c r="AW2" s="3431"/>
      <c r="AX2" s="3431"/>
      <c r="AY2" s="3431"/>
      <c r="AZ2" s="3431"/>
      <c r="BA2" s="3432"/>
      <c r="BB2" s="3430"/>
      <c r="BC2" s="3431"/>
      <c r="BD2" s="3431"/>
      <c r="BE2" s="3431"/>
      <c r="BF2" s="3431"/>
      <c r="BG2" s="3431"/>
      <c r="BH2" s="3431"/>
      <c r="BI2" s="3432"/>
      <c r="BJ2" s="3430"/>
      <c r="BK2" s="3431"/>
      <c r="BL2" s="3431"/>
      <c r="BM2" s="3431"/>
      <c r="BN2" s="3431"/>
      <c r="BO2" s="3431"/>
      <c r="BP2" s="3431"/>
      <c r="BQ2" s="3432"/>
      <c r="BR2" s="3430"/>
      <c r="BS2" s="3431"/>
      <c r="BT2" s="3431"/>
      <c r="BU2" s="3431"/>
      <c r="BV2" s="3431"/>
      <c r="BW2" s="3431"/>
      <c r="BX2" s="3431"/>
      <c r="BY2" s="3432"/>
      <c r="BZ2" s="3430"/>
      <c r="CA2" s="3431"/>
      <c r="CB2" s="3431"/>
      <c r="CC2" s="3431"/>
      <c r="CD2" s="3431"/>
      <c r="CE2" s="3431"/>
      <c r="CF2" s="3431"/>
      <c r="CG2" s="3432"/>
      <c r="CH2" s="3430"/>
      <c r="CI2" s="3431"/>
      <c r="CJ2" s="3431"/>
      <c r="CK2" s="3431"/>
      <c r="CL2" s="3431"/>
      <c r="CM2" s="3431"/>
      <c r="CN2" s="3431"/>
      <c r="CO2" s="3432"/>
      <c r="CP2" s="3430"/>
      <c r="CQ2" s="3431"/>
      <c r="CR2" s="3431"/>
      <c r="CS2" s="3431"/>
      <c r="CT2" s="3431"/>
      <c r="CU2" s="3431"/>
      <c r="CV2" s="3431"/>
      <c r="CW2" s="3432"/>
      <c r="CX2" s="3430"/>
      <c r="CY2" s="3431"/>
      <c r="CZ2" s="3431"/>
      <c r="DA2" s="3431"/>
      <c r="DB2" s="3431"/>
      <c r="DC2" s="3431"/>
      <c r="DD2" s="3431"/>
      <c r="DE2" s="3432"/>
      <c r="DF2" s="2103"/>
      <c r="DG2" s="1286" t="s">
        <v>443</v>
      </c>
      <c r="DI2" s="506"/>
      <c r="DJ2" s="506" t="str">
        <f>IF(T2="","",T2)</f>
        <v>Наименование тарифа</v>
      </c>
      <c r="DK2" s="506"/>
      <c r="DL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444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30"/>
      <c r="AM3" s="3431"/>
      <c r="AN3" s="3431"/>
      <c r="AO3" s="3431"/>
      <c r="AP3" s="3431"/>
      <c r="AQ3" s="3431"/>
      <c r="AR3" s="3431"/>
      <c r="AS3" s="3432"/>
      <c r="AT3" s="3430"/>
      <c r="AU3" s="3431"/>
      <c r="AV3" s="3431"/>
      <c r="AW3" s="3431"/>
      <c r="AX3" s="3431"/>
      <c r="AY3" s="3431"/>
      <c r="AZ3" s="3431"/>
      <c r="BA3" s="3432"/>
      <c r="BB3" s="3430"/>
      <c r="BC3" s="3431"/>
      <c r="BD3" s="3431"/>
      <c r="BE3" s="3431"/>
      <c r="BF3" s="3431"/>
      <c r="BG3" s="3431"/>
      <c r="BH3" s="3431"/>
      <c r="BI3" s="3432"/>
      <c r="BJ3" s="3430"/>
      <c r="BK3" s="3431"/>
      <c r="BL3" s="3431"/>
      <c r="BM3" s="3431"/>
      <c r="BN3" s="3431"/>
      <c r="BO3" s="3431"/>
      <c r="BP3" s="3431"/>
      <c r="BQ3" s="3432"/>
      <c r="BR3" s="3430"/>
      <c r="BS3" s="3431"/>
      <c r="BT3" s="3431"/>
      <c r="BU3" s="3431"/>
      <c r="BV3" s="3431"/>
      <c r="BW3" s="3431"/>
      <c r="BX3" s="3431"/>
      <c r="BY3" s="3432"/>
      <c r="BZ3" s="3430"/>
      <c r="CA3" s="3431"/>
      <c r="CB3" s="3431"/>
      <c r="CC3" s="3431"/>
      <c r="CD3" s="3431"/>
      <c r="CE3" s="3431"/>
      <c r="CF3" s="3431"/>
      <c r="CG3" s="3432"/>
      <c r="CH3" s="3430"/>
      <c r="CI3" s="3431"/>
      <c r="CJ3" s="3431"/>
      <c r="CK3" s="3431"/>
      <c r="CL3" s="3431"/>
      <c r="CM3" s="3431"/>
      <c r="CN3" s="3431"/>
      <c r="CO3" s="3432"/>
      <c r="CP3" s="3430"/>
      <c r="CQ3" s="3431"/>
      <c r="CR3" s="3431"/>
      <c r="CS3" s="3431"/>
      <c r="CT3" s="3431"/>
      <c r="CU3" s="3431"/>
      <c r="CV3" s="3431"/>
      <c r="CW3" s="3432"/>
      <c r="CX3" s="3430"/>
      <c r="CY3" s="3431"/>
      <c r="CZ3" s="3431"/>
      <c r="DA3" s="3431"/>
      <c r="DB3" s="3431"/>
      <c r="DC3" s="3431"/>
      <c r="DD3" s="3431"/>
      <c r="DE3" s="3432"/>
      <c r="DF3" s="2103"/>
      <c r="DG3" s="1286" t="s">
        <v>445</v>
      </c>
      <c r="DI3" s="506"/>
      <c r="DJ3" s="506" t="str">
        <f>IF(T3="","",T3)</f>
        <v>Территория действия тарифа</v>
      </c>
      <c r="DK3" s="506"/>
      <c r="DL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446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30"/>
      <c r="AM4" s="3431"/>
      <c r="AN4" s="3431"/>
      <c r="AO4" s="3431"/>
      <c r="AP4" s="3431"/>
      <c r="AQ4" s="3431"/>
      <c r="AR4" s="3431"/>
      <c r="AS4" s="3432"/>
      <c r="AT4" s="3430"/>
      <c r="AU4" s="3431"/>
      <c r="AV4" s="3431"/>
      <c r="AW4" s="3431"/>
      <c r="AX4" s="3431"/>
      <c r="AY4" s="3431"/>
      <c r="AZ4" s="3431"/>
      <c r="BA4" s="3432"/>
      <c r="BB4" s="3430"/>
      <c r="BC4" s="3431"/>
      <c r="BD4" s="3431"/>
      <c r="BE4" s="3431"/>
      <c r="BF4" s="3431"/>
      <c r="BG4" s="3431"/>
      <c r="BH4" s="3431"/>
      <c r="BI4" s="3432"/>
      <c r="BJ4" s="3430"/>
      <c r="BK4" s="3431"/>
      <c r="BL4" s="3431"/>
      <c r="BM4" s="3431"/>
      <c r="BN4" s="3431"/>
      <c r="BO4" s="3431"/>
      <c r="BP4" s="3431"/>
      <c r="BQ4" s="3432"/>
      <c r="BR4" s="3430"/>
      <c r="BS4" s="3431"/>
      <c r="BT4" s="3431"/>
      <c r="BU4" s="3431"/>
      <c r="BV4" s="3431"/>
      <c r="BW4" s="3431"/>
      <c r="BX4" s="3431"/>
      <c r="BY4" s="3432"/>
      <c r="BZ4" s="3430"/>
      <c r="CA4" s="3431"/>
      <c r="CB4" s="3431"/>
      <c r="CC4" s="3431"/>
      <c r="CD4" s="3431"/>
      <c r="CE4" s="3431"/>
      <c r="CF4" s="3431"/>
      <c r="CG4" s="3432"/>
      <c r="CH4" s="3430"/>
      <c r="CI4" s="3431"/>
      <c r="CJ4" s="3431"/>
      <c r="CK4" s="3431"/>
      <c r="CL4" s="3431"/>
      <c r="CM4" s="3431"/>
      <c r="CN4" s="3431"/>
      <c r="CO4" s="3432"/>
      <c r="CP4" s="3430"/>
      <c r="CQ4" s="3431"/>
      <c r="CR4" s="3431"/>
      <c r="CS4" s="3431"/>
      <c r="CT4" s="3431"/>
      <c r="CU4" s="3431"/>
      <c r="CV4" s="3431"/>
      <c r="CW4" s="3432"/>
      <c r="CX4" s="3430"/>
      <c r="CY4" s="3431"/>
      <c r="CZ4" s="3431"/>
      <c r="DA4" s="3431"/>
      <c r="DB4" s="3431"/>
      <c r="DC4" s="3431"/>
      <c r="DD4" s="3431"/>
      <c r="DE4" s="3432"/>
      <c r="DF4" s="2103"/>
      <c r="DG4" s="1286" t="s">
        <v>447</v>
      </c>
      <c r="DI4" s="506"/>
      <c r="DJ4" s="506" t="str">
        <f>IF(T4="","",T4)</f>
        <v>Наименование системы теплоснабжения </v>
      </c>
      <c r="DK4" s="506"/>
      <c r="DL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448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30"/>
      <c r="AM5" s="3431"/>
      <c r="AN5" s="3431"/>
      <c r="AO5" s="3431"/>
      <c r="AP5" s="3431"/>
      <c r="AQ5" s="3431"/>
      <c r="AR5" s="3431"/>
      <c r="AS5" s="3432"/>
      <c r="AT5" s="3430"/>
      <c r="AU5" s="3431"/>
      <c r="AV5" s="3431"/>
      <c r="AW5" s="3431"/>
      <c r="AX5" s="3431"/>
      <c r="AY5" s="3431"/>
      <c r="AZ5" s="3431"/>
      <c r="BA5" s="3432"/>
      <c r="BB5" s="3430"/>
      <c r="BC5" s="3431"/>
      <c r="BD5" s="3431"/>
      <c r="BE5" s="3431"/>
      <c r="BF5" s="3431"/>
      <c r="BG5" s="3431"/>
      <c r="BH5" s="3431"/>
      <c r="BI5" s="3432"/>
      <c r="BJ5" s="3430"/>
      <c r="BK5" s="3431"/>
      <c r="BL5" s="3431"/>
      <c r="BM5" s="3431"/>
      <c r="BN5" s="3431"/>
      <c r="BO5" s="3431"/>
      <c r="BP5" s="3431"/>
      <c r="BQ5" s="3432"/>
      <c r="BR5" s="3430"/>
      <c r="BS5" s="3431"/>
      <c r="BT5" s="3431"/>
      <c r="BU5" s="3431"/>
      <c r="BV5" s="3431"/>
      <c r="BW5" s="3431"/>
      <c r="BX5" s="3431"/>
      <c r="BY5" s="3432"/>
      <c r="BZ5" s="3430"/>
      <c r="CA5" s="3431"/>
      <c r="CB5" s="3431"/>
      <c r="CC5" s="3431"/>
      <c r="CD5" s="3431"/>
      <c r="CE5" s="3431"/>
      <c r="CF5" s="3431"/>
      <c r="CG5" s="3432"/>
      <c r="CH5" s="3430"/>
      <c r="CI5" s="3431"/>
      <c r="CJ5" s="3431"/>
      <c r="CK5" s="3431"/>
      <c r="CL5" s="3431"/>
      <c r="CM5" s="3431"/>
      <c r="CN5" s="3431"/>
      <c r="CO5" s="3432"/>
      <c r="CP5" s="3430"/>
      <c r="CQ5" s="3431"/>
      <c r="CR5" s="3431"/>
      <c r="CS5" s="3431"/>
      <c r="CT5" s="3431"/>
      <c r="CU5" s="3431"/>
      <c r="CV5" s="3431"/>
      <c r="CW5" s="3432"/>
      <c r="CX5" s="3430"/>
      <c r="CY5" s="3431"/>
      <c r="CZ5" s="3431"/>
      <c r="DA5" s="3431"/>
      <c r="DB5" s="3431"/>
      <c r="DC5" s="3431"/>
      <c r="DD5" s="3431"/>
      <c r="DE5" s="3432"/>
      <c r="DF5" s="2103"/>
      <c r="DG5" s="1286" t="s">
        <v>449</v>
      </c>
      <c r="DI5" s="506"/>
      <c r="DJ5" s="506" t="str">
        <f>IF(T5="","",T5)</f>
        <v>Источник тепловой энергии  </v>
      </c>
      <c r="DK5" s="506"/>
      <c r="DL5" s="506"/>
    </row>
    <row customHeight="1" ht="14.25" hidden="1">
      <c r="A6" s="1393"/>
      <c r="B6" s="1393"/>
      <c r="C6" s="1393"/>
      <c r="D6" s="1393"/>
      <c r="E6" s="2108"/>
      <c r="F6" s="2108"/>
      <c r="G6" s="2108"/>
      <c r="H6" s="2108"/>
      <c r="I6" s="2109">
        <f>S5&amp;".1"</f>
      </c>
      <c r="J6" s="1393"/>
      <c r="K6" s="1393"/>
      <c r="L6" s="1394" t="s">
        <v>450</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3439"/>
      <c r="AM6" s="3440"/>
      <c r="AN6" s="3440"/>
      <c r="AO6" s="3440"/>
      <c r="AP6" s="3440"/>
      <c r="AQ6" s="3440"/>
      <c r="AR6" s="3440"/>
      <c r="AS6" s="3441"/>
      <c r="AT6" s="3439"/>
      <c r="AU6" s="3440"/>
      <c r="AV6" s="3440"/>
      <c r="AW6" s="3440"/>
      <c r="AX6" s="3440"/>
      <c r="AY6" s="3440"/>
      <c r="AZ6" s="3440"/>
      <c r="BA6" s="3441"/>
      <c r="BB6" s="3439"/>
      <c r="BC6" s="3440"/>
      <c r="BD6" s="3440"/>
      <c r="BE6" s="3440"/>
      <c r="BF6" s="3440"/>
      <c r="BG6" s="3440"/>
      <c r="BH6" s="3440"/>
      <c r="BI6" s="3441"/>
      <c r="BJ6" s="3439"/>
      <c r="BK6" s="3440"/>
      <c r="BL6" s="3440"/>
      <c r="BM6" s="3440"/>
      <c r="BN6" s="3440"/>
      <c r="BO6" s="3440"/>
      <c r="BP6" s="3440"/>
      <c r="BQ6" s="3441"/>
      <c r="BR6" s="3439"/>
      <c r="BS6" s="3440"/>
      <c r="BT6" s="3440"/>
      <c r="BU6" s="3440"/>
      <c r="BV6" s="3440"/>
      <c r="BW6" s="3440"/>
      <c r="BX6" s="3440"/>
      <c r="BY6" s="3441"/>
      <c r="BZ6" s="3439"/>
      <c r="CA6" s="3440"/>
      <c r="CB6" s="3440"/>
      <c r="CC6" s="3440"/>
      <c r="CD6" s="3440"/>
      <c r="CE6" s="3440"/>
      <c r="CF6" s="3440"/>
      <c r="CG6" s="3441"/>
      <c r="CH6" s="3439"/>
      <c r="CI6" s="3440"/>
      <c r="CJ6" s="3440"/>
      <c r="CK6" s="3440"/>
      <c r="CL6" s="3440"/>
      <c r="CM6" s="3440"/>
      <c r="CN6" s="3440"/>
      <c r="CO6" s="3441"/>
      <c r="CP6" s="3439"/>
      <c r="CQ6" s="3440"/>
      <c r="CR6" s="3440"/>
      <c r="CS6" s="3440"/>
      <c r="CT6" s="3440"/>
      <c r="CU6" s="3440"/>
      <c r="CV6" s="3440"/>
      <c r="CW6" s="3441"/>
      <c r="CX6" s="3439"/>
      <c r="CY6" s="3440"/>
      <c r="CZ6" s="3440"/>
      <c r="DA6" s="3440"/>
      <c r="DB6" s="3440"/>
      <c r="DC6" s="3440"/>
      <c r="DD6" s="3440"/>
      <c r="DE6" s="3441"/>
      <c r="DF6" s="2149"/>
      <c r="DG6" s="1415"/>
      <c r="DI6" s="506"/>
      <c r="DJ6" s="506" t="str">
        <f>IF(T6="","",T6)</f>
        <v/>
      </c>
      <c r="DK6" s="506"/>
      <c r="DL6" s="506"/>
    </row>
    <row customHeight="1" ht="21" hidden="1">
      <c r="A7" s="1393"/>
      <c r="B7" s="1393"/>
      <c r="C7" s="1393"/>
      <c r="D7" s="1393"/>
      <c r="E7" s="2108"/>
      <c r="F7" s="2108"/>
      <c r="G7" s="2108"/>
      <c r="H7" s="2108"/>
      <c r="I7" s="2110"/>
      <c r="J7" s="2109">
        <f>I6&amp;".1"</f>
      </c>
      <c r="K7" s="1393"/>
      <c r="L7" s="1394" t="s">
        <v>453</v>
      </c>
      <c r="M7" s="543"/>
      <c r="N7" s="1396"/>
      <c r="P7" s="2111"/>
      <c r="Q7" s="2111">
        <v>1</v>
      </c>
      <c r="R7" s="353"/>
      <c r="S7" s="1366">
        <f>$J7</f>
      </c>
      <c r="T7" s="274" t="s">
        <v>454</v>
      </c>
      <c r="U7" s="288"/>
      <c r="V7" s="2095"/>
      <c r="W7" s="2096"/>
      <c r="X7" s="2096"/>
      <c r="Y7" s="2096"/>
      <c r="Z7" s="2096"/>
      <c r="AA7" s="2096"/>
      <c r="AB7" s="2096"/>
      <c r="AC7" s="2097"/>
      <c r="AD7" s="2095"/>
      <c r="AE7" s="2096"/>
      <c r="AF7" s="2096"/>
      <c r="AG7" s="2096"/>
      <c r="AH7" s="2096"/>
      <c r="AI7" s="2096"/>
      <c r="AJ7" s="2096"/>
      <c r="AK7" s="2096"/>
      <c r="AL7" s="3443"/>
      <c r="AM7" s="3444"/>
      <c r="AN7" s="3444"/>
      <c r="AO7" s="3444"/>
      <c r="AP7" s="3444"/>
      <c r="AQ7" s="3444"/>
      <c r="AR7" s="3444"/>
      <c r="AS7" s="3445"/>
      <c r="AT7" s="3443"/>
      <c r="AU7" s="3444"/>
      <c r="AV7" s="3444"/>
      <c r="AW7" s="3444"/>
      <c r="AX7" s="3444"/>
      <c r="AY7" s="3444"/>
      <c r="AZ7" s="3444"/>
      <c r="BA7" s="3445"/>
      <c r="BB7" s="3443"/>
      <c r="BC7" s="3444"/>
      <c r="BD7" s="3444"/>
      <c r="BE7" s="3444"/>
      <c r="BF7" s="3444"/>
      <c r="BG7" s="3444"/>
      <c r="BH7" s="3444"/>
      <c r="BI7" s="3445"/>
      <c r="BJ7" s="3443"/>
      <c r="BK7" s="3444"/>
      <c r="BL7" s="3444"/>
      <c r="BM7" s="3444"/>
      <c r="BN7" s="3444"/>
      <c r="BO7" s="3444"/>
      <c r="BP7" s="3444"/>
      <c r="BQ7" s="3445"/>
      <c r="BR7" s="3443"/>
      <c r="BS7" s="3444"/>
      <c r="BT7" s="3444"/>
      <c r="BU7" s="3444"/>
      <c r="BV7" s="3444"/>
      <c r="BW7" s="3444"/>
      <c r="BX7" s="3444"/>
      <c r="BY7" s="3445"/>
      <c r="BZ7" s="3443"/>
      <c r="CA7" s="3444"/>
      <c r="CB7" s="3444"/>
      <c r="CC7" s="3444"/>
      <c r="CD7" s="3444"/>
      <c r="CE7" s="3444"/>
      <c r="CF7" s="3444"/>
      <c r="CG7" s="3445"/>
      <c r="CH7" s="3443"/>
      <c r="CI7" s="3444"/>
      <c r="CJ7" s="3444"/>
      <c r="CK7" s="3444"/>
      <c r="CL7" s="3444"/>
      <c r="CM7" s="3444"/>
      <c r="CN7" s="3444"/>
      <c r="CO7" s="3445"/>
      <c r="CP7" s="3443"/>
      <c r="CQ7" s="3444"/>
      <c r="CR7" s="3444"/>
      <c r="CS7" s="3444"/>
      <c r="CT7" s="3444"/>
      <c r="CU7" s="3444"/>
      <c r="CV7" s="3444"/>
      <c r="CW7" s="3445"/>
      <c r="CX7" s="3443"/>
      <c r="CY7" s="3444"/>
      <c r="CZ7" s="3444"/>
      <c r="DA7" s="3444"/>
      <c r="DB7" s="3444"/>
      <c r="DC7" s="3444"/>
      <c r="DD7" s="3444"/>
      <c r="DE7" s="3445"/>
      <c r="DF7" s="2097"/>
      <c r="DG7" s="1286" t="s">
        <v>455</v>
      </c>
      <c r="DI7" s="506"/>
      <c r="DJ7" s="506" t="str">
        <f>IF(T7="","",T7)</f>
        <v>Группа потребителей</v>
      </c>
      <c r="DK7" s="506"/>
      <c r="DL7" s="506"/>
    </row>
    <row customHeight="1" ht="21" hidden="1">
      <c r="A8" s="1393"/>
      <c r="B8" s="1393"/>
      <c r="C8" s="1393"/>
      <c r="D8" s="1393"/>
      <c r="E8" s="2108"/>
      <c r="F8" s="2108"/>
      <c r="G8" s="2108"/>
      <c r="H8" s="2108"/>
      <c r="I8" s="2110"/>
      <c r="J8" s="2110"/>
      <c r="K8" s="2109">
        <f>J7&amp;".1"</f>
      </c>
      <c r="L8" s="1394" t="s">
        <v>456</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446"/>
      <c r="AM8" s="3447"/>
      <c r="AN8" s="3446"/>
      <c r="AO8" s="3448"/>
      <c r="AP8" s="3449"/>
      <c r="AQ8" s="2872" t="s">
        <v>61</v>
      </c>
      <c r="AR8" s="3449"/>
      <c r="AS8" s="2872" t="s">
        <v>61</v>
      </c>
      <c r="AT8" s="3446"/>
      <c r="AU8" s="3447"/>
      <c r="AV8" s="3446"/>
      <c r="AW8" s="3448"/>
      <c r="AX8" s="3449"/>
      <c r="AY8" s="2872" t="s">
        <v>61</v>
      </c>
      <c r="AZ8" s="3449"/>
      <c r="BA8" s="2872" t="s">
        <v>61</v>
      </c>
      <c r="BB8" s="3446"/>
      <c r="BC8" s="3447"/>
      <c r="BD8" s="3446"/>
      <c r="BE8" s="3448"/>
      <c r="BF8" s="3449"/>
      <c r="BG8" s="2872" t="s">
        <v>61</v>
      </c>
      <c r="BH8" s="3449"/>
      <c r="BI8" s="2872" t="s">
        <v>61</v>
      </c>
      <c r="BJ8" s="3446"/>
      <c r="BK8" s="3447"/>
      <c r="BL8" s="3446"/>
      <c r="BM8" s="3448"/>
      <c r="BN8" s="3449"/>
      <c r="BO8" s="2872" t="s">
        <v>61</v>
      </c>
      <c r="BP8" s="3449"/>
      <c r="BQ8" s="2872" t="s">
        <v>61</v>
      </c>
      <c r="BR8" s="3446"/>
      <c r="BS8" s="3447"/>
      <c r="BT8" s="3446"/>
      <c r="BU8" s="3448"/>
      <c r="BV8" s="3449"/>
      <c r="BW8" s="2872" t="s">
        <v>61</v>
      </c>
      <c r="BX8" s="3449"/>
      <c r="BY8" s="2872" t="s">
        <v>61</v>
      </c>
      <c r="BZ8" s="3446"/>
      <c r="CA8" s="3447"/>
      <c r="CB8" s="3446"/>
      <c r="CC8" s="3448"/>
      <c r="CD8" s="3449"/>
      <c r="CE8" s="2872" t="s">
        <v>61</v>
      </c>
      <c r="CF8" s="3449"/>
      <c r="CG8" s="2872" t="s">
        <v>61</v>
      </c>
      <c r="CH8" s="3446"/>
      <c r="CI8" s="3447"/>
      <c r="CJ8" s="3446"/>
      <c r="CK8" s="3448"/>
      <c r="CL8" s="3449"/>
      <c r="CM8" s="2872" t="s">
        <v>61</v>
      </c>
      <c r="CN8" s="3449"/>
      <c r="CO8" s="2872" t="s">
        <v>61</v>
      </c>
      <c r="CP8" s="3446"/>
      <c r="CQ8" s="3447"/>
      <c r="CR8" s="3446"/>
      <c r="CS8" s="3448"/>
      <c r="CT8" s="3449"/>
      <c r="CU8" s="2872" t="s">
        <v>61</v>
      </c>
      <c r="CV8" s="3449"/>
      <c r="CW8" s="2872" t="s">
        <v>61</v>
      </c>
      <c r="CX8" s="3446"/>
      <c r="CY8" s="3447"/>
      <c r="CZ8" s="3446"/>
      <c r="DA8" s="3448"/>
      <c r="DB8" s="3449"/>
      <c r="DC8" s="2872" t="s">
        <v>61</v>
      </c>
      <c r="DD8" s="3449"/>
      <c r="DE8" s="2872" t="s">
        <v>61</v>
      </c>
      <c r="DF8" s="320"/>
      <c r="DG8" s="2137" t="s">
        <v>457</v>
      </c>
      <c r="DH8" s="517">
        <f>STRCHECKDATE(V9:DF9)</f>
      </c>
      <c r="DI8" s="506"/>
      <c r="DJ8" s="506" t="str">
        <f>IF(T8="","",T8)</f>
        <v/>
      </c>
      <c r="DK8" s="506"/>
      <c r="DL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47"/>
      <c r="AM9" s="3447"/>
      <c r="AN9" s="3447"/>
      <c r="AO9" s="3450" t="str">
        <f>AP8&amp;"-"&amp;AR8</f>
        <v>-</v>
      </c>
      <c r="AP9" s="3451"/>
      <c r="AQ9" s="2872"/>
      <c r="AR9" s="3451"/>
      <c r="AS9" s="2872"/>
      <c r="AT9" s="3447"/>
      <c r="AU9" s="3447"/>
      <c r="AV9" s="3447"/>
      <c r="AW9" s="3450" t="str">
        <f>AX8&amp;"-"&amp;AZ8</f>
        <v>-</v>
      </c>
      <c r="AX9" s="3451"/>
      <c r="AY9" s="2872"/>
      <c r="AZ9" s="3451"/>
      <c r="BA9" s="2872"/>
      <c r="BB9" s="3447"/>
      <c r="BC9" s="3447"/>
      <c r="BD9" s="3447"/>
      <c r="BE9" s="3450" t="str">
        <f>BF8&amp;"-"&amp;BH8</f>
        <v>-</v>
      </c>
      <c r="BF9" s="3451"/>
      <c r="BG9" s="2872"/>
      <c r="BH9" s="3451"/>
      <c r="BI9" s="2872"/>
      <c r="BJ9" s="3447"/>
      <c r="BK9" s="3447"/>
      <c r="BL9" s="3447"/>
      <c r="BM9" s="3450" t="str">
        <f>BN8&amp;"-"&amp;BP8</f>
        <v>-</v>
      </c>
      <c r="BN9" s="3451"/>
      <c r="BO9" s="2872"/>
      <c r="BP9" s="3451"/>
      <c r="BQ9" s="2872"/>
      <c r="BR9" s="3447"/>
      <c r="BS9" s="3447"/>
      <c r="BT9" s="3447"/>
      <c r="BU9" s="3450" t="str">
        <f>BV8&amp;"-"&amp;BX8</f>
        <v>-</v>
      </c>
      <c r="BV9" s="3451"/>
      <c r="BW9" s="2872"/>
      <c r="BX9" s="3451"/>
      <c r="BY9" s="2872"/>
      <c r="BZ9" s="3447"/>
      <c r="CA9" s="3447"/>
      <c r="CB9" s="3447"/>
      <c r="CC9" s="3450" t="str">
        <f>CD8&amp;"-"&amp;CF8</f>
        <v>-</v>
      </c>
      <c r="CD9" s="3451"/>
      <c r="CE9" s="2872"/>
      <c r="CF9" s="3451"/>
      <c r="CG9" s="2872"/>
      <c r="CH9" s="3447"/>
      <c r="CI9" s="3447"/>
      <c r="CJ9" s="3447"/>
      <c r="CK9" s="3450" t="str">
        <f>CL8&amp;"-"&amp;CN8</f>
        <v>-</v>
      </c>
      <c r="CL9" s="3451"/>
      <c r="CM9" s="2872"/>
      <c r="CN9" s="3451"/>
      <c r="CO9" s="2872"/>
      <c r="CP9" s="3447"/>
      <c r="CQ9" s="3447"/>
      <c r="CR9" s="3447"/>
      <c r="CS9" s="3450" t="str">
        <f>CT8&amp;"-"&amp;CV8</f>
        <v>-</v>
      </c>
      <c r="CT9" s="3451"/>
      <c r="CU9" s="2872"/>
      <c r="CV9" s="3451"/>
      <c r="CW9" s="2872"/>
      <c r="CX9" s="3447"/>
      <c r="CY9" s="3447"/>
      <c r="CZ9" s="3447"/>
      <c r="DA9" s="3450" t="str">
        <f>DB8&amp;"-"&amp;DD8</f>
        <v>-</v>
      </c>
      <c r="DB9" s="3451"/>
      <c r="DC9" s="2872"/>
      <c r="DD9" s="3451"/>
      <c r="DE9" s="2872"/>
      <c r="DF9" s="320"/>
      <c r="DG9" s="2138"/>
      <c r="DI9" s="506"/>
      <c r="DJ9" s="506" t="str">
        <f>IF(T9="","",T9)</f>
        <v/>
      </c>
      <c r="DK9" s="506"/>
      <c r="DL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458</v>
      </c>
      <c r="U10" s="367"/>
      <c r="V10" s="367"/>
      <c r="W10" s="367"/>
      <c r="X10" s="367"/>
      <c r="Y10" s="367"/>
      <c r="Z10" s="367"/>
      <c r="AA10" s="367"/>
      <c r="AB10" s="367"/>
      <c r="AC10" s="367"/>
      <c r="AD10" s="367"/>
      <c r="AE10" s="367"/>
      <c r="AF10" s="367"/>
      <c r="AG10" s="367"/>
      <c r="AH10" s="367"/>
      <c r="AI10" s="367"/>
      <c r="AJ10" s="367"/>
      <c r="AK10" s="367"/>
      <c r="AL10" s="3452"/>
      <c r="AM10" s="3453"/>
      <c r="AN10" s="3454"/>
      <c r="AO10" s="3455"/>
      <c r="AP10" s="3456"/>
      <c r="AQ10" s="3457"/>
      <c r="AR10" s="3458"/>
      <c r="AS10" s="3459"/>
      <c r="AT10" s="3460"/>
      <c r="AU10" s="3461"/>
      <c r="AV10" s="3462"/>
      <c r="AW10" s="3463"/>
      <c r="AX10" s="3464"/>
      <c r="AY10" s="3465"/>
      <c r="AZ10" s="3466"/>
      <c r="BA10" s="3467"/>
      <c r="BB10" s="3468"/>
      <c r="BC10" s="3469"/>
      <c r="BD10" s="3470"/>
      <c r="BE10" s="3471"/>
      <c r="BF10" s="3472"/>
      <c r="BG10" s="3473"/>
      <c r="BH10" s="3474"/>
      <c r="BI10" s="3475"/>
      <c r="BJ10" s="3476"/>
      <c r="BK10" s="3477"/>
      <c r="BL10" s="3478"/>
      <c r="BM10" s="3479"/>
      <c r="BN10" s="3480"/>
      <c r="BO10" s="3481"/>
      <c r="BP10" s="3482"/>
      <c r="BQ10" s="3483"/>
      <c r="BR10" s="3484"/>
      <c r="BS10" s="3485"/>
      <c r="BT10" s="3486"/>
      <c r="BU10" s="3487"/>
      <c r="BV10" s="3488"/>
      <c r="BW10" s="3489"/>
      <c r="BX10" s="3490"/>
      <c r="BY10" s="3491"/>
      <c r="BZ10" s="3492"/>
      <c r="CA10" s="3493"/>
      <c r="CB10" s="3494"/>
      <c r="CC10" s="3495"/>
      <c r="CD10" s="3496"/>
      <c r="CE10" s="3497"/>
      <c r="CF10" s="3498"/>
      <c r="CG10" s="3499"/>
      <c r="CH10" s="3500"/>
      <c r="CI10" s="3501"/>
      <c r="CJ10" s="3502"/>
      <c r="CK10" s="3503"/>
      <c r="CL10" s="3504"/>
      <c r="CM10" s="3505"/>
      <c r="CN10" s="3506"/>
      <c r="CO10" s="3507"/>
      <c r="CP10" s="3508"/>
      <c r="CQ10" s="3509"/>
      <c r="CR10" s="3510"/>
      <c r="CS10" s="3511"/>
      <c r="CT10" s="3512"/>
      <c r="CU10" s="3513"/>
      <c r="CV10" s="3514"/>
      <c r="CW10" s="3515"/>
      <c r="CX10" s="3516"/>
      <c r="CY10" s="3517"/>
      <c r="CZ10" s="3518"/>
      <c r="DA10" s="3519"/>
      <c r="DB10" s="3520"/>
      <c r="DC10" s="3521"/>
      <c r="DD10" s="3522"/>
      <c r="DE10" s="3523"/>
      <c r="DF10" s="319"/>
      <c r="DG10" s="2139"/>
      <c r="DI10" s="506"/>
      <c r="DJ10" s="506" t="str">
        <f>IF(T10="","",T10)</f>
        <v>Добавить вид теплоносителя (параметры теплоносителя)</v>
      </c>
      <c r="DK10" s="506"/>
      <c r="DL10" s="506"/>
    </row>
    <row customHeight="1" ht="15" hidden="1">
      <c r="A11" s="1393"/>
      <c r="B11" s="1393"/>
      <c r="C11" s="1393"/>
      <c r="D11" s="1393"/>
      <c r="E11" s="2108"/>
      <c r="F11" s="2108"/>
      <c r="G11" s="2108"/>
      <c r="H11" s="2108"/>
      <c r="I11" s="2109"/>
      <c r="J11" s="1393"/>
      <c r="K11" s="1393"/>
      <c r="L11" s="1394"/>
      <c r="M11" s="543"/>
      <c r="P11" s="2111"/>
      <c r="Q11" s="1361"/>
      <c r="R11" s="352"/>
      <c r="S11" s="1308"/>
      <c r="T11" s="364" t="s">
        <v>459</v>
      </c>
      <c r="U11" s="367"/>
      <c r="V11" s="367"/>
      <c r="W11" s="367"/>
      <c r="X11" s="367"/>
      <c r="Y11" s="367"/>
      <c r="Z11" s="367"/>
      <c r="AA11" s="367"/>
      <c r="AB11" s="367"/>
      <c r="AC11" s="366"/>
      <c r="AD11" s="367"/>
      <c r="AE11" s="367"/>
      <c r="AF11" s="367"/>
      <c r="AG11" s="367"/>
      <c r="AH11" s="367"/>
      <c r="AI11" s="367"/>
      <c r="AJ11" s="367"/>
      <c r="AK11" s="366"/>
      <c r="AL11" s="3524"/>
      <c r="AM11" s="3525"/>
      <c r="AN11" s="3526"/>
      <c r="AO11" s="3527"/>
      <c r="AP11" s="3528"/>
      <c r="AQ11" s="3529"/>
      <c r="AR11" s="3530"/>
      <c r="AS11" s="3531"/>
      <c r="AT11" s="3532"/>
      <c r="AU11" s="3533"/>
      <c r="AV11" s="3534"/>
      <c r="AW11" s="3535"/>
      <c r="AX11" s="3536"/>
      <c r="AY11" s="3537"/>
      <c r="AZ11" s="3538"/>
      <c r="BA11" s="3539"/>
      <c r="BB11" s="3540"/>
      <c r="BC11" s="3541"/>
      <c r="BD11" s="3542"/>
      <c r="BE11" s="3543"/>
      <c r="BF11" s="3544"/>
      <c r="BG11" s="3545"/>
      <c r="BH11" s="3546"/>
      <c r="BI11" s="3547"/>
      <c r="BJ11" s="3548"/>
      <c r="BK11" s="3549"/>
      <c r="BL11" s="3550"/>
      <c r="BM11" s="3551"/>
      <c r="BN11" s="3552"/>
      <c r="BO11" s="3553"/>
      <c r="BP11" s="3554"/>
      <c r="BQ11" s="3555"/>
      <c r="BR11" s="3556"/>
      <c r="BS11" s="3557"/>
      <c r="BT11" s="3558"/>
      <c r="BU11" s="3559"/>
      <c r="BV11" s="3560"/>
      <c r="BW11" s="3561"/>
      <c r="BX11" s="3562"/>
      <c r="BY11" s="3563"/>
      <c r="BZ11" s="3564"/>
      <c r="CA11" s="3565"/>
      <c r="CB11" s="3566"/>
      <c r="CC11" s="3567"/>
      <c r="CD11" s="3568"/>
      <c r="CE11" s="3569"/>
      <c r="CF11" s="3570"/>
      <c r="CG11" s="3571"/>
      <c r="CH11" s="3572"/>
      <c r="CI11" s="3573"/>
      <c r="CJ11" s="3574"/>
      <c r="CK11" s="3575"/>
      <c r="CL11" s="3576"/>
      <c r="CM11" s="3577"/>
      <c r="CN11" s="3578"/>
      <c r="CO11" s="3579"/>
      <c r="CP11" s="3580"/>
      <c r="CQ11" s="3581"/>
      <c r="CR11" s="3582"/>
      <c r="CS11" s="3583"/>
      <c r="CT11" s="3584"/>
      <c r="CU11" s="3585"/>
      <c r="CV11" s="3586"/>
      <c r="CW11" s="3587"/>
      <c r="CX11" s="3588"/>
      <c r="CY11" s="3589"/>
      <c r="CZ11" s="3590"/>
      <c r="DA11" s="3591"/>
      <c r="DB11" s="3592"/>
      <c r="DC11" s="3593"/>
      <c r="DD11" s="3594"/>
      <c r="DE11" s="3595"/>
      <c r="DF11" s="367"/>
      <c r="DG11" s="291"/>
      <c r="DI11" s="506"/>
      <c r="DJ11" s="506" t="str">
        <f>IF(T11="","",T11)</f>
        <v>Добавить группу потребителей</v>
      </c>
      <c r="DK11" s="506"/>
      <c r="DL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3599"/>
      <c r="AM12" s="3599"/>
      <c r="AN12" s="3599"/>
      <c r="AO12" s="3599"/>
      <c r="AP12" s="3599"/>
      <c r="AQ12" s="3599"/>
      <c r="AR12" s="3599"/>
      <c r="AS12" s="3599"/>
      <c r="AT12" s="3599"/>
      <c r="AU12" s="3599"/>
      <c r="AV12" s="3599"/>
      <c r="AW12" s="3599"/>
      <c r="AX12" s="3599"/>
      <c r="AY12" s="3599"/>
      <c r="AZ12" s="3599"/>
      <c r="BA12" s="3599"/>
      <c r="BB12" s="3599"/>
      <c r="BC12" s="3599"/>
      <c r="BD12" s="3599"/>
      <c r="BE12" s="3599"/>
      <c r="BF12" s="3599"/>
      <c r="BG12" s="3599"/>
      <c r="BH12" s="3599"/>
      <c r="BI12" s="3599"/>
      <c r="BJ12" s="3599"/>
      <c r="BK12" s="3599"/>
      <c r="BL12" s="3599"/>
      <c r="BM12" s="3599"/>
      <c r="BN12" s="3599"/>
      <c r="BO12" s="3599"/>
      <c r="BP12" s="3599"/>
      <c r="BQ12" s="3599"/>
      <c r="BR12" s="3599"/>
      <c r="BS12" s="3599"/>
      <c r="BT12" s="3599"/>
      <c r="BU12" s="3599"/>
      <c r="BV12" s="3599"/>
      <c r="BW12" s="3599"/>
      <c r="BX12" s="3599"/>
      <c r="BY12" s="3599"/>
      <c r="BZ12" s="3599"/>
      <c r="CA12" s="3599"/>
      <c r="CB12" s="3599"/>
      <c r="CC12" s="3599"/>
      <c r="CD12" s="3599"/>
      <c r="CE12" s="3599"/>
      <c r="CF12" s="3599"/>
      <c r="CG12" s="3599"/>
      <c r="CH12" s="3599"/>
      <c r="CI12" s="3599"/>
      <c r="CJ12" s="3599"/>
      <c r="CK12" s="3599"/>
      <c r="CL12" s="3599"/>
      <c r="CM12" s="3599"/>
      <c r="CN12" s="3599"/>
      <c r="CO12" s="3599"/>
      <c r="CP12" s="3599"/>
      <c r="CQ12" s="3599"/>
      <c r="CR12" s="3599"/>
      <c r="CS12" s="3599"/>
      <c r="CT12" s="3599"/>
      <c r="CU12" s="3599"/>
      <c r="CV12" s="3599"/>
      <c r="CW12" s="3599"/>
      <c r="CX12" s="3599"/>
      <c r="CY12" s="3599"/>
      <c r="CZ12" s="3599"/>
      <c r="DA12" s="3599"/>
      <c r="DB12" s="3599"/>
      <c r="DC12" s="3599"/>
      <c r="DD12" s="3599"/>
      <c r="DE12" s="3599"/>
      <c r="DF12" s="1418"/>
      <c r="DG12" s="1419"/>
      <c r="DI12" s="506"/>
      <c r="DJ12" s="506" t="str">
        <f>IF(T12="","",T12)</f>
        <v/>
      </c>
      <c r="DK12" s="506"/>
      <c r="DL12" s="506"/>
    </row>
    <row s="331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191</v>
      </c>
      <c r="U13" s="1350"/>
      <c r="V13" s="1350"/>
      <c r="W13" s="1350"/>
      <c r="X13" s="1350"/>
      <c r="Y13" s="1350"/>
      <c r="Z13" s="1350"/>
      <c r="AA13" s="1350"/>
      <c r="AB13" s="1350"/>
      <c r="AC13" s="1350"/>
      <c r="AD13" s="1350"/>
      <c r="AE13" s="1350"/>
      <c r="AF13" s="1350"/>
      <c r="AG13" s="1350"/>
      <c r="AH13" s="1350"/>
      <c r="AI13" s="1350"/>
      <c r="AJ13" s="1350"/>
      <c r="AK13" s="1350"/>
      <c r="AL13" s="3601"/>
      <c r="AM13" s="3601"/>
      <c r="AN13" s="3601"/>
      <c r="AO13" s="3601"/>
      <c r="AP13" s="3601"/>
      <c r="AQ13" s="3601"/>
      <c r="AR13" s="3601"/>
      <c r="AS13" s="3601"/>
      <c r="AT13" s="3601"/>
      <c r="AU13" s="3601"/>
      <c r="AV13" s="3601"/>
      <c r="AW13" s="3601"/>
      <c r="AX13" s="3601"/>
      <c r="AY13" s="3601"/>
      <c r="AZ13" s="3601"/>
      <c r="BA13" s="3601"/>
      <c r="BB13" s="3601"/>
      <c r="BC13" s="3601"/>
      <c r="BD13" s="3601"/>
      <c r="BE13" s="3601"/>
      <c r="BF13" s="3601"/>
      <c r="BG13" s="3601"/>
      <c r="BH13" s="3601"/>
      <c r="BI13" s="3601"/>
      <c r="BJ13" s="3601"/>
      <c r="BK13" s="3601"/>
      <c r="BL13" s="3601"/>
      <c r="BM13" s="3601"/>
      <c r="BN13" s="3601"/>
      <c r="BO13" s="3601"/>
      <c r="BP13" s="3601"/>
      <c r="BQ13" s="3601"/>
      <c r="BR13" s="3601"/>
      <c r="BS13" s="3601"/>
      <c r="BT13" s="3601"/>
      <c r="BU13" s="3601"/>
      <c r="BV13" s="3601"/>
      <c r="BW13" s="3601"/>
      <c r="BX13" s="3601"/>
      <c r="BY13" s="3601"/>
      <c r="BZ13" s="3601"/>
      <c r="CA13" s="3601"/>
      <c r="CB13" s="3601"/>
      <c r="CC13" s="3601"/>
      <c r="CD13" s="3601"/>
      <c r="CE13" s="3601"/>
      <c r="CF13" s="3601"/>
      <c r="CG13" s="3601"/>
      <c r="CH13" s="3601"/>
      <c r="CI13" s="3601"/>
      <c r="CJ13" s="3601"/>
      <c r="CK13" s="3601"/>
      <c r="CL13" s="3601"/>
      <c r="CM13" s="3601"/>
      <c r="CN13" s="3601"/>
      <c r="CO13" s="3601"/>
      <c r="CP13" s="3601"/>
      <c r="CQ13" s="3601"/>
      <c r="CR13" s="3601"/>
      <c r="CS13" s="3601"/>
      <c r="CT13" s="3601"/>
      <c r="CU13" s="3601"/>
      <c r="CV13" s="3601"/>
      <c r="CW13" s="3601"/>
      <c r="CX13" s="3601"/>
      <c r="CY13" s="3601"/>
      <c r="CZ13" s="3601"/>
      <c r="DA13" s="3601"/>
      <c r="DB13" s="3601"/>
      <c r="DC13" s="3601"/>
      <c r="DD13" s="3601"/>
      <c r="DE13" s="3601"/>
      <c r="DF13" s="1350"/>
      <c r="DG13" s="1350"/>
      <c r="DI13" s="795"/>
      <c r="DJ13" s="795" t="str">
        <f>IF(T13="","",T13)</f>
        <v>Добавить источник для дифференциации</v>
      </c>
      <c r="DK13" s="795"/>
      <c r="DL13" s="795"/>
    </row>
    <row s="331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192</v>
      </c>
      <c r="U14" s="1354"/>
      <c r="V14" s="1354"/>
      <c r="W14" s="1354"/>
      <c r="X14" s="1354"/>
      <c r="Y14" s="1354"/>
      <c r="Z14" s="1354"/>
      <c r="AA14" s="1354"/>
      <c r="AB14" s="1354"/>
      <c r="AC14" s="1354"/>
      <c r="AD14" s="1354"/>
      <c r="AE14" s="1354"/>
      <c r="AF14" s="1354"/>
      <c r="AG14" s="1354"/>
      <c r="AH14" s="1354"/>
      <c r="AI14" s="1354"/>
      <c r="AJ14" s="1354"/>
      <c r="AK14" s="1354"/>
      <c r="AL14" s="3602"/>
      <c r="AM14" s="3602"/>
      <c r="AN14" s="3602"/>
      <c r="AO14" s="3602"/>
      <c r="AP14" s="3602"/>
      <c r="AQ14" s="3602"/>
      <c r="AR14" s="3602"/>
      <c r="AS14" s="3602"/>
      <c r="AT14" s="3602"/>
      <c r="AU14" s="3602"/>
      <c r="AV14" s="3602"/>
      <c r="AW14" s="3602"/>
      <c r="AX14" s="3602"/>
      <c r="AY14" s="3602"/>
      <c r="AZ14" s="3602"/>
      <c r="BA14" s="3602"/>
      <c r="BB14" s="3602"/>
      <c r="BC14" s="3602"/>
      <c r="BD14" s="3602"/>
      <c r="BE14" s="3602"/>
      <c r="BF14" s="3602"/>
      <c r="BG14" s="3602"/>
      <c r="BH14" s="3602"/>
      <c r="BI14" s="3602"/>
      <c r="BJ14" s="3602"/>
      <c r="BK14" s="3602"/>
      <c r="BL14" s="3602"/>
      <c r="BM14" s="3602"/>
      <c r="BN14" s="3602"/>
      <c r="BO14" s="3602"/>
      <c r="BP14" s="3602"/>
      <c r="BQ14" s="3602"/>
      <c r="BR14" s="3602"/>
      <c r="BS14" s="3602"/>
      <c r="BT14" s="3602"/>
      <c r="BU14" s="3602"/>
      <c r="BV14" s="3602"/>
      <c r="BW14" s="3602"/>
      <c r="BX14" s="3602"/>
      <c r="BY14" s="3602"/>
      <c r="BZ14" s="3602"/>
      <c r="CA14" s="3602"/>
      <c r="CB14" s="3602"/>
      <c r="CC14" s="3602"/>
      <c r="CD14" s="3602"/>
      <c r="CE14" s="3602"/>
      <c r="CF14" s="3602"/>
      <c r="CG14" s="3602"/>
      <c r="CH14" s="3602"/>
      <c r="CI14" s="3602"/>
      <c r="CJ14" s="3602"/>
      <c r="CK14" s="3602"/>
      <c r="CL14" s="3602"/>
      <c r="CM14" s="3602"/>
      <c r="CN14" s="3602"/>
      <c r="CO14" s="3602"/>
      <c r="CP14" s="3602"/>
      <c r="CQ14" s="3602"/>
      <c r="CR14" s="3602"/>
      <c r="CS14" s="3602"/>
      <c r="CT14" s="3602"/>
      <c r="CU14" s="3602"/>
      <c r="CV14" s="3602"/>
      <c r="CW14" s="3602"/>
      <c r="CX14" s="3602"/>
      <c r="CY14" s="3602"/>
      <c r="CZ14" s="3602"/>
      <c r="DA14" s="3602"/>
      <c r="DB14" s="3602"/>
      <c r="DC14" s="3602"/>
      <c r="DD14" s="3602"/>
      <c r="DE14" s="3602"/>
      <c r="DF14" s="1354"/>
      <c r="DG14" s="1354"/>
      <c r="DI14" s="795"/>
      <c r="DJ14" s="795" t="str">
        <f>IF(T14="","",T14)</f>
        <v>Добавить централизованную систему для дифференциации</v>
      </c>
      <c r="DK14" s="795"/>
      <c r="DL14" s="795"/>
    </row>
    <row s="331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211</v>
      </c>
      <c r="U15" s="1354"/>
      <c r="V15" s="1354"/>
      <c r="W15" s="1354"/>
      <c r="X15" s="1354"/>
      <c r="Y15" s="1354"/>
      <c r="Z15" s="1354"/>
      <c r="AA15" s="1354"/>
      <c r="AB15" s="1354"/>
      <c r="AC15" s="1354"/>
      <c r="AD15" s="1354"/>
      <c r="AE15" s="1354"/>
      <c r="AF15" s="1354"/>
      <c r="AG15" s="1354"/>
      <c r="AH15" s="1354"/>
      <c r="AI15" s="1354"/>
      <c r="AJ15" s="1354"/>
      <c r="AK15" s="1354"/>
      <c r="AL15" s="3602"/>
      <c r="AM15" s="3602"/>
      <c r="AN15" s="3602"/>
      <c r="AO15" s="3602"/>
      <c r="AP15" s="3602"/>
      <c r="AQ15" s="3602"/>
      <c r="AR15" s="3602"/>
      <c r="AS15" s="3602"/>
      <c r="AT15" s="3602"/>
      <c r="AU15" s="3602"/>
      <c r="AV15" s="3602"/>
      <c r="AW15" s="3602"/>
      <c r="AX15" s="3602"/>
      <c r="AY15" s="3602"/>
      <c r="AZ15" s="3602"/>
      <c r="BA15" s="3602"/>
      <c r="BB15" s="3602"/>
      <c r="BC15" s="3602"/>
      <c r="BD15" s="3602"/>
      <c r="BE15" s="3602"/>
      <c r="BF15" s="3602"/>
      <c r="BG15" s="3602"/>
      <c r="BH15" s="3602"/>
      <c r="BI15" s="3602"/>
      <c r="BJ15" s="3602"/>
      <c r="BK15" s="3602"/>
      <c r="BL15" s="3602"/>
      <c r="BM15" s="3602"/>
      <c r="BN15" s="3602"/>
      <c r="BO15" s="3602"/>
      <c r="BP15" s="3602"/>
      <c r="BQ15" s="3602"/>
      <c r="BR15" s="3602"/>
      <c r="BS15" s="3602"/>
      <c r="BT15" s="3602"/>
      <c r="BU15" s="3602"/>
      <c r="BV15" s="3602"/>
      <c r="BW15" s="3602"/>
      <c r="BX15" s="3602"/>
      <c r="BY15" s="3602"/>
      <c r="BZ15" s="3602"/>
      <c r="CA15" s="3602"/>
      <c r="CB15" s="3602"/>
      <c r="CC15" s="3602"/>
      <c r="CD15" s="3602"/>
      <c r="CE15" s="3602"/>
      <c r="CF15" s="3602"/>
      <c r="CG15" s="3602"/>
      <c r="CH15" s="3602"/>
      <c r="CI15" s="3602"/>
      <c r="CJ15" s="3602"/>
      <c r="CK15" s="3602"/>
      <c r="CL15" s="3602"/>
      <c r="CM15" s="3602"/>
      <c r="CN15" s="3602"/>
      <c r="CO15" s="3602"/>
      <c r="CP15" s="3602"/>
      <c r="CQ15" s="3602"/>
      <c r="CR15" s="3602"/>
      <c r="CS15" s="3602"/>
      <c r="CT15" s="3602"/>
      <c r="CU15" s="3602"/>
      <c r="CV15" s="3602"/>
      <c r="CW15" s="3602"/>
      <c r="CX15" s="3602"/>
      <c r="CY15" s="3602"/>
      <c r="CZ15" s="3602"/>
      <c r="DA15" s="3602"/>
      <c r="DB15" s="3602"/>
      <c r="DC15" s="3602"/>
      <c r="DD15" s="3602"/>
      <c r="DE15" s="3602"/>
      <c r="DF15" s="1354"/>
      <c r="DG15" s="1354"/>
      <c r="DI15" s="795"/>
      <c r="DJ15" s="795" t="str">
        <f>IF(T15="","",T15)</f>
        <v>Добавить территорию для дифференциации</v>
      </c>
      <c r="DK15" s="795"/>
      <c r="DL15" s="795"/>
    </row>
    <row customHeight="1" ht="14.25" hidden="1">
      <c r="AC16" s="323"/>
      <c r="AK16" s="323"/>
      <c r="AL16" s="3429"/>
      <c r="AM16" s="3429"/>
      <c r="AN16" s="3429"/>
      <c r="AO16" s="3429"/>
      <c r="AP16" s="3429"/>
      <c r="AQ16" s="3429"/>
      <c r="AR16" s="3429"/>
      <c r="AS16" s="3429"/>
      <c r="AT16" s="3429"/>
      <c r="AU16" s="3429"/>
      <c r="AV16" s="3429"/>
      <c r="AW16" s="3429"/>
      <c r="AX16" s="3429"/>
      <c r="AY16" s="3429"/>
      <c r="AZ16" s="3429"/>
      <c r="BA16" s="3429"/>
      <c r="BB16" s="3429"/>
      <c r="BC16" s="3429"/>
      <c r="BD16" s="3429"/>
      <c r="BE16" s="3429"/>
      <c r="BF16" s="3429"/>
      <c r="BG16" s="3429"/>
      <c r="BH16" s="3429"/>
      <c r="BI16" s="3429"/>
      <c r="BJ16" s="3429"/>
      <c r="BK16" s="3429"/>
      <c r="BL16" s="3429"/>
      <c r="BM16" s="3429"/>
      <c r="BN16" s="3429"/>
      <c r="BO16" s="3429"/>
      <c r="BP16" s="3429"/>
      <c r="BQ16" s="3429"/>
      <c r="BR16" s="3429"/>
      <c r="BS16" s="3429"/>
      <c r="BT16" s="3429"/>
      <c r="BU16" s="3429"/>
      <c r="BV16" s="3429"/>
      <c r="BW16" s="3429"/>
      <c r="BX16" s="3429"/>
      <c r="BY16" s="3429"/>
      <c r="BZ16" s="3429"/>
      <c r="CA16" s="3429"/>
      <c r="CB16" s="3429"/>
      <c r="CC16" s="3429"/>
      <c r="CD16" s="3429"/>
      <c r="CE16" s="3429"/>
      <c r="CF16" s="3429"/>
      <c r="CG16" s="3429"/>
      <c r="CH16" s="3429"/>
      <c r="CI16" s="3429"/>
      <c r="CJ16" s="3429"/>
      <c r="CK16" s="3429"/>
      <c r="CL16" s="3429"/>
      <c r="CM16" s="3429"/>
      <c r="CN16" s="3429"/>
      <c r="CO16" s="3429"/>
      <c r="CP16" s="3429"/>
      <c r="CQ16" s="3429"/>
      <c r="CR16" s="3429"/>
      <c r="CS16" s="3429"/>
      <c r="CT16" s="3429"/>
      <c r="CU16" s="3429"/>
      <c r="CV16" s="3429"/>
      <c r="CW16" s="3429"/>
      <c r="CX16" s="3429"/>
      <c r="CY16" s="3429"/>
      <c r="CZ16" s="3429"/>
      <c r="DA16" s="3429"/>
      <c r="DB16" s="3429"/>
      <c r="DC16" s="3429"/>
      <c r="DD16" s="3429"/>
      <c r="DE16" s="3429"/>
    </row>
    <row customHeight="1" ht="14.25" hidden="1">
      <c r="AD17" s="1390"/>
      <c r="AE17" s="1390"/>
      <c r="AF17" s="1390"/>
      <c r="AG17" s="1391"/>
      <c r="AH17" s="2105"/>
      <c r="AI17" s="2104" t="s">
        <v>61</v>
      </c>
      <c r="AJ17" s="2105"/>
      <c r="AK17" s="2104" t="s">
        <v>61</v>
      </c>
      <c r="AL17" s="3429"/>
      <c r="AM17" s="3429"/>
      <c r="AN17" s="3429"/>
      <c r="AO17" s="3429"/>
      <c r="AP17" s="3429"/>
      <c r="AQ17" s="3429"/>
      <c r="AR17" s="3429"/>
      <c r="AS17" s="3429"/>
      <c r="AT17" s="3429"/>
      <c r="AU17" s="3429"/>
      <c r="AV17" s="3429"/>
      <c r="AW17" s="3429"/>
      <c r="AX17" s="3429"/>
      <c r="AY17" s="3429"/>
      <c r="AZ17" s="3429"/>
      <c r="BA17" s="3429"/>
      <c r="BB17" s="3429"/>
      <c r="BC17" s="3429"/>
      <c r="BD17" s="3429"/>
      <c r="BE17" s="3429"/>
      <c r="BF17" s="3429"/>
      <c r="BG17" s="3429"/>
      <c r="BH17" s="3429"/>
      <c r="BI17" s="3429"/>
      <c r="BJ17" s="3429"/>
      <c r="BK17" s="3429"/>
      <c r="BL17" s="3429"/>
      <c r="BM17" s="3429"/>
      <c r="BN17" s="3429"/>
      <c r="BO17" s="3429"/>
      <c r="BP17" s="3429"/>
      <c r="BQ17" s="3429"/>
      <c r="BR17" s="3429"/>
      <c r="BS17" s="3429"/>
      <c r="BT17" s="3429"/>
      <c r="BU17" s="3429"/>
      <c r="BV17" s="3429"/>
      <c r="BW17" s="3429"/>
      <c r="BX17" s="3429"/>
      <c r="BY17" s="3429"/>
      <c r="BZ17" s="3429"/>
      <c r="CA17" s="3429"/>
      <c r="CB17" s="3429"/>
      <c r="CC17" s="3429"/>
      <c r="CD17" s="3429"/>
      <c r="CE17" s="3429"/>
      <c r="CF17" s="3429"/>
      <c r="CG17" s="3429"/>
      <c r="CH17" s="3429"/>
      <c r="CI17" s="3429"/>
      <c r="CJ17" s="3429"/>
      <c r="CK17" s="3429"/>
      <c r="CL17" s="3429"/>
      <c r="CM17" s="3429"/>
      <c r="CN17" s="3429"/>
      <c r="CO17" s="3429"/>
      <c r="CP17" s="3429"/>
      <c r="CQ17" s="3429"/>
      <c r="CR17" s="3429"/>
      <c r="CS17" s="3429"/>
      <c r="CT17" s="3429"/>
      <c r="CU17" s="3429"/>
      <c r="CV17" s="3429"/>
      <c r="CW17" s="3429"/>
      <c r="CX17" s="3429"/>
      <c r="CY17" s="3429"/>
      <c r="CZ17" s="3429"/>
      <c r="DA17" s="3429"/>
      <c r="DB17" s="3429"/>
      <c r="DC17" s="3429"/>
      <c r="DD17" s="3429"/>
      <c r="DE17" s="3429"/>
    </row>
    <row customHeight="1" ht="14.25" hidden="1">
      <c r="AD18" s="1390"/>
      <c r="AE18" s="1390"/>
      <c r="AF18" s="1390"/>
      <c r="AG18" s="324" t="str">
        <f>AH17&amp;"-"&amp;AJ17</f>
        <v>-</v>
      </c>
      <c r="AH18" s="2104"/>
      <c r="AI18" s="2104"/>
      <c r="AJ18" s="2104"/>
      <c r="AK18" s="2104"/>
      <c r="AL18" s="3429"/>
      <c r="AM18" s="3429"/>
      <c r="AN18" s="3429"/>
      <c r="AO18" s="3429"/>
      <c r="AP18" s="3429"/>
      <c r="AQ18" s="3429"/>
      <c r="AR18" s="3429"/>
      <c r="AS18" s="3429"/>
      <c r="AT18" s="3429"/>
      <c r="AU18" s="3429"/>
      <c r="AV18" s="3429"/>
      <c r="AW18" s="3429"/>
      <c r="AX18" s="3429"/>
      <c r="AY18" s="3429"/>
      <c r="AZ18" s="3429"/>
      <c r="BA18" s="3429"/>
      <c r="BB18" s="3429"/>
      <c r="BC18" s="3429"/>
      <c r="BD18" s="3429"/>
      <c r="BE18" s="3429"/>
      <c r="BF18" s="3429"/>
      <c r="BG18" s="3429"/>
      <c r="BH18" s="3429"/>
      <c r="BI18" s="3429"/>
      <c r="BJ18" s="3429"/>
      <c r="BK18" s="3429"/>
      <c r="BL18" s="3429"/>
      <c r="BM18" s="3429"/>
      <c r="BN18" s="3429"/>
      <c r="BO18" s="3429"/>
      <c r="BP18" s="3429"/>
      <c r="BQ18" s="3429"/>
      <c r="BR18" s="3429"/>
      <c r="BS18" s="3429"/>
      <c r="BT18" s="3429"/>
      <c r="BU18" s="3429"/>
      <c r="BV18" s="3429"/>
      <c r="BW18" s="3429"/>
      <c r="BX18" s="3429"/>
      <c r="BY18" s="3429"/>
      <c r="BZ18" s="3429"/>
      <c r="CA18" s="3429"/>
      <c r="CB18" s="3429"/>
      <c r="CC18" s="3429"/>
      <c r="CD18" s="3429"/>
      <c r="CE18" s="3429"/>
      <c r="CF18" s="3429"/>
      <c r="CG18" s="3429"/>
      <c r="CH18" s="3429"/>
      <c r="CI18" s="3429"/>
      <c r="CJ18" s="3429"/>
      <c r="CK18" s="3429"/>
      <c r="CL18" s="3429"/>
      <c r="CM18" s="3429"/>
      <c r="CN18" s="3429"/>
      <c r="CO18" s="3429"/>
      <c r="CP18" s="3429"/>
      <c r="CQ18" s="3429"/>
      <c r="CR18" s="3429"/>
      <c r="CS18" s="3429"/>
      <c r="CT18" s="3429"/>
      <c r="CU18" s="3429"/>
      <c r="CV18" s="3429"/>
      <c r="CW18" s="3429"/>
      <c r="CX18" s="3429"/>
      <c r="CY18" s="3429"/>
      <c r="CZ18" s="3429"/>
      <c r="DA18" s="3429"/>
      <c r="DB18" s="3429"/>
      <c r="DC18" s="3429"/>
      <c r="DD18" s="3429"/>
      <c r="DE18" s="3429"/>
    </row>
    <row customHeight="1" ht="14.25" hidden="1">
      <c r="AK19" s="323"/>
      <c r="AL19" s="3429"/>
      <c r="AM19" s="3429"/>
      <c r="AN19" s="3429"/>
      <c r="AO19" s="3429"/>
      <c r="AP19" s="3429"/>
      <c r="AQ19" s="3429"/>
      <c r="AR19" s="3429"/>
      <c r="AS19" s="3429"/>
      <c r="AT19" s="3429"/>
      <c r="AU19" s="3429"/>
      <c r="AV19" s="3429"/>
      <c r="AW19" s="3429"/>
      <c r="AX19" s="3429"/>
      <c r="AY19" s="3429"/>
      <c r="AZ19" s="3429"/>
      <c r="BA19" s="3429"/>
      <c r="BB19" s="3429"/>
      <c r="BC19" s="3429"/>
      <c r="BD19" s="3429"/>
      <c r="BE19" s="3429"/>
      <c r="BF19" s="3429"/>
      <c r="BG19" s="3429"/>
      <c r="BH19" s="3429"/>
      <c r="BI19" s="3429"/>
      <c r="BJ19" s="3429"/>
      <c r="BK19" s="3429"/>
      <c r="BL19" s="3429"/>
      <c r="BM19" s="3429"/>
      <c r="BN19" s="3429"/>
      <c r="BO19" s="3429"/>
      <c r="BP19" s="3429"/>
      <c r="BQ19" s="3429"/>
      <c r="BR19" s="3429"/>
      <c r="BS19" s="3429"/>
      <c r="BT19" s="3429"/>
      <c r="BU19" s="3429"/>
      <c r="BV19" s="3429"/>
      <c r="BW19" s="3429"/>
      <c r="BX19" s="3429"/>
      <c r="BY19" s="3429"/>
      <c r="BZ19" s="3429"/>
      <c r="CA19" s="3429"/>
      <c r="CB19" s="3429"/>
      <c r="CC19" s="3429"/>
      <c r="CD19" s="3429"/>
      <c r="CE19" s="3429"/>
      <c r="CF19" s="3429"/>
      <c r="CG19" s="3429"/>
      <c r="CH19" s="3429"/>
      <c r="CI19" s="3429"/>
      <c r="CJ19" s="3429"/>
      <c r="CK19" s="3429"/>
      <c r="CL19" s="3429"/>
      <c r="CM19" s="3429"/>
      <c r="CN19" s="3429"/>
      <c r="CO19" s="3429"/>
      <c r="CP19" s="3429"/>
      <c r="CQ19" s="3429"/>
      <c r="CR19" s="3429"/>
      <c r="CS19" s="3429"/>
      <c r="CT19" s="3429"/>
      <c r="CU19" s="3429"/>
      <c r="CV19" s="3429"/>
      <c r="CW19" s="3429"/>
      <c r="CX19" s="3429"/>
      <c r="CY19" s="3429"/>
      <c r="CZ19" s="3429"/>
      <c r="DA19" s="3429"/>
      <c r="DB19" s="3429"/>
      <c r="DC19" s="3429"/>
      <c r="DD19" s="3429"/>
      <c r="DE19" s="3429"/>
    </row>
    <row s="2683" customFormat="1" customHeight="1" ht="22.5" hidden="1">
      <c r="L20" s="1359"/>
      <c r="M20" s="1392"/>
      <c r="N20" s="1392"/>
      <c r="O20" s="1397" t="s">
        <v>461</v>
      </c>
      <c r="P20" s="1392"/>
      <c r="Q20" s="1401"/>
      <c r="R20" s="1401"/>
      <c r="S20" s="735"/>
      <c r="Z20" s="1397"/>
      <c r="AB20" s="1397"/>
      <c r="AC20" s="1396"/>
      <c r="AH20" s="1397"/>
      <c r="AJ20" s="1397"/>
      <c r="AK20" s="1396"/>
      <c r="AL20" s="3603"/>
      <c r="AM20" s="3603"/>
      <c r="AN20" s="3603"/>
      <c r="AO20" s="3603"/>
      <c r="AP20" s="3604"/>
      <c r="AQ20" s="3603"/>
      <c r="AR20" s="3604"/>
      <c r="AS20" s="3603"/>
      <c r="AT20" s="3603"/>
      <c r="AU20" s="3603"/>
      <c r="AV20" s="3603"/>
      <c r="AW20" s="3603"/>
      <c r="AX20" s="3604"/>
      <c r="AY20" s="3603"/>
      <c r="AZ20" s="3604"/>
      <c r="BA20" s="3603"/>
      <c r="BB20" s="3603"/>
      <c r="BC20" s="3603"/>
      <c r="BD20" s="3603"/>
      <c r="BE20" s="3603"/>
      <c r="BF20" s="3604"/>
      <c r="BG20" s="3603"/>
      <c r="BH20" s="3604"/>
      <c r="BI20" s="3603"/>
      <c r="BJ20" s="3603"/>
      <c r="BK20" s="3603"/>
      <c r="BL20" s="3603"/>
      <c r="BM20" s="3603"/>
      <c r="BN20" s="3604"/>
      <c r="BO20" s="3603"/>
      <c r="BP20" s="3604"/>
      <c r="BQ20" s="3603"/>
      <c r="BR20" s="3603"/>
      <c r="BS20" s="3603"/>
      <c r="BT20" s="3603"/>
      <c r="BU20" s="3603"/>
      <c r="BV20" s="3604"/>
      <c r="BW20" s="3603"/>
      <c r="BX20" s="3604"/>
      <c r="BY20" s="3603"/>
      <c r="BZ20" s="3603"/>
      <c r="CA20" s="3603"/>
      <c r="CB20" s="3603"/>
      <c r="CC20" s="3603"/>
      <c r="CD20" s="3604"/>
      <c r="CE20" s="3603"/>
      <c r="CF20" s="3604"/>
      <c r="CG20" s="3603"/>
      <c r="CH20" s="3603"/>
      <c r="CI20" s="3603"/>
      <c r="CJ20" s="3603"/>
      <c r="CK20" s="3603"/>
      <c r="CL20" s="3604"/>
      <c r="CM20" s="3603"/>
      <c r="CN20" s="3604"/>
      <c r="CO20" s="3603"/>
      <c r="CP20" s="3603"/>
      <c r="CQ20" s="3603"/>
      <c r="CR20" s="3603"/>
      <c r="CS20" s="3603"/>
      <c r="CT20" s="3604"/>
      <c r="CU20" s="3603"/>
      <c r="CV20" s="3604"/>
      <c r="CW20" s="3603"/>
      <c r="CX20" s="3603"/>
      <c r="CY20" s="3603"/>
      <c r="CZ20" s="3603"/>
      <c r="DA20" s="3603"/>
      <c r="DB20" s="3604"/>
      <c r="DC20" s="3603"/>
      <c r="DD20" s="3604"/>
      <c r="DE20" s="3603"/>
      <c r="DH20" s="517"/>
      <c r="DI20" s="517"/>
      <c r="DJ20" s="517"/>
      <c r="DK20" s="517"/>
      <c r="DL20" s="517"/>
    </row>
    <row s="2683" customFormat="1" customHeight="1" ht="14.25" hidden="1">
      <c r="L21" s="1359"/>
      <c r="M21" s="1392"/>
      <c r="N21" s="1392"/>
      <c r="O21" s="1392"/>
      <c r="P21" s="1392"/>
      <c r="Q21" s="1401"/>
      <c r="R21" s="1401"/>
      <c r="S21" s="735"/>
      <c r="AC21" s="1396"/>
      <c r="AK21" s="1396"/>
      <c r="AL21" s="3603"/>
      <c r="AM21" s="3603"/>
      <c r="AN21" s="3603"/>
      <c r="AO21" s="3603"/>
      <c r="AP21" s="3603"/>
      <c r="AQ21" s="3603"/>
      <c r="AR21" s="3603"/>
      <c r="AS21" s="3603"/>
      <c r="AT21" s="3603"/>
      <c r="AU21" s="3603"/>
      <c r="AV21" s="3603"/>
      <c r="AW21" s="3603"/>
      <c r="AX21" s="3603"/>
      <c r="AY21" s="3603"/>
      <c r="AZ21" s="3603"/>
      <c r="BA21" s="3603"/>
      <c r="BB21" s="3603"/>
      <c r="BC21" s="3603"/>
      <c r="BD21" s="3603"/>
      <c r="BE21" s="3603"/>
      <c r="BF21" s="3603"/>
      <c r="BG21" s="3603"/>
      <c r="BH21" s="3603"/>
      <c r="BI21" s="3603"/>
      <c r="BJ21" s="3603"/>
      <c r="BK21" s="3603"/>
      <c r="BL21" s="3603"/>
      <c r="BM21" s="3603"/>
      <c r="BN21" s="3603"/>
      <c r="BO21" s="3603"/>
      <c r="BP21" s="3603"/>
      <c r="BQ21" s="3603"/>
      <c r="BR21" s="3603"/>
      <c r="BS21" s="3603"/>
      <c r="BT21" s="3603"/>
      <c r="BU21" s="3603"/>
      <c r="BV21" s="3603"/>
      <c r="BW21" s="3603"/>
      <c r="BX21" s="3603"/>
      <c r="BY21" s="3603"/>
      <c r="BZ21" s="3603"/>
      <c r="CA21" s="3603"/>
      <c r="CB21" s="3603"/>
      <c r="CC21" s="3603"/>
      <c r="CD21" s="3603"/>
      <c r="CE21" s="3603"/>
      <c r="CF21" s="3603"/>
      <c r="CG21" s="3603"/>
      <c r="CH21" s="3603"/>
      <c r="CI21" s="3603"/>
      <c r="CJ21" s="3603"/>
      <c r="CK21" s="3603"/>
      <c r="CL21" s="3603"/>
      <c r="CM21" s="3603"/>
      <c r="CN21" s="3603"/>
      <c r="CO21" s="3603"/>
      <c r="CP21" s="3603"/>
      <c r="CQ21" s="3603"/>
      <c r="CR21" s="3603"/>
      <c r="CS21" s="3603"/>
      <c r="CT21" s="3603"/>
      <c r="CU21" s="3603"/>
      <c r="CV21" s="3603"/>
      <c r="CW21" s="3603"/>
      <c r="CX21" s="3603"/>
      <c r="CY21" s="3603"/>
      <c r="CZ21" s="3603"/>
      <c r="DA21" s="3603"/>
      <c r="DB21" s="3603"/>
      <c r="DC21" s="3603"/>
      <c r="DD21" s="3603"/>
      <c r="DE21" s="3603"/>
      <c r="DH21" s="517"/>
      <c r="DI21" s="517"/>
      <c r="DJ21" s="517"/>
      <c r="DK21" s="517"/>
      <c r="DL21" s="517"/>
    </row>
    <row s="2683" customFormat="1" customHeight="1" ht="14.25" hidden="1">
      <c r="L22" s="1359"/>
      <c r="M22" s="1392"/>
      <c r="N22" s="1392"/>
      <c r="O22" s="1394" t="s">
        <v>462</v>
      </c>
      <c r="P22" s="1392"/>
      <c r="Q22" s="1401"/>
      <c r="R22" s="1401"/>
      <c r="S22" s="735"/>
      <c r="T22" s="1168" t="s">
        <v>463</v>
      </c>
      <c r="AA22" s="172" t="s">
        <v>464</v>
      </c>
      <c r="AC22" s="172" t="s">
        <v>465</v>
      </c>
      <c r="AD22" s="1168" t="s">
        <v>463</v>
      </c>
      <c r="AI22" s="172" t="s">
        <v>466</v>
      </c>
      <c r="AK22" s="172" t="s">
        <v>465</v>
      </c>
      <c r="AL22" s="3603"/>
      <c r="AM22" s="3603"/>
      <c r="AN22" s="3603"/>
      <c r="AO22" s="3603"/>
      <c r="AP22" s="3603"/>
      <c r="AQ22" s="3605" t="s">
        <v>464</v>
      </c>
      <c r="AR22" s="3603"/>
      <c r="AS22" s="3605" t="s">
        <v>465</v>
      </c>
      <c r="AT22" s="3603"/>
      <c r="AU22" s="3603"/>
      <c r="AV22" s="3603"/>
      <c r="AW22" s="3603"/>
      <c r="AX22" s="3603"/>
      <c r="AY22" s="3605" t="s">
        <v>464</v>
      </c>
      <c r="AZ22" s="3603"/>
      <c r="BA22" s="3605" t="s">
        <v>465</v>
      </c>
      <c r="BB22" s="3603"/>
      <c r="BC22" s="3603"/>
      <c r="BD22" s="3603"/>
      <c r="BE22" s="3603"/>
      <c r="BF22" s="3603"/>
      <c r="BG22" s="3605" t="s">
        <v>464</v>
      </c>
      <c r="BH22" s="3603"/>
      <c r="BI22" s="3605" t="s">
        <v>465</v>
      </c>
      <c r="BJ22" s="3603"/>
      <c r="BK22" s="3603"/>
      <c r="BL22" s="3603"/>
      <c r="BM22" s="3603"/>
      <c r="BN22" s="3603"/>
      <c r="BO22" s="3605" t="s">
        <v>464</v>
      </c>
      <c r="BP22" s="3603"/>
      <c r="BQ22" s="3605" t="s">
        <v>465</v>
      </c>
      <c r="BR22" s="3603"/>
      <c r="BS22" s="3603"/>
      <c r="BT22" s="3603"/>
      <c r="BU22" s="3603"/>
      <c r="BV22" s="3603"/>
      <c r="BW22" s="3605" t="s">
        <v>464</v>
      </c>
      <c r="BX22" s="3603"/>
      <c r="BY22" s="3605" t="s">
        <v>465</v>
      </c>
      <c r="BZ22" s="3603"/>
      <c r="CA22" s="3603"/>
      <c r="CB22" s="3603"/>
      <c r="CC22" s="3603"/>
      <c r="CD22" s="3603"/>
      <c r="CE22" s="3605" t="s">
        <v>464</v>
      </c>
      <c r="CF22" s="3603"/>
      <c r="CG22" s="3605" t="s">
        <v>465</v>
      </c>
      <c r="CH22" s="3603"/>
      <c r="CI22" s="3603"/>
      <c r="CJ22" s="3603"/>
      <c r="CK22" s="3603"/>
      <c r="CL22" s="3603"/>
      <c r="CM22" s="3605" t="s">
        <v>464</v>
      </c>
      <c r="CN22" s="3603"/>
      <c r="CO22" s="3605" t="s">
        <v>465</v>
      </c>
      <c r="CP22" s="3603"/>
      <c r="CQ22" s="3603"/>
      <c r="CR22" s="3603"/>
      <c r="CS22" s="3603"/>
      <c r="CT22" s="3603"/>
      <c r="CU22" s="3605" t="s">
        <v>464</v>
      </c>
      <c r="CV22" s="3603"/>
      <c r="CW22" s="3605" t="s">
        <v>465</v>
      </c>
      <c r="CX22" s="3603"/>
      <c r="CY22" s="3603"/>
      <c r="CZ22" s="3603"/>
      <c r="DA22" s="3603"/>
      <c r="DB22" s="3603"/>
      <c r="DC22" s="3605" t="s">
        <v>464</v>
      </c>
      <c r="DD22" s="3603"/>
      <c r="DE22" s="3605" t="s">
        <v>465</v>
      </c>
      <c r="DH22" s="517"/>
      <c r="DI22" s="517"/>
      <c r="DJ22" s="517"/>
      <c r="DK22" s="517"/>
      <c r="DL22" s="517"/>
    </row>
    <row customHeight="1" ht="14.25" hidden="1">
      <c r="O23" s="1394"/>
      <c r="AL23" s="3429"/>
      <c r="AM23" s="3429"/>
      <c r="AN23" s="3429"/>
      <c r="AO23" s="3429"/>
      <c r="AP23" s="3429"/>
      <c r="AQ23" s="3429"/>
      <c r="AR23" s="3429"/>
      <c r="AS23" s="3429"/>
      <c r="AT23" s="3429"/>
      <c r="AU23" s="3429"/>
      <c r="AV23" s="3429"/>
      <c r="AW23" s="3429"/>
      <c r="AX23" s="3429"/>
      <c r="AY23" s="3429"/>
      <c r="AZ23" s="3429"/>
      <c r="BA23" s="3429"/>
      <c r="BB23" s="3429"/>
      <c r="BC23" s="3429"/>
      <c r="BD23" s="3429"/>
      <c r="BE23" s="3429"/>
      <c r="BF23" s="3429"/>
      <c r="BG23" s="3429"/>
      <c r="BH23" s="3429"/>
      <c r="BI23" s="3429"/>
      <c r="BJ23" s="3429"/>
      <c r="BK23" s="3429"/>
      <c r="BL23" s="3429"/>
      <c r="BM23" s="3429"/>
      <c r="BN23" s="3429"/>
      <c r="BO23" s="3429"/>
      <c r="BP23" s="3429"/>
      <c r="BQ23" s="3429"/>
      <c r="BR23" s="3429"/>
      <c r="BS23" s="3429"/>
      <c r="BT23" s="3429"/>
      <c r="BU23" s="3429"/>
      <c r="BV23" s="3429"/>
      <c r="BW23" s="3429"/>
      <c r="BX23" s="3429"/>
      <c r="BY23" s="3429"/>
      <c r="BZ23" s="3429"/>
      <c r="CA23" s="3429"/>
      <c r="CB23" s="3429"/>
      <c r="CC23" s="3429"/>
      <c r="CD23" s="3429"/>
      <c r="CE23" s="3429"/>
      <c r="CF23" s="3429"/>
      <c r="CG23" s="3429"/>
      <c r="CH23" s="3429"/>
      <c r="CI23" s="3429"/>
      <c r="CJ23" s="3429"/>
      <c r="CK23" s="3429"/>
      <c r="CL23" s="3429"/>
      <c r="CM23" s="3429"/>
      <c r="CN23" s="3429"/>
      <c r="CO23" s="3429"/>
      <c r="CP23" s="3429"/>
      <c r="CQ23" s="3429"/>
      <c r="CR23" s="3429"/>
      <c r="CS23" s="3429"/>
      <c r="CT23" s="3429"/>
      <c r="CU23" s="3429"/>
      <c r="CV23" s="3429"/>
      <c r="CW23" s="3429"/>
      <c r="CX23" s="3429"/>
      <c r="CY23" s="3429"/>
      <c r="CZ23" s="3429"/>
      <c r="DA23" s="3429"/>
      <c r="DB23" s="3429"/>
      <c r="DC23" s="3429"/>
      <c r="DD23" s="3429"/>
      <c r="DE23" s="3429"/>
    </row>
    <row customHeight="1" ht="14.25" hidden="1">
      <c r="O24" s="1394"/>
      <c r="AL24" s="3429"/>
      <c r="AM24" s="3429"/>
      <c r="AN24" s="3429"/>
      <c r="AO24" s="3429"/>
      <c r="AP24" s="3429"/>
      <c r="AQ24" s="3429"/>
      <c r="AR24" s="3429"/>
      <c r="AS24" s="3429"/>
      <c r="AT24" s="3429"/>
      <c r="AU24" s="3429"/>
      <c r="AV24" s="3429"/>
      <c r="AW24" s="3429"/>
      <c r="AX24" s="3429"/>
      <c r="AY24" s="3429"/>
      <c r="AZ24" s="3429"/>
      <c r="BA24" s="3429"/>
      <c r="BB24" s="3429"/>
      <c r="BC24" s="3429"/>
      <c r="BD24" s="3429"/>
      <c r="BE24" s="3429"/>
      <c r="BF24" s="3429"/>
      <c r="BG24" s="3429"/>
      <c r="BH24" s="3429"/>
      <c r="BI24" s="3429"/>
      <c r="BJ24" s="3429"/>
      <c r="BK24" s="3429"/>
      <c r="BL24" s="3429"/>
      <c r="BM24" s="3429"/>
      <c r="BN24" s="3429"/>
      <c r="BO24" s="3429"/>
      <c r="BP24" s="3429"/>
      <c r="BQ24" s="3429"/>
      <c r="BR24" s="3429"/>
      <c r="BS24" s="3429"/>
      <c r="BT24" s="3429"/>
      <c r="BU24" s="3429"/>
      <c r="BV24" s="3429"/>
      <c r="BW24" s="3429"/>
      <c r="BX24" s="3429"/>
      <c r="BY24" s="3429"/>
      <c r="BZ24" s="3429"/>
      <c r="CA24" s="3429"/>
      <c r="CB24" s="3429"/>
      <c r="CC24" s="3429"/>
      <c r="CD24" s="3429"/>
      <c r="CE24" s="3429"/>
      <c r="CF24" s="3429"/>
      <c r="CG24" s="3429"/>
      <c r="CH24" s="3429"/>
      <c r="CI24" s="3429"/>
      <c r="CJ24" s="3429"/>
      <c r="CK24" s="3429"/>
      <c r="CL24" s="3429"/>
      <c r="CM24" s="3429"/>
      <c r="CN24" s="3429"/>
      <c r="CO24" s="3429"/>
      <c r="CP24" s="3429"/>
      <c r="CQ24" s="3429"/>
      <c r="CR24" s="3429"/>
      <c r="CS24" s="3429"/>
      <c r="CT24" s="3429"/>
      <c r="CU24" s="3429"/>
      <c r="CV24" s="3429"/>
      <c r="CW24" s="3429"/>
      <c r="CX24" s="3429"/>
      <c r="CY24" s="3429"/>
      <c r="CZ24" s="3429"/>
      <c r="DA24" s="3429"/>
      <c r="DB24" s="3429"/>
      <c r="DC24" s="3429"/>
      <c r="DD24" s="3429"/>
      <c r="DE24" s="3429"/>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29"/>
      <c r="AM25" s="3429"/>
      <c r="AN25" s="3429"/>
      <c r="AO25" s="3429"/>
      <c r="AP25" s="3429"/>
      <c r="AQ25" s="3429"/>
      <c r="AR25" s="3429"/>
      <c r="AS25" s="3429"/>
      <c r="AT25" s="3429"/>
      <c r="AU25" s="3429"/>
      <c r="AV25" s="3429"/>
      <c r="AW25" s="3429"/>
      <c r="AX25" s="3429"/>
      <c r="AY25" s="3429"/>
      <c r="AZ25" s="3429"/>
      <c r="BA25" s="3429"/>
      <c r="BB25" s="3429"/>
      <c r="BC25" s="3429"/>
      <c r="BD25" s="3429"/>
      <c r="BE25" s="3429"/>
      <c r="BF25" s="3429"/>
      <c r="BG25" s="3429"/>
      <c r="BH25" s="3429"/>
      <c r="BI25" s="3429"/>
      <c r="BJ25" s="3429"/>
      <c r="BK25" s="3429"/>
      <c r="BL25" s="3429"/>
      <c r="BM25" s="3429"/>
      <c r="BN25" s="3429"/>
      <c r="BO25" s="3429"/>
      <c r="BP25" s="3429"/>
      <c r="BQ25" s="3429"/>
      <c r="BR25" s="3429"/>
      <c r="BS25" s="3429"/>
      <c r="BT25" s="3429"/>
      <c r="BU25" s="3429"/>
      <c r="BV25" s="3429"/>
      <c r="BW25" s="3429"/>
      <c r="BX25" s="3429"/>
      <c r="BY25" s="3429"/>
      <c r="BZ25" s="3429"/>
      <c r="CA25" s="3429"/>
      <c r="CB25" s="3429"/>
      <c r="CC25" s="3429"/>
      <c r="CD25" s="3429"/>
      <c r="CE25" s="3429"/>
      <c r="CF25" s="3429"/>
      <c r="CG25" s="3429"/>
      <c r="CH25" s="3429"/>
      <c r="CI25" s="3429"/>
      <c r="CJ25" s="3429"/>
      <c r="CK25" s="3429"/>
      <c r="CL25" s="3429"/>
      <c r="CM25" s="3429"/>
      <c r="CN25" s="3429"/>
      <c r="CO25" s="3429"/>
      <c r="CP25" s="3429"/>
      <c r="CQ25" s="3429"/>
      <c r="CR25" s="3429"/>
      <c r="CS25" s="3429"/>
      <c r="CT25" s="3429"/>
      <c r="CU25" s="3429"/>
      <c r="CV25" s="3429"/>
      <c r="CW25" s="3429"/>
      <c r="CX25" s="3429"/>
      <c r="CY25" s="3429"/>
      <c r="CZ25" s="3429"/>
      <c r="DA25" s="3429"/>
      <c r="DB25" s="3429"/>
      <c r="DC25" s="3429"/>
      <c r="DD25" s="3429"/>
      <c r="DE25" s="3429"/>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c r="AL26" s="3606"/>
      <c r="AM26" s="3606"/>
      <c r="AN26" s="3606"/>
      <c r="AO26" s="3606"/>
      <c r="AP26" s="3606"/>
      <c r="AQ26" s="3606"/>
      <c r="AR26" s="3606"/>
      <c r="AS26" s="3606"/>
      <c r="AT26" s="3606"/>
      <c r="AU26" s="3606"/>
      <c r="AV26" s="3606"/>
      <c r="AW26" s="3606"/>
      <c r="AX26" s="3606"/>
      <c r="AY26" s="3606"/>
      <c r="AZ26" s="3606"/>
      <c r="BA26" s="3606"/>
      <c r="BB26" s="3606"/>
      <c r="BC26" s="3606"/>
      <c r="BD26" s="3606"/>
      <c r="BE26" s="3606"/>
      <c r="BF26" s="3606"/>
      <c r="BG26" s="3606"/>
      <c r="BH26" s="3606"/>
      <c r="BI26" s="3606"/>
      <c r="BJ26" s="3606"/>
      <c r="BK26" s="3606"/>
      <c r="BL26" s="3606"/>
      <c r="BM26" s="3606"/>
      <c r="BN26" s="3606"/>
      <c r="BO26" s="3606"/>
      <c r="BP26" s="3606"/>
      <c r="BQ26" s="3606"/>
      <c r="BR26" s="3606"/>
      <c r="BS26" s="3606"/>
      <c r="BT26" s="3606"/>
      <c r="BU26" s="3606"/>
      <c r="BV26" s="3606"/>
      <c r="BW26" s="3606"/>
      <c r="BX26" s="3606"/>
      <c r="BY26" s="3606"/>
      <c r="BZ26" s="3606"/>
      <c r="CA26" s="3606"/>
      <c r="CB26" s="3606"/>
      <c r="CC26" s="3606"/>
      <c r="CD26" s="3606"/>
      <c r="CE26" s="3606"/>
      <c r="CF26" s="3606"/>
      <c r="CG26" s="3606"/>
      <c r="CH26" s="3606"/>
      <c r="CI26" s="3606"/>
      <c r="CJ26" s="3606"/>
      <c r="CK26" s="3606"/>
      <c r="CL26" s="3606"/>
      <c r="CM26" s="3606"/>
      <c r="CN26" s="3606"/>
      <c r="CO26" s="3606"/>
      <c r="CP26" s="3606"/>
      <c r="CQ26" s="3606"/>
      <c r="CR26" s="3606"/>
      <c r="CS26" s="3606"/>
      <c r="CT26" s="3606"/>
      <c r="CU26" s="3606"/>
      <c r="CV26" s="3606"/>
      <c r="CW26" s="3606"/>
      <c r="CX26" s="3606"/>
      <c r="CY26" s="3606"/>
      <c r="CZ26" s="3606"/>
      <c r="DA26" s="3606"/>
      <c r="DB26" s="3606"/>
      <c r="DC26" s="3606"/>
      <c r="DD26" s="3606"/>
      <c r="DE26" s="3606"/>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c r="AL27" s="3607"/>
      <c r="AM27" s="3607"/>
      <c r="AN27" s="3607"/>
      <c r="AO27" s="3607"/>
      <c r="AP27" s="3607"/>
      <c r="AQ27" s="3607"/>
      <c r="AR27" s="3607"/>
      <c r="AS27" s="3607"/>
      <c r="AT27" s="3607"/>
      <c r="AU27" s="3607"/>
      <c r="AV27" s="3607"/>
      <c r="AW27" s="3607"/>
      <c r="AX27" s="3607"/>
      <c r="AY27" s="3607"/>
      <c r="AZ27" s="3607"/>
      <c r="BA27" s="3607"/>
      <c r="BB27" s="3607"/>
      <c r="BC27" s="3607"/>
      <c r="BD27" s="3607"/>
      <c r="BE27" s="3607"/>
      <c r="BF27" s="3607"/>
      <c r="BG27" s="3607"/>
      <c r="BH27" s="3607"/>
      <c r="BI27" s="3607"/>
      <c r="BJ27" s="3607"/>
      <c r="BK27" s="3607"/>
      <c r="BL27" s="3607"/>
      <c r="BM27" s="3607"/>
      <c r="BN27" s="3607"/>
      <c r="BO27" s="3607"/>
      <c r="BP27" s="3607"/>
      <c r="BQ27" s="3607"/>
      <c r="BR27" s="3607"/>
      <c r="BS27" s="3607"/>
      <c r="BT27" s="3607"/>
      <c r="BU27" s="3607"/>
      <c r="BV27" s="3607"/>
      <c r="BW27" s="3607"/>
      <c r="BX27" s="3607"/>
      <c r="BY27" s="3607"/>
      <c r="BZ27" s="3607"/>
      <c r="CA27" s="3607"/>
      <c r="CB27" s="3607"/>
      <c r="CC27" s="3607"/>
      <c r="CD27" s="3607"/>
      <c r="CE27" s="3607"/>
      <c r="CF27" s="3607"/>
      <c r="CG27" s="3607"/>
      <c r="CH27" s="3607"/>
      <c r="CI27" s="3607"/>
      <c r="CJ27" s="3607"/>
      <c r="CK27" s="3607"/>
      <c r="CL27" s="3607"/>
      <c r="CM27" s="3607"/>
      <c r="CN27" s="3607"/>
      <c r="CO27" s="3607"/>
      <c r="CP27" s="3607"/>
      <c r="CQ27" s="3607"/>
      <c r="CR27" s="3607"/>
      <c r="CS27" s="3607"/>
      <c r="CT27" s="3607"/>
      <c r="CU27" s="3607"/>
      <c r="CV27" s="3607"/>
      <c r="CW27" s="3607"/>
      <c r="CX27" s="3607"/>
      <c r="CY27" s="3607"/>
      <c r="CZ27" s="3607"/>
      <c r="DA27" s="3607"/>
      <c r="DB27" s="3607"/>
      <c r="DC27" s="3607"/>
      <c r="DD27" s="3607"/>
      <c r="DE27" s="3607"/>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608"/>
      <c r="AM28" s="3608"/>
      <c r="AN28" s="3608"/>
      <c r="AO28" s="3608"/>
      <c r="AP28" s="3608"/>
      <c r="AQ28" s="3608"/>
      <c r="AR28" s="3608"/>
      <c r="AS28" s="3608"/>
      <c r="AT28" s="3608"/>
      <c r="AU28" s="3608"/>
      <c r="AV28" s="3608"/>
      <c r="AW28" s="3608"/>
      <c r="AX28" s="3608"/>
      <c r="AY28" s="3608"/>
      <c r="AZ28" s="3608"/>
      <c r="BA28" s="3608"/>
      <c r="BB28" s="3608"/>
      <c r="BC28" s="3608"/>
      <c r="BD28" s="3608"/>
      <c r="BE28" s="3608"/>
      <c r="BF28" s="3608"/>
      <c r="BG28" s="3608"/>
      <c r="BH28" s="3608"/>
      <c r="BI28" s="3608"/>
      <c r="BJ28" s="3608"/>
      <c r="BK28" s="3608"/>
      <c r="BL28" s="3608"/>
      <c r="BM28" s="3608"/>
      <c r="BN28" s="3608"/>
      <c r="BO28" s="3608"/>
      <c r="BP28" s="3608"/>
      <c r="BQ28" s="3608"/>
      <c r="BR28" s="3608"/>
      <c r="BS28" s="3608"/>
      <c r="BT28" s="3608"/>
      <c r="BU28" s="3608"/>
      <c r="BV28" s="3608"/>
      <c r="BW28" s="3608"/>
      <c r="BX28" s="3608"/>
      <c r="BY28" s="3608"/>
      <c r="BZ28" s="3608"/>
      <c r="CA28" s="3608"/>
      <c r="CB28" s="3608"/>
      <c r="CC28" s="3608"/>
      <c r="CD28" s="3608"/>
      <c r="CE28" s="3608"/>
      <c r="CF28" s="3608"/>
      <c r="CG28" s="3608"/>
      <c r="CH28" s="3608"/>
      <c r="CI28" s="3608"/>
      <c r="CJ28" s="3608"/>
      <c r="CK28" s="3608"/>
      <c r="CL28" s="3608"/>
      <c r="CM28" s="3608"/>
      <c r="CN28" s="3608"/>
      <c r="CO28" s="3608"/>
      <c r="CP28" s="3608"/>
      <c r="CQ28" s="3608"/>
      <c r="CR28" s="3608"/>
      <c r="CS28" s="3608"/>
      <c r="CT28" s="3608"/>
      <c r="CU28" s="3608"/>
      <c r="CV28" s="3608"/>
      <c r="CW28" s="3608"/>
      <c r="CX28" s="3608"/>
      <c r="CY28" s="3608"/>
      <c r="CZ28" s="3608"/>
      <c r="DA28" s="3608"/>
      <c r="DB28" s="3608"/>
      <c r="DC28" s="3608"/>
      <c r="DD28" s="3608"/>
      <c r="DE28" s="3608"/>
      <c r="DF28" s="515"/>
    </row>
    <row s="334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609" t="str">
        <f>IF(TITLE_NAME_OR_PR_CHANGE="",IF(TITLE_NAME_OR_PR="","",TITLE_NAME_OR_PR),TITLE_NAME_OR_PR_CHANGE)</f>
        <v>Комитет по тарифному регулированию Мурманской области</v>
      </c>
      <c r="AM29" s="3609"/>
      <c r="AN29" s="3609"/>
      <c r="AO29" s="3609"/>
      <c r="AP29" s="3609"/>
      <c r="AQ29" s="3609"/>
      <c r="AR29" s="3609"/>
      <c r="AS29" s="3429"/>
      <c r="AT29" s="3609" t="str">
        <f>IF(TITLE_NAME_OR_PR_CHANGE="",IF(TITLE_NAME_OR_PR="","",TITLE_NAME_OR_PR),TITLE_NAME_OR_PR_CHANGE)</f>
        <v>Комитет по тарифному регулированию Мурманской области</v>
      </c>
      <c r="AU29" s="3609"/>
      <c r="AV29" s="3609"/>
      <c r="AW29" s="3609"/>
      <c r="AX29" s="3609"/>
      <c r="AY29" s="3609"/>
      <c r="AZ29" s="3609"/>
      <c r="BA29" s="3429"/>
      <c r="BB29" s="3609" t="str">
        <f>IF(TITLE_NAME_OR_PR_CHANGE="",IF(TITLE_NAME_OR_PR="","",TITLE_NAME_OR_PR),TITLE_NAME_OR_PR_CHANGE)</f>
        <v>Комитет по тарифному регулированию Мурманской области</v>
      </c>
      <c r="BC29" s="3609"/>
      <c r="BD29" s="3609"/>
      <c r="BE29" s="3609"/>
      <c r="BF29" s="3609"/>
      <c r="BG29" s="3609"/>
      <c r="BH29" s="3609"/>
      <c r="BI29" s="3429"/>
      <c r="BJ29" s="3609" t="str">
        <f>IF(TITLE_NAME_OR_PR_CHANGE="",IF(TITLE_NAME_OR_PR="","",TITLE_NAME_OR_PR),TITLE_NAME_OR_PR_CHANGE)</f>
        <v>Комитет по тарифному регулированию Мурманской области</v>
      </c>
      <c r="BK29" s="3609"/>
      <c r="BL29" s="3609"/>
      <c r="BM29" s="3609"/>
      <c r="BN29" s="3609"/>
      <c r="BO29" s="3609"/>
      <c r="BP29" s="3609"/>
      <c r="BQ29" s="3429"/>
      <c r="BR29" s="3609" t="str">
        <f>IF(TITLE_NAME_OR_PR_CHANGE="",IF(TITLE_NAME_OR_PR="","",TITLE_NAME_OR_PR),TITLE_NAME_OR_PR_CHANGE)</f>
        <v>Комитет по тарифному регулированию Мурманской области</v>
      </c>
      <c r="BS29" s="3609"/>
      <c r="BT29" s="3609"/>
      <c r="BU29" s="3609"/>
      <c r="BV29" s="3609"/>
      <c r="BW29" s="3609"/>
      <c r="BX29" s="3609"/>
      <c r="BY29" s="3429"/>
      <c r="BZ29" s="3609" t="str">
        <f>IF(TITLE_NAME_OR_PR_CHANGE="",IF(TITLE_NAME_OR_PR="","",TITLE_NAME_OR_PR),TITLE_NAME_OR_PR_CHANGE)</f>
        <v>Комитет по тарифному регулированию Мурманской области</v>
      </c>
      <c r="CA29" s="3609"/>
      <c r="CB29" s="3609"/>
      <c r="CC29" s="3609"/>
      <c r="CD29" s="3609"/>
      <c r="CE29" s="3609"/>
      <c r="CF29" s="3609"/>
      <c r="CG29" s="3429"/>
      <c r="CH29" s="3609" t="str">
        <f>IF(TITLE_NAME_OR_PR_CHANGE="",IF(TITLE_NAME_OR_PR="","",TITLE_NAME_OR_PR),TITLE_NAME_OR_PR_CHANGE)</f>
        <v>Комитет по тарифному регулированию Мурманской области</v>
      </c>
      <c r="CI29" s="3609"/>
      <c r="CJ29" s="3609"/>
      <c r="CK29" s="3609"/>
      <c r="CL29" s="3609"/>
      <c r="CM29" s="3609"/>
      <c r="CN29" s="3609"/>
      <c r="CO29" s="3429"/>
      <c r="CP29" s="3609" t="str">
        <f>IF(TITLE_NAME_OR_PR_CHANGE="",IF(TITLE_NAME_OR_PR="","",TITLE_NAME_OR_PR),TITLE_NAME_OR_PR_CHANGE)</f>
        <v>Комитет по тарифному регулированию Мурманской области</v>
      </c>
      <c r="CQ29" s="3609"/>
      <c r="CR29" s="3609"/>
      <c r="CS29" s="3609"/>
      <c r="CT29" s="3609"/>
      <c r="CU29" s="3609"/>
      <c r="CV29" s="3609"/>
      <c r="CW29" s="3429"/>
      <c r="CX29" s="3609" t="str">
        <f>IF(TITLE_NAME_OR_PR_CHANGE="",IF(TITLE_NAME_OR_PR="","",TITLE_NAME_OR_PR),TITLE_NAME_OR_PR_CHANGE)</f>
        <v>Комитет по тарифному регулированию Мурманской области</v>
      </c>
      <c r="CY29" s="3609"/>
      <c r="CZ29" s="3609"/>
      <c r="DA29" s="3609"/>
      <c r="DB29" s="3609"/>
      <c r="DC29" s="3609"/>
      <c r="DD29" s="3609"/>
      <c r="DE29" s="3429"/>
      <c r="DF29" s="322"/>
      <c r="DG29" s="268"/>
      <c r="DH29" s="368"/>
      <c r="DI29" s="368"/>
      <c r="DJ29" s="368"/>
      <c r="DK29" s="368"/>
      <c r="DL29" s="368"/>
    </row>
    <row s="3343" customFormat="1" customHeight="1" ht="18.75">
      <c r="A30" s="1398"/>
      <c r="B30" s="1398"/>
      <c r="C30" s="1398"/>
      <c r="D30" s="1398"/>
      <c r="E30" s="1398"/>
      <c r="F30" s="1398"/>
      <c r="G30" s="1398"/>
      <c r="H30" s="1398"/>
      <c r="I30" s="1398"/>
      <c r="J30" s="1398"/>
      <c r="K30" s="1398"/>
      <c r="L30" s="1399"/>
      <c r="M30" s="1398"/>
      <c r="N30" s="1398"/>
      <c r="O30" s="1398"/>
      <c r="S30" s="2098" t="s">
        <v>467</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610" t="str">
        <f>IF(TITLE_DATE_PR_CHANGE="",IF(TITLE_DATE_PR="","",TITLE_DATE_PR),TITLE_DATE_PR_CHANGE)</f>
        <v>45280</v>
      </c>
      <c r="AM30" s="3610"/>
      <c r="AN30" s="3610"/>
      <c r="AO30" s="3610"/>
      <c r="AP30" s="3610"/>
      <c r="AQ30" s="3610"/>
      <c r="AR30" s="3610"/>
      <c r="AS30" s="3429"/>
      <c r="AT30" s="3610" t="str">
        <f>IF(TITLE_DATE_PR_CHANGE="",IF(TITLE_DATE_PR="","",TITLE_DATE_PR),TITLE_DATE_PR_CHANGE)</f>
        <v>45280</v>
      </c>
      <c r="AU30" s="3610"/>
      <c r="AV30" s="3610"/>
      <c r="AW30" s="3610"/>
      <c r="AX30" s="3610"/>
      <c r="AY30" s="3610"/>
      <c r="AZ30" s="3610"/>
      <c r="BA30" s="3429"/>
      <c r="BB30" s="3610" t="str">
        <f>IF(TITLE_DATE_PR_CHANGE="",IF(TITLE_DATE_PR="","",TITLE_DATE_PR),TITLE_DATE_PR_CHANGE)</f>
        <v>45280</v>
      </c>
      <c r="BC30" s="3610"/>
      <c r="BD30" s="3610"/>
      <c r="BE30" s="3610"/>
      <c r="BF30" s="3610"/>
      <c r="BG30" s="3610"/>
      <c r="BH30" s="3610"/>
      <c r="BI30" s="3429"/>
      <c r="BJ30" s="3610" t="str">
        <f>IF(TITLE_DATE_PR_CHANGE="",IF(TITLE_DATE_PR="","",TITLE_DATE_PR),TITLE_DATE_PR_CHANGE)</f>
        <v>45280</v>
      </c>
      <c r="BK30" s="3610"/>
      <c r="BL30" s="3610"/>
      <c r="BM30" s="3610"/>
      <c r="BN30" s="3610"/>
      <c r="BO30" s="3610"/>
      <c r="BP30" s="3610"/>
      <c r="BQ30" s="3429"/>
      <c r="BR30" s="3610" t="str">
        <f>IF(TITLE_DATE_PR_CHANGE="",IF(TITLE_DATE_PR="","",TITLE_DATE_PR),TITLE_DATE_PR_CHANGE)</f>
        <v>45280</v>
      </c>
      <c r="BS30" s="3610"/>
      <c r="BT30" s="3610"/>
      <c r="BU30" s="3610"/>
      <c r="BV30" s="3610"/>
      <c r="BW30" s="3610"/>
      <c r="BX30" s="3610"/>
      <c r="BY30" s="3429"/>
      <c r="BZ30" s="3610" t="str">
        <f>IF(TITLE_DATE_PR_CHANGE="",IF(TITLE_DATE_PR="","",TITLE_DATE_PR),TITLE_DATE_PR_CHANGE)</f>
        <v>45280</v>
      </c>
      <c r="CA30" s="3610"/>
      <c r="CB30" s="3610"/>
      <c r="CC30" s="3610"/>
      <c r="CD30" s="3610"/>
      <c r="CE30" s="3610"/>
      <c r="CF30" s="3610"/>
      <c r="CG30" s="3429"/>
      <c r="CH30" s="3610" t="str">
        <f>IF(TITLE_DATE_PR_CHANGE="",IF(TITLE_DATE_PR="","",TITLE_DATE_PR),TITLE_DATE_PR_CHANGE)</f>
        <v>45280</v>
      </c>
      <c r="CI30" s="3610"/>
      <c r="CJ30" s="3610"/>
      <c r="CK30" s="3610"/>
      <c r="CL30" s="3610"/>
      <c r="CM30" s="3610"/>
      <c r="CN30" s="3610"/>
      <c r="CO30" s="3429"/>
      <c r="CP30" s="3610" t="str">
        <f>IF(TITLE_DATE_PR_CHANGE="",IF(TITLE_DATE_PR="","",TITLE_DATE_PR),TITLE_DATE_PR_CHANGE)</f>
        <v>45280</v>
      </c>
      <c r="CQ30" s="3610"/>
      <c r="CR30" s="3610"/>
      <c r="CS30" s="3610"/>
      <c r="CT30" s="3610"/>
      <c r="CU30" s="3610"/>
      <c r="CV30" s="3610"/>
      <c r="CW30" s="3429"/>
      <c r="CX30" s="3610" t="str">
        <f>IF(TITLE_DATE_PR_CHANGE="",IF(TITLE_DATE_PR="","",TITLE_DATE_PR),TITLE_DATE_PR_CHANGE)</f>
        <v>45280</v>
      </c>
      <c r="CY30" s="3610"/>
      <c r="CZ30" s="3610"/>
      <c r="DA30" s="3610"/>
      <c r="DB30" s="3610"/>
      <c r="DC30" s="3610"/>
      <c r="DD30" s="3610"/>
      <c r="DE30" s="3429"/>
      <c r="DF30" s="322"/>
      <c r="DG30" s="268"/>
      <c r="DH30" s="368"/>
      <c r="DI30" s="368"/>
      <c r="DJ30" s="368"/>
      <c r="DK30" s="368"/>
      <c r="DL30" s="368"/>
    </row>
    <row s="3343" customFormat="1" customHeight="1" ht="18.75">
      <c r="A31" s="1398"/>
      <c r="B31" s="1398"/>
      <c r="C31" s="1398"/>
      <c r="D31" s="1398"/>
      <c r="E31" s="1398"/>
      <c r="F31" s="1398"/>
      <c r="G31" s="1398"/>
      <c r="H31" s="1398"/>
      <c r="I31" s="1398"/>
      <c r="J31" s="1398"/>
      <c r="K31" s="1398"/>
      <c r="L31" s="1399"/>
      <c r="M31" s="1398"/>
      <c r="N31" s="1398"/>
      <c r="O31" s="1398"/>
      <c r="S31" s="2098" t="s">
        <v>468</v>
      </c>
      <c r="T31" s="2098"/>
      <c r="U31" s="1402"/>
      <c r="V31" s="2100" t="str">
        <f>IF(TITLE_NUMBER_PR_CHANGE="",IF(TITLE_NUMBER_PR="","",TITLE_NUMBER_PR),TITLE_NUMBER_PR_CHANGE)</f>
        <v>51/11</v>
      </c>
      <c r="W31" s="2100"/>
      <c r="X31" s="2100"/>
      <c r="Y31" s="2100"/>
      <c r="Z31" s="2100"/>
      <c r="AA31" s="2100"/>
      <c r="AB31" s="2100"/>
      <c r="AC31" s="322"/>
      <c r="AD31" s="2100" t="str">
        <f>IF(TITLE_NUMBER_PR_CHANGE="",IF(TITLE_NUMBER_PR="","",TITLE_NUMBER_PR),TITLE_NUMBER_PR_CHANGE)</f>
        <v>51/11</v>
      </c>
      <c r="AE31" s="2100"/>
      <c r="AF31" s="2100"/>
      <c r="AG31" s="2100"/>
      <c r="AH31" s="2100"/>
      <c r="AI31" s="2100"/>
      <c r="AJ31" s="2100"/>
      <c r="AK31" s="322"/>
      <c r="AL31" s="3609" t="str">
        <f>IF(TITLE_NUMBER_PR_CHANGE="",IF(TITLE_NUMBER_PR="","",TITLE_NUMBER_PR),TITLE_NUMBER_PR_CHANGE)</f>
        <v>51/11</v>
      </c>
      <c r="AM31" s="3609"/>
      <c r="AN31" s="3609"/>
      <c r="AO31" s="3609"/>
      <c r="AP31" s="3609"/>
      <c r="AQ31" s="3609"/>
      <c r="AR31" s="3609"/>
      <c r="AS31" s="3429"/>
      <c r="AT31" s="3609" t="str">
        <f>IF(TITLE_NUMBER_PR_CHANGE="",IF(TITLE_NUMBER_PR="","",TITLE_NUMBER_PR),TITLE_NUMBER_PR_CHANGE)</f>
        <v>51/11</v>
      </c>
      <c r="AU31" s="3609"/>
      <c r="AV31" s="3609"/>
      <c r="AW31" s="3609"/>
      <c r="AX31" s="3609"/>
      <c r="AY31" s="3609"/>
      <c r="AZ31" s="3609"/>
      <c r="BA31" s="3429"/>
      <c r="BB31" s="3609" t="str">
        <f>IF(TITLE_NUMBER_PR_CHANGE="",IF(TITLE_NUMBER_PR="","",TITLE_NUMBER_PR),TITLE_NUMBER_PR_CHANGE)</f>
        <v>51/11</v>
      </c>
      <c r="BC31" s="3609"/>
      <c r="BD31" s="3609"/>
      <c r="BE31" s="3609"/>
      <c r="BF31" s="3609"/>
      <c r="BG31" s="3609"/>
      <c r="BH31" s="3609"/>
      <c r="BI31" s="3429"/>
      <c r="BJ31" s="3609" t="str">
        <f>IF(TITLE_NUMBER_PR_CHANGE="",IF(TITLE_NUMBER_PR="","",TITLE_NUMBER_PR),TITLE_NUMBER_PR_CHANGE)</f>
        <v>51/11</v>
      </c>
      <c r="BK31" s="3609"/>
      <c r="BL31" s="3609"/>
      <c r="BM31" s="3609"/>
      <c r="BN31" s="3609"/>
      <c r="BO31" s="3609"/>
      <c r="BP31" s="3609"/>
      <c r="BQ31" s="3429"/>
      <c r="BR31" s="3609" t="str">
        <f>IF(TITLE_NUMBER_PR_CHANGE="",IF(TITLE_NUMBER_PR="","",TITLE_NUMBER_PR),TITLE_NUMBER_PR_CHANGE)</f>
        <v>51/11</v>
      </c>
      <c r="BS31" s="3609"/>
      <c r="BT31" s="3609"/>
      <c r="BU31" s="3609"/>
      <c r="BV31" s="3609"/>
      <c r="BW31" s="3609"/>
      <c r="BX31" s="3609"/>
      <c r="BY31" s="3429"/>
      <c r="BZ31" s="3609" t="str">
        <f>IF(TITLE_NUMBER_PR_CHANGE="",IF(TITLE_NUMBER_PR="","",TITLE_NUMBER_PR),TITLE_NUMBER_PR_CHANGE)</f>
        <v>51/11</v>
      </c>
      <c r="CA31" s="3609"/>
      <c r="CB31" s="3609"/>
      <c r="CC31" s="3609"/>
      <c r="CD31" s="3609"/>
      <c r="CE31" s="3609"/>
      <c r="CF31" s="3609"/>
      <c r="CG31" s="3429"/>
      <c r="CH31" s="3609" t="str">
        <f>IF(TITLE_NUMBER_PR_CHANGE="",IF(TITLE_NUMBER_PR="","",TITLE_NUMBER_PR),TITLE_NUMBER_PR_CHANGE)</f>
        <v>51/11</v>
      </c>
      <c r="CI31" s="3609"/>
      <c r="CJ31" s="3609"/>
      <c r="CK31" s="3609"/>
      <c r="CL31" s="3609"/>
      <c r="CM31" s="3609"/>
      <c r="CN31" s="3609"/>
      <c r="CO31" s="3429"/>
      <c r="CP31" s="3609" t="str">
        <f>IF(TITLE_NUMBER_PR_CHANGE="",IF(TITLE_NUMBER_PR="","",TITLE_NUMBER_PR),TITLE_NUMBER_PR_CHANGE)</f>
        <v>51/11</v>
      </c>
      <c r="CQ31" s="3609"/>
      <c r="CR31" s="3609"/>
      <c r="CS31" s="3609"/>
      <c r="CT31" s="3609"/>
      <c r="CU31" s="3609"/>
      <c r="CV31" s="3609"/>
      <c r="CW31" s="3429"/>
      <c r="CX31" s="3609" t="str">
        <f>IF(TITLE_NUMBER_PR_CHANGE="",IF(TITLE_NUMBER_PR="","",TITLE_NUMBER_PR),TITLE_NUMBER_PR_CHANGE)</f>
        <v>51/11</v>
      </c>
      <c r="CY31" s="3609"/>
      <c r="CZ31" s="3609"/>
      <c r="DA31" s="3609"/>
      <c r="DB31" s="3609"/>
      <c r="DC31" s="3609"/>
      <c r="DD31" s="3609"/>
      <c r="DE31" s="3429"/>
      <c r="DF31" s="322"/>
      <c r="DG31" s="268"/>
      <c r="DH31" s="368"/>
      <c r="DI31" s="368"/>
      <c r="DJ31" s="368"/>
      <c r="DK31" s="368"/>
      <c r="DL31" s="368"/>
    </row>
    <row s="334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https://npa.gov-murman.ru/bitrix/components/b1team/govmurman.element.file/download.php?ID=508451&amp;FID=750724</v>
      </c>
      <c r="W32" s="2100"/>
      <c r="X32" s="2100"/>
      <c r="Y32" s="2100"/>
      <c r="Z32" s="2100"/>
      <c r="AA32" s="2100"/>
      <c r="AB32" s="2100"/>
      <c r="AC32" s="322"/>
      <c r="AD32" s="2100" t="str">
        <f>IF(TITLE_IST_PUB_CHANGE="",IF(TITLE_IST_PUB="","",TITLE_IST_PUB),TITLE_IST_PUB_CHANGE)</f>
        <v>https://npa.gov-murman.ru/bitrix/components/b1team/govmurman.element.file/download.php?ID=508451&amp;FID=750724</v>
      </c>
      <c r="AE32" s="2100"/>
      <c r="AF32" s="2100"/>
      <c r="AG32" s="2100"/>
      <c r="AH32" s="2100"/>
      <c r="AI32" s="2100"/>
      <c r="AJ32" s="2100"/>
      <c r="AK32" s="322"/>
      <c r="AL32" s="3609" t="str">
        <f>IF(TITLE_IST_PUB_CHANGE="",IF(TITLE_IST_PUB="","",TITLE_IST_PUB),TITLE_IST_PUB_CHANGE)</f>
        <v>https://npa.gov-murman.ru/bitrix/components/b1team/govmurman.element.file/download.php?ID=508451&amp;FID=750724</v>
      </c>
      <c r="AM32" s="3609"/>
      <c r="AN32" s="3609"/>
      <c r="AO32" s="3609"/>
      <c r="AP32" s="3609"/>
      <c r="AQ32" s="3609"/>
      <c r="AR32" s="3609"/>
      <c r="AS32" s="3429"/>
      <c r="AT32" s="3609" t="str">
        <f>IF(TITLE_IST_PUB_CHANGE="",IF(TITLE_IST_PUB="","",TITLE_IST_PUB),TITLE_IST_PUB_CHANGE)</f>
        <v>https://npa.gov-murman.ru/bitrix/components/b1team/govmurman.element.file/download.php?ID=508451&amp;FID=750724</v>
      </c>
      <c r="AU32" s="3609"/>
      <c r="AV32" s="3609"/>
      <c r="AW32" s="3609"/>
      <c r="AX32" s="3609"/>
      <c r="AY32" s="3609"/>
      <c r="AZ32" s="3609"/>
      <c r="BA32" s="3429"/>
      <c r="BB32" s="3609" t="str">
        <f>IF(TITLE_IST_PUB_CHANGE="",IF(TITLE_IST_PUB="","",TITLE_IST_PUB),TITLE_IST_PUB_CHANGE)</f>
        <v>https://npa.gov-murman.ru/bitrix/components/b1team/govmurman.element.file/download.php?ID=508451&amp;FID=750724</v>
      </c>
      <c r="BC32" s="3609"/>
      <c r="BD32" s="3609"/>
      <c r="BE32" s="3609"/>
      <c r="BF32" s="3609"/>
      <c r="BG32" s="3609"/>
      <c r="BH32" s="3609"/>
      <c r="BI32" s="3429"/>
      <c r="BJ32" s="3609" t="str">
        <f>IF(TITLE_IST_PUB_CHANGE="",IF(TITLE_IST_PUB="","",TITLE_IST_PUB),TITLE_IST_PUB_CHANGE)</f>
        <v>https://npa.gov-murman.ru/bitrix/components/b1team/govmurman.element.file/download.php?ID=508451&amp;FID=750724</v>
      </c>
      <c r="BK32" s="3609"/>
      <c r="BL32" s="3609"/>
      <c r="BM32" s="3609"/>
      <c r="BN32" s="3609"/>
      <c r="BO32" s="3609"/>
      <c r="BP32" s="3609"/>
      <c r="BQ32" s="3429"/>
      <c r="BR32" s="3609" t="str">
        <f>IF(TITLE_IST_PUB_CHANGE="",IF(TITLE_IST_PUB="","",TITLE_IST_PUB),TITLE_IST_PUB_CHANGE)</f>
        <v>https://npa.gov-murman.ru/bitrix/components/b1team/govmurman.element.file/download.php?ID=508451&amp;FID=750724</v>
      </c>
      <c r="BS32" s="3609"/>
      <c r="BT32" s="3609"/>
      <c r="BU32" s="3609"/>
      <c r="BV32" s="3609"/>
      <c r="BW32" s="3609"/>
      <c r="BX32" s="3609"/>
      <c r="BY32" s="3429"/>
      <c r="BZ32" s="3609" t="str">
        <f>IF(TITLE_IST_PUB_CHANGE="",IF(TITLE_IST_PUB="","",TITLE_IST_PUB),TITLE_IST_PUB_CHANGE)</f>
        <v>https://npa.gov-murman.ru/bitrix/components/b1team/govmurman.element.file/download.php?ID=508451&amp;FID=750724</v>
      </c>
      <c r="CA32" s="3609"/>
      <c r="CB32" s="3609"/>
      <c r="CC32" s="3609"/>
      <c r="CD32" s="3609"/>
      <c r="CE32" s="3609"/>
      <c r="CF32" s="3609"/>
      <c r="CG32" s="3429"/>
      <c r="CH32" s="3609" t="str">
        <f>IF(TITLE_IST_PUB_CHANGE="",IF(TITLE_IST_PUB="","",TITLE_IST_PUB),TITLE_IST_PUB_CHANGE)</f>
        <v>https://npa.gov-murman.ru/bitrix/components/b1team/govmurman.element.file/download.php?ID=508451&amp;FID=750724</v>
      </c>
      <c r="CI32" s="3609"/>
      <c r="CJ32" s="3609"/>
      <c r="CK32" s="3609"/>
      <c r="CL32" s="3609"/>
      <c r="CM32" s="3609"/>
      <c r="CN32" s="3609"/>
      <c r="CO32" s="3429"/>
      <c r="CP32" s="3609" t="str">
        <f>IF(TITLE_IST_PUB_CHANGE="",IF(TITLE_IST_PUB="","",TITLE_IST_PUB),TITLE_IST_PUB_CHANGE)</f>
        <v>https://npa.gov-murman.ru/bitrix/components/b1team/govmurman.element.file/download.php?ID=508451&amp;FID=750724</v>
      </c>
      <c r="CQ32" s="3609"/>
      <c r="CR32" s="3609"/>
      <c r="CS32" s="3609"/>
      <c r="CT32" s="3609"/>
      <c r="CU32" s="3609"/>
      <c r="CV32" s="3609"/>
      <c r="CW32" s="3429"/>
      <c r="CX32" s="3609" t="str">
        <f>IF(TITLE_IST_PUB_CHANGE="",IF(TITLE_IST_PUB="","",TITLE_IST_PUB),TITLE_IST_PUB_CHANGE)</f>
        <v>https://npa.gov-murman.ru/bitrix/components/b1team/govmurman.element.file/download.php?ID=508451&amp;FID=750724</v>
      </c>
      <c r="CY32" s="3609"/>
      <c r="CZ32" s="3609"/>
      <c r="DA32" s="3609"/>
      <c r="DB32" s="3609"/>
      <c r="DC32" s="3609"/>
      <c r="DD32" s="3609"/>
      <c r="DE32" s="3429"/>
      <c r="DF32" s="322"/>
      <c r="DG32" s="268"/>
      <c r="DH32" s="368"/>
      <c r="DI32" s="368"/>
      <c r="DJ32" s="368"/>
      <c r="DK32" s="368"/>
      <c r="DL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608"/>
      <c r="AM33" s="3608"/>
      <c r="AN33" s="3608"/>
      <c r="AO33" s="3608"/>
      <c r="AP33" s="3608"/>
      <c r="AQ33" s="3608"/>
      <c r="AR33" s="3608"/>
      <c r="AS33" s="3608"/>
      <c r="AT33" s="3608"/>
      <c r="AU33" s="3608"/>
      <c r="AV33" s="3608"/>
      <c r="AW33" s="3608"/>
      <c r="AX33" s="3608"/>
      <c r="AY33" s="3608"/>
      <c r="AZ33" s="3608"/>
      <c r="BA33" s="3608"/>
      <c r="BB33" s="3608"/>
      <c r="BC33" s="3608"/>
      <c r="BD33" s="3608"/>
      <c r="BE33" s="3608"/>
      <c r="BF33" s="3608"/>
      <c r="BG33" s="3608"/>
      <c r="BH33" s="3608"/>
      <c r="BI33" s="3608"/>
      <c r="BJ33" s="3608"/>
      <c r="BK33" s="3608"/>
      <c r="BL33" s="3608"/>
      <c r="BM33" s="3608"/>
      <c r="BN33" s="3608"/>
      <c r="BO33" s="3608"/>
      <c r="BP33" s="3608"/>
      <c r="BQ33" s="3608"/>
      <c r="BR33" s="3608"/>
      <c r="BS33" s="3608"/>
      <c r="BT33" s="3608"/>
      <c r="BU33" s="3608"/>
      <c r="BV33" s="3608"/>
      <c r="BW33" s="3608"/>
      <c r="BX33" s="3608"/>
      <c r="BY33" s="3608"/>
      <c r="BZ33" s="3608"/>
      <c r="CA33" s="3608"/>
      <c r="CB33" s="3608"/>
      <c r="CC33" s="3608"/>
      <c r="CD33" s="3608"/>
      <c r="CE33" s="3608"/>
      <c r="CF33" s="3608"/>
      <c r="CG33" s="3608"/>
      <c r="CH33" s="3608"/>
      <c r="CI33" s="3608"/>
      <c r="CJ33" s="3608"/>
      <c r="CK33" s="3608"/>
      <c r="CL33" s="3608"/>
      <c r="CM33" s="3608"/>
      <c r="CN33" s="3608"/>
      <c r="CO33" s="3608"/>
      <c r="CP33" s="3608"/>
      <c r="CQ33" s="3608"/>
      <c r="CR33" s="3608"/>
      <c r="CS33" s="3608"/>
      <c r="CT33" s="3608"/>
      <c r="CU33" s="3608"/>
      <c r="CV33" s="3608"/>
      <c r="CW33" s="3608"/>
      <c r="CX33" s="3608"/>
      <c r="CY33" s="3608"/>
      <c r="CZ33" s="3608"/>
      <c r="DA33" s="3608"/>
      <c r="DB33" s="3608"/>
      <c r="DC33" s="3608"/>
      <c r="DD33" s="3608"/>
      <c r="DE33" s="3608"/>
      <c r="DF33" s="515"/>
    </row>
    <row s="3343" customFormat="1" customHeight="1" ht="18.75" hidden="1">
      <c r="A34" s="1398"/>
      <c r="B34" s="1398"/>
      <c r="C34" s="1398"/>
      <c r="D34" s="1398"/>
      <c r="E34" s="1398"/>
      <c r="F34" s="1398"/>
      <c r="G34" s="1398"/>
      <c r="H34" s="1398"/>
      <c r="I34" s="1398"/>
      <c r="J34" s="1398"/>
      <c r="K34" s="1398"/>
      <c r="L34" s="1399"/>
      <c r="M34" s="1398"/>
      <c r="N34" s="1398"/>
      <c r="O34" s="1398"/>
      <c r="S34" s="2098" t="s">
        <v>469</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610" t="str">
        <f>IF(TITLE_DATE_PR_CHANGE="",IF(TITLE_DATE_PR="","",TITLE_DATE_PR),TITLE_DATE_PR_CHANGE)</f>
        <v>45280</v>
      </c>
      <c r="AM34" s="3610"/>
      <c r="AN34" s="3610"/>
      <c r="AO34" s="3610"/>
      <c r="AP34" s="3610"/>
      <c r="AQ34" s="3610"/>
      <c r="AR34" s="3610"/>
      <c r="AS34" s="3429"/>
      <c r="AT34" s="3610" t="str">
        <f>IF(TITLE_DATE_PR_CHANGE="",IF(TITLE_DATE_PR="","",TITLE_DATE_PR),TITLE_DATE_PR_CHANGE)</f>
        <v>45280</v>
      </c>
      <c r="AU34" s="3610"/>
      <c r="AV34" s="3610"/>
      <c r="AW34" s="3610"/>
      <c r="AX34" s="3610"/>
      <c r="AY34" s="3610"/>
      <c r="AZ34" s="3610"/>
      <c r="BA34" s="3429"/>
      <c r="BB34" s="3610" t="str">
        <f>IF(TITLE_DATE_PR_CHANGE="",IF(TITLE_DATE_PR="","",TITLE_DATE_PR),TITLE_DATE_PR_CHANGE)</f>
        <v>45280</v>
      </c>
      <c r="BC34" s="3610"/>
      <c r="BD34" s="3610"/>
      <c r="BE34" s="3610"/>
      <c r="BF34" s="3610"/>
      <c r="BG34" s="3610"/>
      <c r="BH34" s="3610"/>
      <c r="BI34" s="3429"/>
      <c r="BJ34" s="3610" t="str">
        <f>IF(TITLE_DATE_PR_CHANGE="",IF(TITLE_DATE_PR="","",TITLE_DATE_PR),TITLE_DATE_PR_CHANGE)</f>
        <v>45280</v>
      </c>
      <c r="BK34" s="3610"/>
      <c r="BL34" s="3610"/>
      <c r="BM34" s="3610"/>
      <c r="BN34" s="3610"/>
      <c r="BO34" s="3610"/>
      <c r="BP34" s="3610"/>
      <c r="BQ34" s="3429"/>
      <c r="BR34" s="3610" t="str">
        <f>IF(TITLE_DATE_PR_CHANGE="",IF(TITLE_DATE_PR="","",TITLE_DATE_PR),TITLE_DATE_PR_CHANGE)</f>
        <v>45280</v>
      </c>
      <c r="BS34" s="3610"/>
      <c r="BT34" s="3610"/>
      <c r="BU34" s="3610"/>
      <c r="BV34" s="3610"/>
      <c r="BW34" s="3610"/>
      <c r="BX34" s="3610"/>
      <c r="BY34" s="3429"/>
      <c r="BZ34" s="3610" t="str">
        <f>IF(TITLE_DATE_PR_CHANGE="",IF(TITLE_DATE_PR="","",TITLE_DATE_PR),TITLE_DATE_PR_CHANGE)</f>
        <v>45280</v>
      </c>
      <c r="CA34" s="3610"/>
      <c r="CB34" s="3610"/>
      <c r="CC34" s="3610"/>
      <c r="CD34" s="3610"/>
      <c r="CE34" s="3610"/>
      <c r="CF34" s="3610"/>
      <c r="CG34" s="3429"/>
      <c r="CH34" s="3610" t="str">
        <f>IF(TITLE_DATE_PR_CHANGE="",IF(TITLE_DATE_PR="","",TITLE_DATE_PR),TITLE_DATE_PR_CHANGE)</f>
        <v>45280</v>
      </c>
      <c r="CI34" s="3610"/>
      <c r="CJ34" s="3610"/>
      <c r="CK34" s="3610"/>
      <c r="CL34" s="3610"/>
      <c r="CM34" s="3610"/>
      <c r="CN34" s="3610"/>
      <c r="CO34" s="3429"/>
      <c r="CP34" s="3610" t="str">
        <f>IF(TITLE_DATE_PR_CHANGE="",IF(TITLE_DATE_PR="","",TITLE_DATE_PR),TITLE_DATE_PR_CHANGE)</f>
        <v>45280</v>
      </c>
      <c r="CQ34" s="3610"/>
      <c r="CR34" s="3610"/>
      <c r="CS34" s="3610"/>
      <c r="CT34" s="3610"/>
      <c r="CU34" s="3610"/>
      <c r="CV34" s="3610"/>
      <c r="CW34" s="3429"/>
      <c r="CX34" s="3610" t="str">
        <f>IF(TITLE_DATE_PR_CHANGE="",IF(TITLE_DATE_PR="","",TITLE_DATE_PR),TITLE_DATE_PR_CHANGE)</f>
        <v>45280</v>
      </c>
      <c r="CY34" s="3610"/>
      <c r="CZ34" s="3610"/>
      <c r="DA34" s="3610"/>
      <c r="DB34" s="3610"/>
      <c r="DC34" s="3610"/>
      <c r="DD34" s="3610"/>
      <c r="DE34" s="3429"/>
      <c r="DF34" s="322"/>
      <c r="DG34" s="268"/>
      <c r="DH34" s="368"/>
      <c r="DI34" s="368"/>
      <c r="DJ34" s="368"/>
      <c r="DK34" s="368"/>
      <c r="DL34" s="368"/>
    </row>
    <row s="3343" customFormat="1" customHeight="1" ht="18.75" hidden="1">
      <c r="A35" s="1398"/>
      <c r="B35" s="1398"/>
      <c r="C35" s="1398"/>
      <c r="D35" s="1398"/>
      <c r="E35" s="1398"/>
      <c r="F35" s="1398"/>
      <c r="G35" s="1398"/>
      <c r="H35" s="1398"/>
      <c r="I35" s="1398"/>
      <c r="J35" s="1398"/>
      <c r="K35" s="1398"/>
      <c r="L35" s="1399"/>
      <c r="M35" s="1398"/>
      <c r="N35" s="1398"/>
      <c r="O35" s="1398"/>
      <c r="S35" s="2098" t="s">
        <v>470</v>
      </c>
      <c r="T35" s="2098"/>
      <c r="U35" s="1402"/>
      <c r="V35" s="2100" t="str">
        <f>IF(TITLE_NUMBER_PR_CHANGE="",IF(TITLE_NUMBER_PR="","",TITLE_NUMBER_PR),TITLE_NUMBER_PR_CHANGE)</f>
        <v>51/11</v>
      </c>
      <c r="W35" s="2100"/>
      <c r="X35" s="2100"/>
      <c r="Y35" s="2100"/>
      <c r="Z35" s="2100"/>
      <c r="AA35" s="2100"/>
      <c r="AB35" s="2100"/>
      <c r="AC35" s="322"/>
      <c r="AD35" s="2100" t="str">
        <f>IF(TITLE_NUMBER_PR_CHANGE="",IF(TITLE_NUMBER_PR="","",TITLE_NUMBER_PR),TITLE_NUMBER_PR_CHANGE)</f>
        <v>51/11</v>
      </c>
      <c r="AE35" s="2100"/>
      <c r="AF35" s="2100"/>
      <c r="AG35" s="2100"/>
      <c r="AH35" s="2100"/>
      <c r="AI35" s="2100"/>
      <c r="AJ35" s="2100"/>
      <c r="AK35" s="322"/>
      <c r="AL35" s="3609" t="str">
        <f>IF(TITLE_NUMBER_PR_CHANGE="",IF(TITLE_NUMBER_PR="","",TITLE_NUMBER_PR),TITLE_NUMBER_PR_CHANGE)</f>
        <v>51/11</v>
      </c>
      <c r="AM35" s="3609"/>
      <c r="AN35" s="3609"/>
      <c r="AO35" s="3609"/>
      <c r="AP35" s="3609"/>
      <c r="AQ35" s="3609"/>
      <c r="AR35" s="3609"/>
      <c r="AS35" s="3429"/>
      <c r="AT35" s="3609" t="str">
        <f>IF(TITLE_NUMBER_PR_CHANGE="",IF(TITLE_NUMBER_PR="","",TITLE_NUMBER_PR),TITLE_NUMBER_PR_CHANGE)</f>
        <v>51/11</v>
      </c>
      <c r="AU35" s="3609"/>
      <c r="AV35" s="3609"/>
      <c r="AW35" s="3609"/>
      <c r="AX35" s="3609"/>
      <c r="AY35" s="3609"/>
      <c r="AZ35" s="3609"/>
      <c r="BA35" s="3429"/>
      <c r="BB35" s="3609" t="str">
        <f>IF(TITLE_NUMBER_PR_CHANGE="",IF(TITLE_NUMBER_PR="","",TITLE_NUMBER_PR),TITLE_NUMBER_PR_CHANGE)</f>
        <v>51/11</v>
      </c>
      <c r="BC35" s="3609"/>
      <c r="BD35" s="3609"/>
      <c r="BE35" s="3609"/>
      <c r="BF35" s="3609"/>
      <c r="BG35" s="3609"/>
      <c r="BH35" s="3609"/>
      <c r="BI35" s="3429"/>
      <c r="BJ35" s="3609" t="str">
        <f>IF(TITLE_NUMBER_PR_CHANGE="",IF(TITLE_NUMBER_PR="","",TITLE_NUMBER_PR),TITLE_NUMBER_PR_CHANGE)</f>
        <v>51/11</v>
      </c>
      <c r="BK35" s="3609"/>
      <c r="BL35" s="3609"/>
      <c r="BM35" s="3609"/>
      <c r="BN35" s="3609"/>
      <c r="BO35" s="3609"/>
      <c r="BP35" s="3609"/>
      <c r="BQ35" s="3429"/>
      <c r="BR35" s="3609" t="str">
        <f>IF(TITLE_NUMBER_PR_CHANGE="",IF(TITLE_NUMBER_PR="","",TITLE_NUMBER_PR),TITLE_NUMBER_PR_CHANGE)</f>
        <v>51/11</v>
      </c>
      <c r="BS35" s="3609"/>
      <c r="BT35" s="3609"/>
      <c r="BU35" s="3609"/>
      <c r="BV35" s="3609"/>
      <c r="BW35" s="3609"/>
      <c r="BX35" s="3609"/>
      <c r="BY35" s="3429"/>
      <c r="BZ35" s="3609" t="str">
        <f>IF(TITLE_NUMBER_PR_CHANGE="",IF(TITLE_NUMBER_PR="","",TITLE_NUMBER_PR),TITLE_NUMBER_PR_CHANGE)</f>
        <v>51/11</v>
      </c>
      <c r="CA35" s="3609"/>
      <c r="CB35" s="3609"/>
      <c r="CC35" s="3609"/>
      <c r="CD35" s="3609"/>
      <c r="CE35" s="3609"/>
      <c r="CF35" s="3609"/>
      <c r="CG35" s="3429"/>
      <c r="CH35" s="3609" t="str">
        <f>IF(TITLE_NUMBER_PR_CHANGE="",IF(TITLE_NUMBER_PR="","",TITLE_NUMBER_PR),TITLE_NUMBER_PR_CHANGE)</f>
        <v>51/11</v>
      </c>
      <c r="CI35" s="3609"/>
      <c r="CJ35" s="3609"/>
      <c r="CK35" s="3609"/>
      <c r="CL35" s="3609"/>
      <c r="CM35" s="3609"/>
      <c r="CN35" s="3609"/>
      <c r="CO35" s="3429"/>
      <c r="CP35" s="3609" t="str">
        <f>IF(TITLE_NUMBER_PR_CHANGE="",IF(TITLE_NUMBER_PR="","",TITLE_NUMBER_PR),TITLE_NUMBER_PR_CHANGE)</f>
        <v>51/11</v>
      </c>
      <c r="CQ35" s="3609"/>
      <c r="CR35" s="3609"/>
      <c r="CS35" s="3609"/>
      <c r="CT35" s="3609"/>
      <c r="CU35" s="3609"/>
      <c r="CV35" s="3609"/>
      <c r="CW35" s="3429"/>
      <c r="CX35" s="3609" t="str">
        <f>IF(TITLE_NUMBER_PR_CHANGE="",IF(TITLE_NUMBER_PR="","",TITLE_NUMBER_PR),TITLE_NUMBER_PR_CHANGE)</f>
        <v>51/11</v>
      </c>
      <c r="CY35" s="3609"/>
      <c r="CZ35" s="3609"/>
      <c r="DA35" s="3609"/>
      <c r="DB35" s="3609"/>
      <c r="DC35" s="3609"/>
      <c r="DD35" s="3609"/>
      <c r="DE35" s="3429"/>
      <c r="DF35" s="322"/>
      <c r="DG35" s="268"/>
      <c r="DH35" s="368"/>
      <c r="DI35" s="368"/>
      <c r="DJ35" s="368"/>
      <c r="DK35" s="368"/>
      <c r="DL35" s="368"/>
    </row>
    <row s="334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471</v>
      </c>
      <c r="AD36" s="322"/>
      <c r="AE36" s="322"/>
      <c r="AF36" s="322"/>
      <c r="AG36" s="322"/>
      <c r="AH36" s="322"/>
      <c r="AI36" s="322"/>
      <c r="AJ36" s="322"/>
      <c r="AK36" s="266" t="s">
        <v>471</v>
      </c>
      <c r="AL36" s="3429"/>
      <c r="AM36" s="3429"/>
      <c r="AN36" s="3429"/>
      <c r="AO36" s="3429"/>
      <c r="AP36" s="3429"/>
      <c r="AQ36" s="3429"/>
      <c r="AR36" s="3429"/>
      <c r="AS36" s="3611" t="s">
        <v>471</v>
      </c>
      <c r="AT36" s="3429"/>
      <c r="AU36" s="3429"/>
      <c r="AV36" s="3429"/>
      <c r="AW36" s="3429"/>
      <c r="AX36" s="3429"/>
      <c r="AY36" s="3429"/>
      <c r="AZ36" s="3429"/>
      <c r="BA36" s="3611" t="s">
        <v>471</v>
      </c>
      <c r="BB36" s="3429"/>
      <c r="BC36" s="3429"/>
      <c r="BD36" s="3429"/>
      <c r="BE36" s="3429"/>
      <c r="BF36" s="3429"/>
      <c r="BG36" s="3429"/>
      <c r="BH36" s="3429"/>
      <c r="BI36" s="3611" t="s">
        <v>471</v>
      </c>
      <c r="BJ36" s="3429"/>
      <c r="BK36" s="3429"/>
      <c r="BL36" s="3429"/>
      <c r="BM36" s="3429"/>
      <c r="BN36" s="3429"/>
      <c r="BO36" s="3429"/>
      <c r="BP36" s="3429"/>
      <c r="BQ36" s="3611" t="s">
        <v>471</v>
      </c>
      <c r="BR36" s="3429"/>
      <c r="BS36" s="3429"/>
      <c r="BT36" s="3429"/>
      <c r="BU36" s="3429"/>
      <c r="BV36" s="3429"/>
      <c r="BW36" s="3429"/>
      <c r="BX36" s="3429"/>
      <c r="BY36" s="3611" t="s">
        <v>471</v>
      </c>
      <c r="BZ36" s="3429"/>
      <c r="CA36" s="3429"/>
      <c r="CB36" s="3429"/>
      <c r="CC36" s="3429"/>
      <c r="CD36" s="3429"/>
      <c r="CE36" s="3429"/>
      <c r="CF36" s="3429"/>
      <c r="CG36" s="3611" t="s">
        <v>471</v>
      </c>
      <c r="CH36" s="3429"/>
      <c r="CI36" s="3429"/>
      <c r="CJ36" s="3429"/>
      <c r="CK36" s="3429"/>
      <c r="CL36" s="3429"/>
      <c r="CM36" s="3429"/>
      <c r="CN36" s="3429"/>
      <c r="CO36" s="3611" t="s">
        <v>471</v>
      </c>
      <c r="CP36" s="3429"/>
      <c r="CQ36" s="3429"/>
      <c r="CR36" s="3429"/>
      <c r="CS36" s="3429"/>
      <c r="CT36" s="3429"/>
      <c r="CU36" s="3429"/>
      <c r="CV36" s="3429"/>
      <c r="CW36" s="3611" t="s">
        <v>471</v>
      </c>
      <c r="CX36" s="3429"/>
      <c r="CY36" s="3429"/>
      <c r="CZ36" s="3429"/>
      <c r="DA36" s="3429"/>
      <c r="DB36" s="3429"/>
      <c r="DC36" s="3429"/>
      <c r="DD36" s="3429"/>
      <c r="DE36" s="3611" t="s">
        <v>471</v>
      </c>
      <c r="DH36" s="368"/>
      <c r="DI36" s="368"/>
      <c r="DJ36" s="368"/>
      <c r="DK36" s="368"/>
      <c r="DL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612" t="s">
        <v>103</v>
      </c>
      <c r="AM37" s="3612"/>
      <c r="AN37" s="3612"/>
      <c r="AO37" s="3612"/>
      <c r="AP37" s="3612"/>
      <c r="AQ37" s="3612"/>
      <c r="AR37" s="3612"/>
      <c r="AS37" s="3612"/>
      <c r="AT37" s="3612" t="s">
        <v>103</v>
      </c>
      <c r="AU37" s="3612"/>
      <c r="AV37" s="3612"/>
      <c r="AW37" s="3612"/>
      <c r="AX37" s="3612"/>
      <c r="AY37" s="3612"/>
      <c r="AZ37" s="3612"/>
      <c r="BA37" s="3612"/>
      <c r="BB37" s="3612" t="s">
        <v>103</v>
      </c>
      <c r="BC37" s="3612"/>
      <c r="BD37" s="3612"/>
      <c r="BE37" s="3612"/>
      <c r="BF37" s="3612"/>
      <c r="BG37" s="3612"/>
      <c r="BH37" s="3612"/>
      <c r="BI37" s="3612"/>
      <c r="BJ37" s="3612" t="s">
        <v>103</v>
      </c>
      <c r="BK37" s="3612"/>
      <c r="BL37" s="3612"/>
      <c r="BM37" s="3612"/>
      <c r="BN37" s="3612"/>
      <c r="BO37" s="3612"/>
      <c r="BP37" s="3612"/>
      <c r="BQ37" s="3612"/>
      <c r="BR37" s="3612" t="s">
        <v>103</v>
      </c>
      <c r="BS37" s="3612"/>
      <c r="BT37" s="3612"/>
      <c r="BU37" s="3612"/>
      <c r="BV37" s="3612"/>
      <c r="BW37" s="3612"/>
      <c r="BX37" s="3612"/>
      <c r="BY37" s="3612"/>
      <c r="BZ37" s="3612" t="s">
        <v>103</v>
      </c>
      <c r="CA37" s="3612"/>
      <c r="CB37" s="3612"/>
      <c r="CC37" s="3612"/>
      <c r="CD37" s="3612"/>
      <c r="CE37" s="3612"/>
      <c r="CF37" s="3612"/>
      <c r="CG37" s="3612"/>
      <c r="CH37" s="3612" t="s">
        <v>103</v>
      </c>
      <c r="CI37" s="3612"/>
      <c r="CJ37" s="3612"/>
      <c r="CK37" s="3612"/>
      <c r="CL37" s="3612"/>
      <c r="CM37" s="3612"/>
      <c r="CN37" s="3612"/>
      <c r="CO37" s="3612"/>
      <c r="CP37" s="3612" t="s">
        <v>103</v>
      </c>
      <c r="CQ37" s="3612"/>
      <c r="CR37" s="3612"/>
      <c r="CS37" s="3612"/>
      <c r="CT37" s="3612"/>
      <c r="CU37" s="3612"/>
      <c r="CV37" s="3612"/>
      <c r="CW37" s="3612"/>
      <c r="CX37" s="3612" t="s">
        <v>103</v>
      </c>
      <c r="CY37" s="3612"/>
      <c r="CZ37" s="3612"/>
      <c r="DA37" s="3612"/>
      <c r="DB37" s="3612"/>
      <c r="DC37" s="3612"/>
      <c r="DD37" s="3612"/>
      <c r="DE37" s="3612"/>
    </row>
    <row customHeight="1" ht="14.25">
      <c r="Q38" s="377"/>
      <c r="R38" s="377"/>
      <c r="S38" s="1971" t="s">
        <v>345</v>
      </c>
      <c r="T38" s="1971"/>
      <c r="U38" s="1971"/>
      <c r="V38" s="1971"/>
      <c r="W38" s="1971"/>
      <c r="X38" s="1971"/>
      <c r="Y38" s="1971"/>
      <c r="Z38" s="1971"/>
      <c r="AA38" s="1971"/>
      <c r="AB38" s="1971"/>
      <c r="AC38" s="1971"/>
      <c r="AD38" s="1971"/>
      <c r="AE38" s="1971"/>
      <c r="AF38" s="1971"/>
      <c r="AG38" s="1971"/>
      <c r="AH38" s="1971"/>
      <c r="AI38" s="1971"/>
      <c r="AJ38" s="1971"/>
      <c r="AK38" s="1971"/>
      <c r="AL38" s="3613" t="s">
        <v>345</v>
      </c>
      <c r="AM38" s="3613"/>
      <c r="AN38" s="3613"/>
      <c r="AO38" s="3613"/>
      <c r="AP38" s="3613"/>
      <c r="AQ38" s="3613"/>
      <c r="AR38" s="3613"/>
      <c r="AS38" s="3613"/>
      <c r="AT38" s="3613" t="s">
        <v>345</v>
      </c>
      <c r="AU38" s="3613"/>
      <c r="AV38" s="3613"/>
      <c r="AW38" s="3613"/>
      <c r="AX38" s="3613"/>
      <c r="AY38" s="3613"/>
      <c r="AZ38" s="3613"/>
      <c r="BA38" s="3613"/>
      <c r="BB38" s="3613" t="s">
        <v>345</v>
      </c>
      <c r="BC38" s="3613"/>
      <c r="BD38" s="3613"/>
      <c r="BE38" s="3613"/>
      <c r="BF38" s="3613"/>
      <c r="BG38" s="3613"/>
      <c r="BH38" s="3613"/>
      <c r="BI38" s="3613"/>
      <c r="BJ38" s="3613" t="s">
        <v>345</v>
      </c>
      <c r="BK38" s="3613"/>
      <c r="BL38" s="3613"/>
      <c r="BM38" s="3613"/>
      <c r="BN38" s="3613"/>
      <c r="BO38" s="3613"/>
      <c r="BP38" s="3613"/>
      <c r="BQ38" s="3613"/>
      <c r="BR38" s="3613" t="s">
        <v>345</v>
      </c>
      <c r="BS38" s="3613"/>
      <c r="BT38" s="3613"/>
      <c r="BU38" s="3613"/>
      <c r="BV38" s="3613"/>
      <c r="BW38" s="3613"/>
      <c r="BX38" s="3613"/>
      <c r="BY38" s="3613"/>
      <c r="BZ38" s="3613" t="s">
        <v>345</v>
      </c>
      <c r="CA38" s="3613"/>
      <c r="CB38" s="3613"/>
      <c r="CC38" s="3613"/>
      <c r="CD38" s="3613"/>
      <c r="CE38" s="3613"/>
      <c r="CF38" s="3613"/>
      <c r="CG38" s="3613"/>
      <c r="CH38" s="3613" t="s">
        <v>345</v>
      </c>
      <c r="CI38" s="3613"/>
      <c r="CJ38" s="3613"/>
      <c r="CK38" s="3613"/>
      <c r="CL38" s="3613"/>
      <c r="CM38" s="3613"/>
      <c r="CN38" s="3613"/>
      <c r="CO38" s="3613"/>
      <c r="CP38" s="3613" t="s">
        <v>345</v>
      </c>
      <c r="CQ38" s="3613"/>
      <c r="CR38" s="3613"/>
      <c r="CS38" s="3613"/>
      <c r="CT38" s="3613"/>
      <c r="CU38" s="3613"/>
      <c r="CV38" s="3613"/>
      <c r="CW38" s="3613"/>
      <c r="CX38" s="3613" t="s">
        <v>345</v>
      </c>
      <c r="CY38" s="3613"/>
      <c r="CZ38" s="3613"/>
      <c r="DA38" s="3613"/>
      <c r="DB38" s="3613"/>
      <c r="DC38" s="3613"/>
      <c r="DD38" s="3613"/>
      <c r="DE38" s="3613"/>
      <c r="DF38" s="1971"/>
      <c r="DG38" s="1971"/>
    </row>
    <row customHeight="1" ht="14.25">
      <c r="Q39" s="377"/>
      <c r="R39" s="377"/>
      <c r="S39" s="2125" t="s">
        <v>87</v>
      </c>
      <c r="T39" s="2062" t="s">
        <v>472</v>
      </c>
      <c r="U39" s="289"/>
      <c r="V39" s="2126" t="s">
        <v>473</v>
      </c>
      <c r="W39" s="2127"/>
      <c r="X39" s="2127"/>
      <c r="Y39" s="2127"/>
      <c r="Z39" s="2127"/>
      <c r="AA39" s="2127"/>
      <c r="AB39" s="2128"/>
      <c r="AC39" s="2129" t="s">
        <v>474</v>
      </c>
      <c r="AD39" s="2126" t="s">
        <v>473</v>
      </c>
      <c r="AE39" s="2127"/>
      <c r="AF39" s="2127"/>
      <c r="AG39" s="2127"/>
      <c r="AH39" s="2127"/>
      <c r="AI39" s="2127"/>
      <c r="AJ39" s="2128"/>
      <c r="AK39" s="2129" t="s">
        <v>475</v>
      </c>
      <c r="AL39" s="3614" t="s">
        <v>473</v>
      </c>
      <c r="AM39" s="3615"/>
      <c r="AN39" s="3615"/>
      <c r="AO39" s="3615"/>
      <c r="AP39" s="3615"/>
      <c r="AQ39" s="3615"/>
      <c r="AR39" s="3616"/>
      <c r="AS39" s="3617" t="s">
        <v>474</v>
      </c>
      <c r="AT39" s="3614" t="s">
        <v>473</v>
      </c>
      <c r="AU39" s="3615"/>
      <c r="AV39" s="3615"/>
      <c r="AW39" s="3615"/>
      <c r="AX39" s="3615"/>
      <c r="AY39" s="3615"/>
      <c r="AZ39" s="3616"/>
      <c r="BA39" s="3617" t="s">
        <v>474</v>
      </c>
      <c r="BB39" s="3614" t="s">
        <v>473</v>
      </c>
      <c r="BC39" s="3615"/>
      <c r="BD39" s="3615"/>
      <c r="BE39" s="3615"/>
      <c r="BF39" s="3615"/>
      <c r="BG39" s="3615"/>
      <c r="BH39" s="3616"/>
      <c r="BI39" s="3617" t="s">
        <v>474</v>
      </c>
      <c r="BJ39" s="3614" t="s">
        <v>473</v>
      </c>
      <c r="BK39" s="3615"/>
      <c r="BL39" s="3615"/>
      <c r="BM39" s="3615"/>
      <c r="BN39" s="3615"/>
      <c r="BO39" s="3615"/>
      <c r="BP39" s="3616"/>
      <c r="BQ39" s="3617" t="s">
        <v>474</v>
      </c>
      <c r="BR39" s="3614" t="s">
        <v>473</v>
      </c>
      <c r="BS39" s="3615"/>
      <c r="BT39" s="3615"/>
      <c r="BU39" s="3615"/>
      <c r="BV39" s="3615"/>
      <c r="BW39" s="3615"/>
      <c r="BX39" s="3616"/>
      <c r="BY39" s="3617" t="s">
        <v>474</v>
      </c>
      <c r="BZ39" s="3614" t="s">
        <v>473</v>
      </c>
      <c r="CA39" s="3615"/>
      <c r="CB39" s="3615"/>
      <c r="CC39" s="3615"/>
      <c r="CD39" s="3615"/>
      <c r="CE39" s="3615"/>
      <c r="CF39" s="3616"/>
      <c r="CG39" s="3617" t="s">
        <v>474</v>
      </c>
      <c r="CH39" s="3614" t="s">
        <v>473</v>
      </c>
      <c r="CI39" s="3615"/>
      <c r="CJ39" s="3615"/>
      <c r="CK39" s="3615"/>
      <c r="CL39" s="3615"/>
      <c r="CM39" s="3615"/>
      <c r="CN39" s="3616"/>
      <c r="CO39" s="3617" t="s">
        <v>474</v>
      </c>
      <c r="CP39" s="3614" t="s">
        <v>473</v>
      </c>
      <c r="CQ39" s="3615"/>
      <c r="CR39" s="3615"/>
      <c r="CS39" s="3615"/>
      <c r="CT39" s="3615"/>
      <c r="CU39" s="3615"/>
      <c r="CV39" s="3616"/>
      <c r="CW39" s="3617" t="s">
        <v>474</v>
      </c>
      <c r="CX39" s="3614" t="s">
        <v>473</v>
      </c>
      <c r="CY39" s="3615"/>
      <c r="CZ39" s="3615"/>
      <c r="DA39" s="3615"/>
      <c r="DB39" s="3615"/>
      <c r="DC39" s="3615"/>
      <c r="DD39" s="3616"/>
      <c r="DE39" s="3617" t="s">
        <v>474</v>
      </c>
      <c r="DF39" s="2132" t="s">
        <v>476</v>
      </c>
      <c r="DG39" s="1971"/>
    </row>
    <row customHeight="1" ht="33.75">
      <c r="Q40" s="377"/>
      <c r="R40" s="377"/>
      <c r="S40" s="2125"/>
      <c r="T40" s="2062"/>
      <c r="U40" s="1038"/>
      <c r="V40" s="2135" t="s">
        <v>493</v>
      </c>
      <c r="W40" s="2116"/>
      <c r="X40" s="2118" t="s">
        <v>479</v>
      </c>
      <c r="Y40" s="2120"/>
      <c r="Z40" s="2118" t="s">
        <v>480</v>
      </c>
      <c r="AA40" s="2119"/>
      <c r="AB40" s="2120"/>
      <c r="AC40" s="2130"/>
      <c r="AD40" s="2135" t="s">
        <v>493</v>
      </c>
      <c r="AE40" s="2116"/>
      <c r="AF40" s="2118" t="s">
        <v>479</v>
      </c>
      <c r="AG40" s="2120"/>
      <c r="AH40" s="2118" t="s">
        <v>480</v>
      </c>
      <c r="AI40" s="2119"/>
      <c r="AJ40" s="2120"/>
      <c r="AK40" s="2130"/>
      <c r="AL40" s="3618" t="s">
        <v>493</v>
      </c>
      <c r="AM40" s="3619"/>
      <c r="AN40" s="3620" t="s">
        <v>479</v>
      </c>
      <c r="AO40" s="3621"/>
      <c r="AP40" s="3620" t="s">
        <v>480</v>
      </c>
      <c r="AQ40" s="3622"/>
      <c r="AR40" s="3621"/>
      <c r="AS40" s="3623"/>
      <c r="AT40" s="3618" t="s">
        <v>493</v>
      </c>
      <c r="AU40" s="3619"/>
      <c r="AV40" s="3620" t="s">
        <v>479</v>
      </c>
      <c r="AW40" s="3621"/>
      <c r="AX40" s="3620" t="s">
        <v>480</v>
      </c>
      <c r="AY40" s="3622"/>
      <c r="AZ40" s="3621"/>
      <c r="BA40" s="3623"/>
      <c r="BB40" s="3618" t="s">
        <v>493</v>
      </c>
      <c r="BC40" s="3619"/>
      <c r="BD40" s="3620" t="s">
        <v>479</v>
      </c>
      <c r="BE40" s="3621"/>
      <c r="BF40" s="3620" t="s">
        <v>480</v>
      </c>
      <c r="BG40" s="3622"/>
      <c r="BH40" s="3621"/>
      <c r="BI40" s="3623"/>
      <c r="BJ40" s="3618" t="s">
        <v>493</v>
      </c>
      <c r="BK40" s="3619"/>
      <c r="BL40" s="3620" t="s">
        <v>479</v>
      </c>
      <c r="BM40" s="3621"/>
      <c r="BN40" s="3620" t="s">
        <v>480</v>
      </c>
      <c r="BO40" s="3622"/>
      <c r="BP40" s="3621"/>
      <c r="BQ40" s="3623"/>
      <c r="BR40" s="3618" t="s">
        <v>493</v>
      </c>
      <c r="BS40" s="3619"/>
      <c r="BT40" s="3620" t="s">
        <v>479</v>
      </c>
      <c r="BU40" s="3621"/>
      <c r="BV40" s="3620" t="s">
        <v>480</v>
      </c>
      <c r="BW40" s="3622"/>
      <c r="BX40" s="3621"/>
      <c r="BY40" s="3623"/>
      <c r="BZ40" s="3618" t="s">
        <v>493</v>
      </c>
      <c r="CA40" s="3619"/>
      <c r="CB40" s="3620" t="s">
        <v>479</v>
      </c>
      <c r="CC40" s="3621"/>
      <c r="CD40" s="3620" t="s">
        <v>480</v>
      </c>
      <c r="CE40" s="3622"/>
      <c r="CF40" s="3621"/>
      <c r="CG40" s="3623"/>
      <c r="CH40" s="3618" t="s">
        <v>493</v>
      </c>
      <c r="CI40" s="3619"/>
      <c r="CJ40" s="3620" t="s">
        <v>479</v>
      </c>
      <c r="CK40" s="3621"/>
      <c r="CL40" s="3620" t="s">
        <v>480</v>
      </c>
      <c r="CM40" s="3622"/>
      <c r="CN40" s="3621"/>
      <c r="CO40" s="3623"/>
      <c r="CP40" s="3618" t="s">
        <v>493</v>
      </c>
      <c r="CQ40" s="3619"/>
      <c r="CR40" s="3620" t="s">
        <v>479</v>
      </c>
      <c r="CS40" s="3621"/>
      <c r="CT40" s="3620" t="s">
        <v>480</v>
      </c>
      <c r="CU40" s="3622"/>
      <c r="CV40" s="3621"/>
      <c r="CW40" s="3623"/>
      <c r="CX40" s="3618" t="s">
        <v>493</v>
      </c>
      <c r="CY40" s="3619"/>
      <c r="CZ40" s="3620" t="s">
        <v>479</v>
      </c>
      <c r="DA40" s="3621"/>
      <c r="DB40" s="3620" t="s">
        <v>480</v>
      </c>
      <c r="DC40" s="3622"/>
      <c r="DD40" s="3621"/>
      <c r="DE40" s="3623"/>
      <c r="DF40" s="2133"/>
      <c r="DG40" s="1971"/>
    </row>
    <row customHeight="1" ht="33.75">
      <c r="A41" s="1400"/>
      <c r="B41" s="1400" t="s">
        <v>152</v>
      </c>
      <c r="C41" s="1400" t="s">
        <v>153</v>
      </c>
      <c r="D41" s="1400" t="s">
        <v>154</v>
      </c>
      <c r="E41" s="1394" t="s">
        <v>481</v>
      </c>
      <c r="F41" s="1394" t="s">
        <v>482</v>
      </c>
      <c r="G41" s="1394" t="s">
        <v>483</v>
      </c>
      <c r="H41" s="1394" t="s">
        <v>484</v>
      </c>
      <c r="I41" s="1394" t="s">
        <v>485</v>
      </c>
      <c r="J41" s="1394" t="s">
        <v>486</v>
      </c>
      <c r="K41" s="1394" t="s">
        <v>487</v>
      </c>
      <c r="L41" s="1394" t="s">
        <v>462</v>
      </c>
      <c r="Q41" s="377"/>
      <c r="R41" s="377"/>
      <c r="S41" s="2125"/>
      <c r="T41" s="2062"/>
      <c r="U41" s="290"/>
      <c r="V41" s="2136"/>
      <c r="W41" s="2117"/>
      <c r="X41" s="1237" t="s">
        <v>488</v>
      </c>
      <c r="Y41" s="1237" t="s">
        <v>489</v>
      </c>
      <c r="Z41" s="1368" t="s">
        <v>490</v>
      </c>
      <c r="AA41" s="2121" t="s">
        <v>491</v>
      </c>
      <c r="AB41" s="2122"/>
      <c r="AC41" s="2131"/>
      <c r="AD41" s="2136"/>
      <c r="AE41" s="2117"/>
      <c r="AF41" s="1237" t="s">
        <v>488</v>
      </c>
      <c r="AG41" s="1237" t="s">
        <v>489</v>
      </c>
      <c r="AH41" s="1368" t="s">
        <v>490</v>
      </c>
      <c r="AI41" s="2121" t="s">
        <v>491</v>
      </c>
      <c r="AJ41" s="2122"/>
      <c r="AK41" s="2131"/>
      <c r="AL41" s="3624"/>
      <c r="AM41" s="3625"/>
      <c r="AN41" s="3626" t="s">
        <v>488</v>
      </c>
      <c r="AO41" s="3626" t="s">
        <v>489</v>
      </c>
      <c r="AP41" s="3626" t="s">
        <v>490</v>
      </c>
      <c r="AQ41" s="3627" t="s">
        <v>491</v>
      </c>
      <c r="AR41" s="3628"/>
      <c r="AS41" s="3629"/>
      <c r="AT41" s="3624"/>
      <c r="AU41" s="3625"/>
      <c r="AV41" s="3626" t="s">
        <v>488</v>
      </c>
      <c r="AW41" s="3626" t="s">
        <v>489</v>
      </c>
      <c r="AX41" s="3626" t="s">
        <v>490</v>
      </c>
      <c r="AY41" s="3627" t="s">
        <v>491</v>
      </c>
      <c r="AZ41" s="3628"/>
      <c r="BA41" s="3629"/>
      <c r="BB41" s="3624"/>
      <c r="BC41" s="3625"/>
      <c r="BD41" s="3626" t="s">
        <v>488</v>
      </c>
      <c r="BE41" s="3626" t="s">
        <v>489</v>
      </c>
      <c r="BF41" s="3626" t="s">
        <v>490</v>
      </c>
      <c r="BG41" s="3627" t="s">
        <v>491</v>
      </c>
      <c r="BH41" s="3628"/>
      <c r="BI41" s="3629"/>
      <c r="BJ41" s="3624"/>
      <c r="BK41" s="3625"/>
      <c r="BL41" s="3626" t="s">
        <v>488</v>
      </c>
      <c r="BM41" s="3626" t="s">
        <v>489</v>
      </c>
      <c r="BN41" s="3626" t="s">
        <v>490</v>
      </c>
      <c r="BO41" s="3627" t="s">
        <v>491</v>
      </c>
      <c r="BP41" s="3628"/>
      <c r="BQ41" s="3629"/>
      <c r="BR41" s="3624"/>
      <c r="BS41" s="3625"/>
      <c r="BT41" s="3626" t="s">
        <v>488</v>
      </c>
      <c r="BU41" s="3626" t="s">
        <v>489</v>
      </c>
      <c r="BV41" s="3626" t="s">
        <v>490</v>
      </c>
      <c r="BW41" s="3627" t="s">
        <v>491</v>
      </c>
      <c r="BX41" s="3628"/>
      <c r="BY41" s="3629"/>
      <c r="BZ41" s="3624"/>
      <c r="CA41" s="3625"/>
      <c r="CB41" s="3626" t="s">
        <v>488</v>
      </c>
      <c r="CC41" s="3626" t="s">
        <v>489</v>
      </c>
      <c r="CD41" s="3626" t="s">
        <v>490</v>
      </c>
      <c r="CE41" s="3627" t="s">
        <v>491</v>
      </c>
      <c r="CF41" s="3628"/>
      <c r="CG41" s="3629"/>
      <c r="CH41" s="3624"/>
      <c r="CI41" s="3625"/>
      <c r="CJ41" s="3626" t="s">
        <v>488</v>
      </c>
      <c r="CK41" s="3626" t="s">
        <v>489</v>
      </c>
      <c r="CL41" s="3626" t="s">
        <v>490</v>
      </c>
      <c r="CM41" s="3627" t="s">
        <v>491</v>
      </c>
      <c r="CN41" s="3628"/>
      <c r="CO41" s="3629"/>
      <c r="CP41" s="3624"/>
      <c r="CQ41" s="3625"/>
      <c r="CR41" s="3626" t="s">
        <v>488</v>
      </c>
      <c r="CS41" s="3626" t="s">
        <v>489</v>
      </c>
      <c r="CT41" s="3626" t="s">
        <v>490</v>
      </c>
      <c r="CU41" s="3627" t="s">
        <v>491</v>
      </c>
      <c r="CV41" s="3628"/>
      <c r="CW41" s="3629"/>
      <c r="CX41" s="3624"/>
      <c r="CY41" s="3625"/>
      <c r="CZ41" s="3626" t="s">
        <v>488</v>
      </c>
      <c r="DA41" s="3626" t="s">
        <v>489</v>
      </c>
      <c r="DB41" s="3626" t="s">
        <v>490</v>
      </c>
      <c r="DC41" s="3627" t="s">
        <v>491</v>
      </c>
      <c r="DD41" s="3628"/>
      <c r="DE41" s="3629"/>
      <c r="DF41" s="2134"/>
      <c r="DG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128</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630">
        <f>OFFSET(AL42,0,-1)+1</f>
        <v>3</v>
      </c>
      <c r="AM42" s="3630"/>
      <c r="AN42" s="3630">
        <f>OFFSET(AN42,0,-1)+1</f>
        <v>1</v>
      </c>
      <c r="AO42" s="3630">
        <f>OFFSET(AO42,0,-1)+1</f>
        <v>2</v>
      </c>
      <c r="AP42" s="3630">
        <f>OFFSET(AP42,0,-1)+1</f>
        <v>3</v>
      </c>
      <c r="AQ42" s="3630">
        <f>OFFSET(AQ42,0,-1)+1</f>
        <v>4</v>
      </c>
      <c r="AR42" s="3630"/>
      <c r="AS42" s="3630">
        <f>OFFSET(AS42,0,-2)+1</f>
        <v>5</v>
      </c>
      <c r="AT42" s="3630">
        <f>OFFSET(AT42,0,-1)+1</f>
        <v>3</v>
      </c>
      <c r="AU42" s="3630"/>
      <c r="AV42" s="3630">
        <f>OFFSET(AV42,0,-1)+1</f>
        <v>1</v>
      </c>
      <c r="AW42" s="3630">
        <f>OFFSET(AW42,0,-1)+1</f>
        <v>2</v>
      </c>
      <c r="AX42" s="3630">
        <f>OFFSET(AX42,0,-1)+1</f>
        <v>3</v>
      </c>
      <c r="AY42" s="3630">
        <f>OFFSET(AY42,0,-1)+1</f>
        <v>4</v>
      </c>
      <c r="AZ42" s="3630"/>
      <c r="BA42" s="3630">
        <f>OFFSET(BA42,0,-2)+1</f>
        <v>5</v>
      </c>
      <c r="BB42" s="3630">
        <f>OFFSET(BB42,0,-1)+1</f>
        <v>3</v>
      </c>
      <c r="BC42" s="3630"/>
      <c r="BD42" s="3630">
        <f>OFFSET(BD42,0,-1)+1</f>
        <v>1</v>
      </c>
      <c r="BE42" s="3630">
        <f>OFFSET(BE42,0,-1)+1</f>
        <v>2</v>
      </c>
      <c r="BF42" s="3630">
        <f>OFFSET(BF42,0,-1)+1</f>
        <v>3</v>
      </c>
      <c r="BG42" s="3630">
        <f>OFFSET(BG42,0,-1)+1</f>
        <v>4</v>
      </c>
      <c r="BH42" s="3630"/>
      <c r="BI42" s="3630">
        <f>OFFSET(BI42,0,-2)+1</f>
        <v>5</v>
      </c>
      <c r="BJ42" s="3630">
        <f>OFFSET(BJ42,0,-1)+1</f>
        <v>3</v>
      </c>
      <c r="BK42" s="3630"/>
      <c r="BL42" s="3630">
        <f>OFFSET(BL42,0,-1)+1</f>
        <v>1</v>
      </c>
      <c r="BM42" s="3630">
        <f>OFFSET(BM42,0,-1)+1</f>
        <v>2</v>
      </c>
      <c r="BN42" s="3630">
        <f>OFFSET(BN42,0,-1)+1</f>
        <v>3</v>
      </c>
      <c r="BO42" s="3630">
        <f>OFFSET(BO42,0,-1)+1</f>
        <v>4</v>
      </c>
      <c r="BP42" s="3630"/>
      <c r="BQ42" s="3630">
        <f>OFFSET(BQ42,0,-2)+1</f>
        <v>5</v>
      </c>
      <c r="BR42" s="3630">
        <f>OFFSET(BR42,0,-1)+1</f>
        <v>3</v>
      </c>
      <c r="BS42" s="3630"/>
      <c r="BT42" s="3630">
        <f>OFFSET(BT42,0,-1)+1</f>
        <v>1</v>
      </c>
      <c r="BU42" s="3630">
        <f>OFFSET(BU42,0,-1)+1</f>
        <v>2</v>
      </c>
      <c r="BV42" s="3630">
        <f>OFFSET(BV42,0,-1)+1</f>
        <v>3</v>
      </c>
      <c r="BW42" s="3630">
        <f>OFFSET(BW42,0,-1)+1</f>
        <v>4</v>
      </c>
      <c r="BX42" s="3630"/>
      <c r="BY42" s="3630">
        <f>OFFSET(BY42,0,-2)+1</f>
        <v>5</v>
      </c>
      <c r="BZ42" s="3630">
        <f>OFFSET(BZ42,0,-1)+1</f>
        <v>3</v>
      </c>
      <c r="CA42" s="3630"/>
      <c r="CB42" s="3630">
        <f>OFFSET(CB42,0,-1)+1</f>
        <v>1</v>
      </c>
      <c r="CC42" s="3630">
        <f>OFFSET(CC42,0,-1)+1</f>
        <v>2</v>
      </c>
      <c r="CD42" s="3630">
        <f>OFFSET(CD42,0,-1)+1</f>
        <v>3</v>
      </c>
      <c r="CE42" s="3630">
        <f>OFFSET(CE42,0,-1)+1</f>
        <v>4</v>
      </c>
      <c r="CF42" s="3630"/>
      <c r="CG42" s="3630">
        <f>OFFSET(CG42,0,-2)+1</f>
        <v>5</v>
      </c>
      <c r="CH42" s="3630">
        <f>OFFSET(CH42,0,-1)+1</f>
        <v>3</v>
      </c>
      <c r="CI42" s="3630"/>
      <c r="CJ42" s="3630">
        <f>OFFSET(CJ42,0,-1)+1</f>
        <v>1</v>
      </c>
      <c r="CK42" s="3630">
        <f>OFFSET(CK42,0,-1)+1</f>
        <v>2</v>
      </c>
      <c r="CL42" s="3630">
        <f>OFFSET(CL42,0,-1)+1</f>
        <v>3</v>
      </c>
      <c r="CM42" s="3630">
        <f>OFFSET(CM42,0,-1)+1</f>
        <v>4</v>
      </c>
      <c r="CN42" s="3630"/>
      <c r="CO42" s="3630">
        <f>OFFSET(CO42,0,-2)+1</f>
        <v>5</v>
      </c>
      <c r="CP42" s="3630">
        <f>OFFSET(CP42,0,-1)+1</f>
        <v>3</v>
      </c>
      <c r="CQ42" s="3630"/>
      <c r="CR42" s="3630">
        <f>OFFSET(CR42,0,-1)+1</f>
        <v>1</v>
      </c>
      <c r="CS42" s="3630">
        <f>OFFSET(CS42,0,-1)+1</f>
        <v>2</v>
      </c>
      <c r="CT42" s="3630">
        <f>OFFSET(CT42,0,-1)+1</f>
        <v>3</v>
      </c>
      <c r="CU42" s="3630">
        <f>OFFSET(CU42,0,-1)+1</f>
        <v>4</v>
      </c>
      <c r="CV42" s="3630"/>
      <c r="CW42" s="3630">
        <f>OFFSET(CW42,0,-2)+1</f>
        <v>5</v>
      </c>
      <c r="CX42" s="3630">
        <f>OFFSET(CX42,0,-1)+1</f>
        <v>3</v>
      </c>
      <c r="CY42" s="3630"/>
      <c r="CZ42" s="3630">
        <f>OFFSET(CZ42,0,-1)+1</f>
        <v>1</v>
      </c>
      <c r="DA42" s="3630">
        <f>OFFSET(DA42,0,-1)+1</f>
        <v>2</v>
      </c>
      <c r="DB42" s="3630">
        <f>OFFSET(DB42,0,-1)+1</f>
        <v>3</v>
      </c>
      <c r="DC42" s="3630">
        <f>OFFSET(DC42,0,-1)+1</f>
        <v>4</v>
      </c>
      <c r="DD42" s="3630"/>
      <c r="DE42" s="3630">
        <f>OFFSET(DE42,0,-2)+1</f>
        <v>5</v>
      </c>
      <c r="DF42" s="1263">
        <f>OFFSET(DF42,0,-1)</f>
        <v>5</v>
      </c>
      <c r="DG42" s="1365">
        <f>OFFSET(DG42,0,-1)+1</f>
        <v>6</v>
      </c>
      <c r="DH42" s="517"/>
      <c r="DI42" s="517"/>
      <c r="DJ42" s="517"/>
      <c r="DK42" s="517"/>
      <c r="DL42" s="517"/>
    </row>
    <row customHeight="1" ht="21">
      <c r="A43" s="1393" t="s">
        <v>187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140</v>
      </c>
      <c r="U43" s="288"/>
      <c r="V43" s="2101"/>
      <c r="W43" s="2102"/>
      <c r="X43" s="2102"/>
      <c r="Y43" s="2102"/>
      <c r="Z43" s="2102"/>
      <c r="AA43" s="2102"/>
      <c r="AB43" s="2102"/>
      <c r="AC43" s="2103"/>
      <c r="AD43" s="2101" t="str">
        <f>INDEX(PT_DIFFERENTIATION_NTAR,MATCH(A43,PT_DIFFERENTIATION_NTAR_ID,0))</f>
        <v>Тариф на теплоноситель, поставляемый потребителям</v>
      </c>
      <c r="AE43" s="2102"/>
      <c r="AF43" s="2102"/>
      <c r="AG43" s="2102"/>
      <c r="AH43" s="2102"/>
      <c r="AI43" s="2102"/>
      <c r="AJ43" s="2102"/>
      <c r="AK43" s="2102"/>
      <c r="AL43" s="3430"/>
      <c r="AM43" s="3431"/>
      <c r="AN43" s="3431"/>
      <c r="AO43" s="3431"/>
      <c r="AP43" s="3431"/>
      <c r="AQ43" s="3431"/>
      <c r="AR43" s="3431"/>
      <c r="AS43" s="3432"/>
      <c r="AT43" s="3430"/>
      <c r="AU43" s="3431"/>
      <c r="AV43" s="3431"/>
      <c r="AW43" s="3431"/>
      <c r="AX43" s="3431"/>
      <c r="AY43" s="3431"/>
      <c r="AZ43" s="3431"/>
      <c r="BA43" s="3432"/>
      <c r="BB43" s="3430"/>
      <c r="BC43" s="3431"/>
      <c r="BD43" s="3431"/>
      <c r="BE43" s="3431"/>
      <c r="BF43" s="3431"/>
      <c r="BG43" s="3431"/>
      <c r="BH43" s="3431"/>
      <c r="BI43" s="3432"/>
      <c r="BJ43" s="3430"/>
      <c r="BK43" s="3431"/>
      <c r="BL43" s="3431"/>
      <c r="BM43" s="3431"/>
      <c r="BN43" s="3431"/>
      <c r="BO43" s="3431"/>
      <c r="BP43" s="3431"/>
      <c r="BQ43" s="3432"/>
      <c r="BR43" s="3430"/>
      <c r="BS43" s="3431"/>
      <c r="BT43" s="3431"/>
      <c r="BU43" s="3431"/>
      <c r="BV43" s="3431"/>
      <c r="BW43" s="3431"/>
      <c r="BX43" s="3431"/>
      <c r="BY43" s="3432"/>
      <c r="BZ43" s="3430"/>
      <c r="CA43" s="3431"/>
      <c r="CB43" s="3431"/>
      <c r="CC43" s="3431"/>
      <c r="CD43" s="3431"/>
      <c r="CE43" s="3431"/>
      <c r="CF43" s="3431"/>
      <c r="CG43" s="3432"/>
      <c r="CH43" s="3430"/>
      <c r="CI43" s="3431"/>
      <c r="CJ43" s="3431"/>
      <c r="CK43" s="3431"/>
      <c r="CL43" s="3431"/>
      <c r="CM43" s="3431"/>
      <c r="CN43" s="3431"/>
      <c r="CO43" s="3432"/>
      <c r="CP43" s="3430"/>
      <c r="CQ43" s="3431"/>
      <c r="CR43" s="3431"/>
      <c r="CS43" s="3431"/>
      <c r="CT43" s="3431"/>
      <c r="CU43" s="3431"/>
      <c r="CV43" s="3431"/>
      <c r="CW43" s="3432"/>
      <c r="CX43" s="3430"/>
      <c r="CY43" s="3431"/>
      <c r="CZ43" s="3431"/>
      <c r="DA43" s="3431"/>
      <c r="DB43" s="3431"/>
      <c r="DC43" s="3431"/>
      <c r="DD43" s="3431"/>
      <c r="DE43" s="3432"/>
      <c r="DF43" s="2103"/>
      <c r="DG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6"/>
      <c r="DJ43" s="506" t="str">
        <f>IF(T43="","",T43)</f>
        <v>Наименование тарифа</v>
      </c>
      <c r="DK43" s="506"/>
      <c r="DL43" s="506"/>
    </row>
    <row customHeight="1" ht="21">
      <c r="A44" s="1393" t="s">
        <v>187</v>
      </c>
      <c r="B44" s="1393" t="s">
        <v>188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444</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3430"/>
      <c r="AM44" s="3431"/>
      <c r="AN44" s="3431"/>
      <c r="AO44" s="3431"/>
      <c r="AP44" s="3431"/>
      <c r="AQ44" s="3431"/>
      <c r="AR44" s="3431"/>
      <c r="AS44" s="3432"/>
      <c r="AT44" s="3430"/>
      <c r="AU44" s="3431"/>
      <c r="AV44" s="3431"/>
      <c r="AW44" s="3431"/>
      <c r="AX44" s="3431"/>
      <c r="AY44" s="3431"/>
      <c r="AZ44" s="3431"/>
      <c r="BA44" s="3432"/>
      <c r="BB44" s="3430"/>
      <c r="BC44" s="3431"/>
      <c r="BD44" s="3431"/>
      <c r="BE44" s="3431"/>
      <c r="BF44" s="3431"/>
      <c r="BG44" s="3431"/>
      <c r="BH44" s="3431"/>
      <c r="BI44" s="3432"/>
      <c r="BJ44" s="3430"/>
      <c r="BK44" s="3431"/>
      <c r="BL44" s="3431"/>
      <c r="BM44" s="3431"/>
      <c r="BN44" s="3431"/>
      <c r="BO44" s="3431"/>
      <c r="BP44" s="3431"/>
      <c r="BQ44" s="3432"/>
      <c r="BR44" s="3430"/>
      <c r="BS44" s="3431"/>
      <c r="BT44" s="3431"/>
      <c r="BU44" s="3431"/>
      <c r="BV44" s="3431"/>
      <c r="BW44" s="3431"/>
      <c r="BX44" s="3431"/>
      <c r="BY44" s="3432"/>
      <c r="BZ44" s="3430"/>
      <c r="CA44" s="3431"/>
      <c r="CB44" s="3431"/>
      <c r="CC44" s="3431"/>
      <c r="CD44" s="3431"/>
      <c r="CE44" s="3431"/>
      <c r="CF44" s="3431"/>
      <c r="CG44" s="3432"/>
      <c r="CH44" s="3430"/>
      <c r="CI44" s="3431"/>
      <c r="CJ44" s="3431"/>
      <c r="CK44" s="3431"/>
      <c r="CL44" s="3431"/>
      <c r="CM44" s="3431"/>
      <c r="CN44" s="3431"/>
      <c r="CO44" s="3432"/>
      <c r="CP44" s="3430"/>
      <c r="CQ44" s="3431"/>
      <c r="CR44" s="3431"/>
      <c r="CS44" s="3431"/>
      <c r="CT44" s="3431"/>
      <c r="CU44" s="3431"/>
      <c r="CV44" s="3431"/>
      <c r="CW44" s="3432"/>
      <c r="CX44" s="3430"/>
      <c r="CY44" s="3431"/>
      <c r="CZ44" s="3431"/>
      <c r="DA44" s="3431"/>
      <c r="DB44" s="3431"/>
      <c r="DC44" s="3431"/>
      <c r="DD44" s="3431"/>
      <c r="DE44" s="3432"/>
      <c r="DF44" s="2103"/>
      <c r="DG44" s="1286" t="s">
        <v>445</v>
      </c>
      <c r="DI44" s="506"/>
      <c r="DJ44" s="506" t="str">
        <f>IF(T44="","",T44)</f>
        <v>Территория действия тарифа</v>
      </c>
      <c r="DK44" s="506"/>
      <c r="DL44" s="506"/>
    </row>
    <row customHeight="1" ht="23.25">
      <c r="A45" s="1393" t="s">
        <v>187</v>
      </c>
      <c r="B45" s="1393" t="s">
        <v>188</v>
      </c>
      <c r="C45" s="1393" t="s">
        <v>189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446</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30"/>
      <c r="AM45" s="3431"/>
      <c r="AN45" s="3431"/>
      <c r="AO45" s="3431"/>
      <c r="AP45" s="3431"/>
      <c r="AQ45" s="3431"/>
      <c r="AR45" s="3431"/>
      <c r="AS45" s="3432"/>
      <c r="AT45" s="3430"/>
      <c r="AU45" s="3431"/>
      <c r="AV45" s="3431"/>
      <c r="AW45" s="3431"/>
      <c r="AX45" s="3431"/>
      <c r="AY45" s="3431"/>
      <c r="AZ45" s="3431"/>
      <c r="BA45" s="3432"/>
      <c r="BB45" s="3430"/>
      <c r="BC45" s="3431"/>
      <c r="BD45" s="3431"/>
      <c r="BE45" s="3431"/>
      <c r="BF45" s="3431"/>
      <c r="BG45" s="3431"/>
      <c r="BH45" s="3431"/>
      <c r="BI45" s="3432"/>
      <c r="BJ45" s="3430"/>
      <c r="BK45" s="3431"/>
      <c r="BL45" s="3431"/>
      <c r="BM45" s="3431"/>
      <c r="BN45" s="3431"/>
      <c r="BO45" s="3431"/>
      <c r="BP45" s="3431"/>
      <c r="BQ45" s="3432"/>
      <c r="BR45" s="3430"/>
      <c r="BS45" s="3431"/>
      <c r="BT45" s="3431"/>
      <c r="BU45" s="3431"/>
      <c r="BV45" s="3431"/>
      <c r="BW45" s="3431"/>
      <c r="BX45" s="3431"/>
      <c r="BY45" s="3432"/>
      <c r="BZ45" s="3430"/>
      <c r="CA45" s="3431"/>
      <c r="CB45" s="3431"/>
      <c r="CC45" s="3431"/>
      <c r="CD45" s="3431"/>
      <c r="CE45" s="3431"/>
      <c r="CF45" s="3431"/>
      <c r="CG45" s="3432"/>
      <c r="CH45" s="3430"/>
      <c r="CI45" s="3431"/>
      <c r="CJ45" s="3431"/>
      <c r="CK45" s="3431"/>
      <c r="CL45" s="3431"/>
      <c r="CM45" s="3431"/>
      <c r="CN45" s="3431"/>
      <c r="CO45" s="3432"/>
      <c r="CP45" s="3430"/>
      <c r="CQ45" s="3431"/>
      <c r="CR45" s="3431"/>
      <c r="CS45" s="3431"/>
      <c r="CT45" s="3431"/>
      <c r="CU45" s="3431"/>
      <c r="CV45" s="3431"/>
      <c r="CW45" s="3432"/>
      <c r="CX45" s="3430"/>
      <c r="CY45" s="3431"/>
      <c r="CZ45" s="3431"/>
      <c r="DA45" s="3431"/>
      <c r="DB45" s="3431"/>
      <c r="DC45" s="3431"/>
      <c r="DD45" s="3431"/>
      <c r="DE45" s="3432"/>
      <c r="DF45" s="2103"/>
      <c r="DG45" s="1286" t="s">
        <v>447</v>
      </c>
      <c r="DI45" s="506"/>
      <c r="DJ45" s="506" t="str">
        <f>IF(T45="","",T45)</f>
        <v>Наименование системы теплоснабжения </v>
      </c>
      <c r="DK45" s="506"/>
      <c r="DL45" s="506"/>
    </row>
    <row customHeight="1" ht="21">
      <c r="A46" s="1393" t="s">
        <v>187</v>
      </c>
      <c r="B46" s="1393" t="s">
        <v>188</v>
      </c>
      <c r="C46" s="1393" t="s">
        <v>189</v>
      </c>
      <c r="D46" s="1393" t="s">
        <v>190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448</v>
      </c>
      <c r="U46" s="288"/>
      <c r="V46" s="2101"/>
      <c r="W46" s="2102"/>
      <c r="X46" s="2102"/>
      <c r="Y46" s="2102"/>
      <c r="Z46" s="2102"/>
      <c r="AA46" s="2102"/>
      <c r="AB46" s="2102"/>
      <c r="AC46" s="2103"/>
      <c r="AD46" s="2101" t="str">
        <f>INDEX(PT_DIFFERENTIATION_IST_TE,MATCH(D46,PT_DIFFERENTIATION_IST_TE_ID,0))</f>
        <v>город-герой Мурманск (кроме р-на Росляково)</v>
      </c>
      <c r="AE46" s="2102"/>
      <c r="AF46" s="2102"/>
      <c r="AG46" s="2102"/>
      <c r="AH46" s="2102"/>
      <c r="AI46" s="2102"/>
      <c r="AJ46" s="2102"/>
      <c r="AK46" s="2102"/>
      <c r="AL46" s="3430"/>
      <c r="AM46" s="3431"/>
      <c r="AN46" s="3431"/>
      <c r="AO46" s="3431"/>
      <c r="AP46" s="3431"/>
      <c r="AQ46" s="3431"/>
      <c r="AR46" s="3431"/>
      <c r="AS46" s="3432"/>
      <c r="AT46" s="3430"/>
      <c r="AU46" s="3431"/>
      <c r="AV46" s="3431"/>
      <c r="AW46" s="3431"/>
      <c r="AX46" s="3431"/>
      <c r="AY46" s="3431"/>
      <c r="AZ46" s="3431"/>
      <c r="BA46" s="3432"/>
      <c r="BB46" s="3430"/>
      <c r="BC46" s="3431"/>
      <c r="BD46" s="3431"/>
      <c r="BE46" s="3431"/>
      <c r="BF46" s="3431"/>
      <c r="BG46" s="3431"/>
      <c r="BH46" s="3431"/>
      <c r="BI46" s="3432"/>
      <c r="BJ46" s="3430"/>
      <c r="BK46" s="3431"/>
      <c r="BL46" s="3431"/>
      <c r="BM46" s="3431"/>
      <c r="BN46" s="3431"/>
      <c r="BO46" s="3431"/>
      <c r="BP46" s="3431"/>
      <c r="BQ46" s="3432"/>
      <c r="BR46" s="3430"/>
      <c r="BS46" s="3431"/>
      <c r="BT46" s="3431"/>
      <c r="BU46" s="3431"/>
      <c r="BV46" s="3431"/>
      <c r="BW46" s="3431"/>
      <c r="BX46" s="3431"/>
      <c r="BY46" s="3432"/>
      <c r="BZ46" s="3430"/>
      <c r="CA46" s="3431"/>
      <c r="CB46" s="3431"/>
      <c r="CC46" s="3431"/>
      <c r="CD46" s="3431"/>
      <c r="CE46" s="3431"/>
      <c r="CF46" s="3431"/>
      <c r="CG46" s="3432"/>
      <c r="CH46" s="3430"/>
      <c r="CI46" s="3431"/>
      <c r="CJ46" s="3431"/>
      <c r="CK46" s="3431"/>
      <c r="CL46" s="3431"/>
      <c r="CM46" s="3431"/>
      <c r="CN46" s="3431"/>
      <c r="CO46" s="3432"/>
      <c r="CP46" s="3430"/>
      <c r="CQ46" s="3431"/>
      <c r="CR46" s="3431"/>
      <c r="CS46" s="3431"/>
      <c r="CT46" s="3431"/>
      <c r="CU46" s="3431"/>
      <c r="CV46" s="3431"/>
      <c r="CW46" s="3432"/>
      <c r="CX46" s="3430"/>
      <c r="CY46" s="3431"/>
      <c r="CZ46" s="3431"/>
      <c r="DA46" s="3431"/>
      <c r="DB46" s="3431"/>
      <c r="DC46" s="3431"/>
      <c r="DD46" s="3431"/>
      <c r="DE46" s="3432"/>
      <c r="DF46" s="2103"/>
      <c r="DG46" s="1286" t="s">
        <v>449</v>
      </c>
      <c r="DI46" s="506"/>
      <c r="DJ46" s="506" t="str">
        <f>IF(T46="","",T46)</f>
        <v>Источник тепловой энергии  </v>
      </c>
      <c r="DK46" s="506"/>
      <c r="DL46" s="506"/>
    </row>
    <row s="2612" customFormat="1" customHeight="1" ht="0">
      <c r="A47" s="1373" t="s">
        <v>187</v>
      </c>
      <c r="B47" s="1373" t="s">
        <v>188</v>
      </c>
      <c r="C47" s="1373" t="s">
        <v>189</v>
      </c>
      <c r="D47" s="1373" t="s">
        <v>190</v>
      </c>
      <c r="E47" s="2108"/>
      <c r="F47" s="2108"/>
      <c r="G47" s="2108"/>
      <c r="H47" s="2108"/>
      <c r="I47" s="2109" t="str">
        <f>S46&amp;".1"</f>
        <v>1.1.1.1.1</v>
      </c>
      <c r="J47" s="1373"/>
      <c r="K47" s="1373"/>
      <c r="L47" s="1376" t="s">
        <v>450</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3439"/>
      <c r="AM47" s="3440"/>
      <c r="AN47" s="3440"/>
      <c r="AO47" s="3440"/>
      <c r="AP47" s="3440"/>
      <c r="AQ47" s="3440"/>
      <c r="AR47" s="3440"/>
      <c r="AS47" s="3441"/>
      <c r="AT47" s="3439"/>
      <c r="AU47" s="3440"/>
      <c r="AV47" s="3440"/>
      <c r="AW47" s="3440"/>
      <c r="AX47" s="3440"/>
      <c r="AY47" s="3440"/>
      <c r="AZ47" s="3440"/>
      <c r="BA47" s="3441"/>
      <c r="BB47" s="3439"/>
      <c r="BC47" s="3440"/>
      <c r="BD47" s="3440"/>
      <c r="BE47" s="3440"/>
      <c r="BF47" s="3440"/>
      <c r="BG47" s="3440"/>
      <c r="BH47" s="3440"/>
      <c r="BI47" s="3441"/>
      <c r="BJ47" s="3439"/>
      <c r="BK47" s="3440"/>
      <c r="BL47" s="3440"/>
      <c r="BM47" s="3440"/>
      <c r="BN47" s="3440"/>
      <c r="BO47" s="3440"/>
      <c r="BP47" s="3440"/>
      <c r="BQ47" s="3441"/>
      <c r="BR47" s="3439"/>
      <c r="BS47" s="3440"/>
      <c r="BT47" s="3440"/>
      <c r="BU47" s="3440"/>
      <c r="BV47" s="3440"/>
      <c r="BW47" s="3440"/>
      <c r="BX47" s="3440"/>
      <c r="BY47" s="3441"/>
      <c r="BZ47" s="3439"/>
      <c r="CA47" s="3440"/>
      <c r="CB47" s="3440"/>
      <c r="CC47" s="3440"/>
      <c r="CD47" s="3440"/>
      <c r="CE47" s="3440"/>
      <c r="CF47" s="3440"/>
      <c r="CG47" s="3441"/>
      <c r="CH47" s="3439"/>
      <c r="CI47" s="3440"/>
      <c r="CJ47" s="3440"/>
      <c r="CK47" s="3440"/>
      <c r="CL47" s="3440"/>
      <c r="CM47" s="3440"/>
      <c r="CN47" s="3440"/>
      <c r="CO47" s="3441"/>
      <c r="CP47" s="3439"/>
      <c r="CQ47" s="3440"/>
      <c r="CR47" s="3440"/>
      <c r="CS47" s="3440"/>
      <c r="CT47" s="3440"/>
      <c r="CU47" s="3440"/>
      <c r="CV47" s="3440"/>
      <c r="CW47" s="3441"/>
      <c r="CX47" s="3439"/>
      <c r="CY47" s="3440"/>
      <c r="CZ47" s="3440"/>
      <c r="DA47" s="3440"/>
      <c r="DB47" s="3440"/>
      <c r="DC47" s="3440"/>
      <c r="DD47" s="3440"/>
      <c r="DE47" s="3441"/>
      <c r="DF47" s="2149"/>
      <c r="DG47" s="1415"/>
      <c r="DI47" s="506"/>
      <c r="DJ47" s="506" t="str">
        <f>IF(T47="","",T47)</f>
        <v/>
      </c>
      <c r="DK47" s="506"/>
      <c r="DL47" s="506"/>
    </row>
    <row customHeight="1" ht="21">
      <c r="A48" s="1393" t="s">
        <v>187</v>
      </c>
      <c r="B48" s="1393" t="s">
        <v>188</v>
      </c>
      <c r="C48" s="1393" t="s">
        <v>189</v>
      </c>
      <c r="D48" s="1393" t="s">
        <v>190</v>
      </c>
      <c r="E48" s="2108"/>
      <c r="F48" s="2108"/>
      <c r="G48" s="2108"/>
      <c r="H48" s="2108"/>
      <c r="I48" s="2110"/>
      <c r="J48" s="2109" t="str">
        <f>S46&amp;".1"</f>
        <v>1.1.1.1.1</v>
      </c>
      <c r="K48" s="1393"/>
      <c r="L48" s="1394" t="s">
        <v>453</v>
      </c>
      <c r="P48" s="2111"/>
      <c r="Q48" s="2111">
        <v>1</v>
      </c>
      <c r="R48" s="353"/>
      <c r="S48" s="1366" t="str">
        <f>$J48</f>
        <v>1.1.1.1.1</v>
      </c>
      <c r="T48" s="274" t="s">
        <v>454</v>
      </c>
      <c r="U48" s="288"/>
      <c r="V48" s="2095"/>
      <c r="W48" s="2096"/>
      <c r="X48" s="2096"/>
      <c r="Y48" s="2096"/>
      <c r="Z48" s="2096"/>
      <c r="AA48" s="2096"/>
      <c r="AB48" s="2096"/>
      <c r="AC48" s="2097"/>
      <c r="AD48" s="2095" t="s">
        <v>494</v>
      </c>
      <c r="AE48" s="2096"/>
      <c r="AF48" s="2096"/>
      <c r="AG48" s="2096"/>
      <c r="AH48" s="2096"/>
      <c r="AI48" s="2096"/>
      <c r="AJ48" s="2096"/>
      <c r="AK48" s="2096"/>
      <c r="AL48" s="3443"/>
      <c r="AM48" s="3444"/>
      <c r="AN48" s="3444"/>
      <c r="AO48" s="3444"/>
      <c r="AP48" s="3444"/>
      <c r="AQ48" s="3444"/>
      <c r="AR48" s="3444"/>
      <c r="AS48" s="3445"/>
      <c r="AT48" s="3443"/>
      <c r="AU48" s="3444"/>
      <c r="AV48" s="3444"/>
      <c r="AW48" s="3444"/>
      <c r="AX48" s="3444"/>
      <c r="AY48" s="3444"/>
      <c r="AZ48" s="3444"/>
      <c r="BA48" s="3445"/>
      <c r="BB48" s="3443"/>
      <c r="BC48" s="3444"/>
      <c r="BD48" s="3444"/>
      <c r="BE48" s="3444"/>
      <c r="BF48" s="3444"/>
      <c r="BG48" s="3444"/>
      <c r="BH48" s="3444"/>
      <c r="BI48" s="3445"/>
      <c r="BJ48" s="3443"/>
      <c r="BK48" s="3444"/>
      <c r="BL48" s="3444"/>
      <c r="BM48" s="3444"/>
      <c r="BN48" s="3444"/>
      <c r="BO48" s="3444"/>
      <c r="BP48" s="3444"/>
      <c r="BQ48" s="3445"/>
      <c r="BR48" s="3443"/>
      <c r="BS48" s="3444"/>
      <c r="BT48" s="3444"/>
      <c r="BU48" s="3444"/>
      <c r="BV48" s="3444"/>
      <c r="BW48" s="3444"/>
      <c r="BX48" s="3444"/>
      <c r="BY48" s="3445"/>
      <c r="BZ48" s="3443"/>
      <c r="CA48" s="3444"/>
      <c r="CB48" s="3444"/>
      <c r="CC48" s="3444"/>
      <c r="CD48" s="3444"/>
      <c r="CE48" s="3444"/>
      <c r="CF48" s="3444"/>
      <c r="CG48" s="3445"/>
      <c r="CH48" s="3443"/>
      <c r="CI48" s="3444"/>
      <c r="CJ48" s="3444"/>
      <c r="CK48" s="3444"/>
      <c r="CL48" s="3444"/>
      <c r="CM48" s="3444"/>
      <c r="CN48" s="3444"/>
      <c r="CO48" s="3445"/>
      <c r="CP48" s="3443"/>
      <c r="CQ48" s="3444"/>
      <c r="CR48" s="3444"/>
      <c r="CS48" s="3444"/>
      <c r="CT48" s="3444"/>
      <c r="CU48" s="3444"/>
      <c r="CV48" s="3444"/>
      <c r="CW48" s="3445"/>
      <c r="CX48" s="3443"/>
      <c r="CY48" s="3444"/>
      <c r="CZ48" s="3444"/>
      <c r="DA48" s="3444"/>
      <c r="DB48" s="3444"/>
      <c r="DC48" s="3444"/>
      <c r="DD48" s="3444"/>
      <c r="DE48" s="3445"/>
      <c r="DF48" s="2097"/>
      <c r="DG48" s="1286" t="s">
        <v>455</v>
      </c>
      <c r="DI48" s="506"/>
      <c r="DJ48" s="506" t="str">
        <f>IF(T48="","",T48)</f>
        <v>Группа потребителей</v>
      </c>
      <c r="DK48" s="506"/>
      <c r="DL48" s="506"/>
    </row>
    <row customHeight="1" ht="21">
      <c r="A49" s="1393" t="s">
        <v>187</v>
      </c>
      <c r="B49" s="1393" t="s">
        <v>188</v>
      </c>
      <c r="C49" s="1393" t="s">
        <v>189</v>
      </c>
      <c r="D49" s="1393" t="s">
        <v>190</v>
      </c>
      <c r="E49" s="2108"/>
      <c r="F49" s="2108"/>
      <c r="G49" s="2108"/>
      <c r="H49" s="2108"/>
      <c r="I49" s="2110"/>
      <c r="J49" s="2110"/>
      <c r="K49" s="2109" t="str">
        <f>J48&amp;".1"</f>
        <v>1.1.1.1.1.1</v>
      </c>
      <c r="L49" s="1394" t="s">
        <v>456</v>
      </c>
      <c r="P49" s="2111"/>
      <c r="Q49" s="2111"/>
      <c r="R49" s="353">
        <v>1</v>
      </c>
      <c r="S49" s="1366" t="str">
        <f>$K49</f>
        <v>1.1.1.1.1.1</v>
      </c>
      <c r="T49" s="1377" t="s">
        <v>495</v>
      </c>
      <c r="U49" s="288"/>
      <c r="V49" s="757"/>
      <c r="W49" s="320"/>
      <c r="X49" s="757"/>
      <c r="Y49" s="1285"/>
      <c r="Z49" s="2112"/>
      <c r="AA49" s="1981" t="s">
        <v>61</v>
      </c>
      <c r="AB49" s="2112"/>
      <c r="AC49" s="1981" t="s">
        <v>61</v>
      </c>
      <c r="AD49" s="757">
        <v>35.07</v>
      </c>
      <c r="AE49" s="320"/>
      <c r="AF49" s="757"/>
      <c r="AG49" s="1285"/>
      <c r="AH49" s="3449">
        <v>45292</v>
      </c>
      <c r="AI49" s="1981" t="s">
        <v>61</v>
      </c>
      <c r="AJ49" s="3632">
        <v>45473</v>
      </c>
      <c r="AK49" s="1981" t="s">
        <v>61</v>
      </c>
      <c r="AL49" s="3446">
        <v>38.96</v>
      </c>
      <c r="AM49" s="3447"/>
      <c r="AN49" s="3446"/>
      <c r="AO49" s="3448"/>
      <c r="AP49" s="3449">
        <v>45474</v>
      </c>
      <c r="AQ49" s="2872" t="s">
        <v>61</v>
      </c>
      <c r="AR49" s="3449">
        <v>45657</v>
      </c>
      <c r="AS49" s="2872" t="s">
        <v>61</v>
      </c>
      <c r="AT49" s="3446">
        <v>37.31</v>
      </c>
      <c r="AU49" s="3447"/>
      <c r="AV49" s="3446"/>
      <c r="AW49" s="3448"/>
      <c r="AX49" s="3449">
        <v>45658</v>
      </c>
      <c r="AY49" s="2872" t="s">
        <v>61</v>
      </c>
      <c r="AZ49" s="3449">
        <v>45838</v>
      </c>
      <c r="BA49" s="2872" t="s">
        <v>61</v>
      </c>
      <c r="BB49" s="3446">
        <v>37.37</v>
      </c>
      <c r="BC49" s="3447"/>
      <c r="BD49" s="3446"/>
      <c r="BE49" s="3448"/>
      <c r="BF49" s="3449">
        <v>45839</v>
      </c>
      <c r="BG49" s="2872" t="s">
        <v>61</v>
      </c>
      <c r="BH49" s="3449">
        <v>46022</v>
      </c>
      <c r="BI49" s="2872" t="s">
        <v>61</v>
      </c>
      <c r="BJ49" s="3446">
        <v>37.37</v>
      </c>
      <c r="BK49" s="3447"/>
      <c r="BL49" s="3446"/>
      <c r="BM49" s="3448"/>
      <c r="BN49" s="3449">
        <v>46023</v>
      </c>
      <c r="BO49" s="2872" t="s">
        <v>61</v>
      </c>
      <c r="BP49" s="3449">
        <v>46203</v>
      </c>
      <c r="BQ49" s="2872" t="s">
        <v>61</v>
      </c>
      <c r="BR49" s="3446">
        <v>39.51</v>
      </c>
      <c r="BS49" s="3447"/>
      <c r="BT49" s="3446"/>
      <c r="BU49" s="3448"/>
      <c r="BV49" s="3449">
        <v>46204</v>
      </c>
      <c r="BW49" s="2872" t="s">
        <v>61</v>
      </c>
      <c r="BX49" s="3449">
        <v>46387</v>
      </c>
      <c r="BY49" s="2872" t="s">
        <v>61</v>
      </c>
      <c r="BZ49" s="3446">
        <v>39.51</v>
      </c>
      <c r="CA49" s="3447"/>
      <c r="CB49" s="3446"/>
      <c r="CC49" s="3448"/>
      <c r="CD49" s="3449">
        <v>46388</v>
      </c>
      <c r="CE49" s="2872" t="s">
        <v>61</v>
      </c>
      <c r="CF49" s="3449">
        <v>46568</v>
      </c>
      <c r="CG49" s="2872" t="s">
        <v>61</v>
      </c>
      <c r="CH49" s="3446">
        <v>39.82</v>
      </c>
      <c r="CI49" s="3447"/>
      <c r="CJ49" s="3446"/>
      <c r="CK49" s="3448"/>
      <c r="CL49" s="3449">
        <v>46569</v>
      </c>
      <c r="CM49" s="2872" t="s">
        <v>61</v>
      </c>
      <c r="CN49" s="3449">
        <v>46752</v>
      </c>
      <c r="CO49" s="2872" t="s">
        <v>61</v>
      </c>
      <c r="CP49" s="3446">
        <v>39.82</v>
      </c>
      <c r="CQ49" s="3447"/>
      <c r="CR49" s="3446"/>
      <c r="CS49" s="3448"/>
      <c r="CT49" s="3449">
        <v>46753</v>
      </c>
      <c r="CU49" s="2872" t="s">
        <v>61</v>
      </c>
      <c r="CV49" s="3449">
        <v>46934</v>
      </c>
      <c r="CW49" s="2872" t="s">
        <v>61</v>
      </c>
      <c r="CX49" s="3446">
        <v>41.41</v>
      </c>
      <c r="CY49" s="3447"/>
      <c r="CZ49" s="3446"/>
      <c r="DA49" s="3448"/>
      <c r="DB49" s="3449">
        <v>46935</v>
      </c>
      <c r="DC49" s="2872" t="s">
        <v>61</v>
      </c>
      <c r="DD49" s="3449">
        <v>47118</v>
      </c>
      <c r="DE49" s="2872" t="s">
        <v>61</v>
      </c>
      <c r="DF49" s="1378"/>
      <c r="DG49" s="2137" t="s">
        <v>496</v>
      </c>
      <c r="DH49" s="517">
        <f>STRCHECKDATE(V50:DF50)</f>
      </c>
      <c r="DI49" s="506"/>
      <c r="DJ49" s="506" t="str">
        <f>IF(T49="","",T49)</f>
        <v>вода</v>
      </c>
      <c r="DK49" s="506"/>
      <c r="DL49" s="506"/>
    </row>
    <row customHeight="1" ht="0.75">
      <c r="A50" s="1393" t="s">
        <v>187</v>
      </c>
      <c r="B50" s="1393" t="s">
        <v>188</v>
      </c>
      <c r="C50" s="1393" t="s">
        <v>189</v>
      </c>
      <c r="D50" s="1393" t="s">
        <v>190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45292-45473</v>
      </c>
      <c r="AH50" s="2113"/>
      <c r="AI50" s="1981"/>
      <c r="AJ50" s="2115"/>
      <c r="AK50" s="1981"/>
      <c r="AL50" s="3447"/>
      <c r="AM50" s="3447"/>
      <c r="AN50" s="3447"/>
      <c r="AO50" s="3450" t="str">
        <f>AP49&amp;"-"&amp;AR49</f>
        <v>45474-45657</v>
      </c>
      <c r="AP50" s="3451"/>
      <c r="AQ50" s="2872"/>
      <c r="AR50" s="3451"/>
      <c r="AS50" s="2872"/>
      <c r="AT50" s="3447"/>
      <c r="AU50" s="3447"/>
      <c r="AV50" s="3447"/>
      <c r="AW50" s="3450" t="str">
        <f>AX49&amp;"-"&amp;AZ49</f>
        <v>45658-45838</v>
      </c>
      <c r="AX50" s="3451"/>
      <c r="AY50" s="2872"/>
      <c r="AZ50" s="3451"/>
      <c r="BA50" s="2872"/>
      <c r="BB50" s="3447"/>
      <c r="BC50" s="3447"/>
      <c r="BD50" s="3447"/>
      <c r="BE50" s="3450" t="str">
        <f>BF49&amp;"-"&amp;BH49</f>
        <v>45839-46022</v>
      </c>
      <c r="BF50" s="3451"/>
      <c r="BG50" s="2872"/>
      <c r="BH50" s="3451"/>
      <c r="BI50" s="2872"/>
      <c r="BJ50" s="3447"/>
      <c r="BK50" s="3447"/>
      <c r="BL50" s="3447"/>
      <c r="BM50" s="3450" t="str">
        <f>BN49&amp;"-"&amp;BP49</f>
        <v>46023-46203</v>
      </c>
      <c r="BN50" s="3451"/>
      <c r="BO50" s="2872"/>
      <c r="BP50" s="3451"/>
      <c r="BQ50" s="2872"/>
      <c r="BR50" s="3447"/>
      <c r="BS50" s="3447"/>
      <c r="BT50" s="3447"/>
      <c r="BU50" s="3450" t="str">
        <f>BV49&amp;"-"&amp;BX49</f>
        <v>46204-46387</v>
      </c>
      <c r="BV50" s="3451"/>
      <c r="BW50" s="2872"/>
      <c r="BX50" s="3451"/>
      <c r="BY50" s="2872"/>
      <c r="BZ50" s="3447"/>
      <c r="CA50" s="3447"/>
      <c r="CB50" s="3447"/>
      <c r="CC50" s="3450" t="str">
        <f>CD49&amp;"-"&amp;CF49</f>
        <v>46388-46568</v>
      </c>
      <c r="CD50" s="3451"/>
      <c r="CE50" s="2872"/>
      <c r="CF50" s="3451"/>
      <c r="CG50" s="2872"/>
      <c r="CH50" s="3447"/>
      <c r="CI50" s="3447"/>
      <c r="CJ50" s="3447"/>
      <c r="CK50" s="3450" t="str">
        <f>CL49&amp;"-"&amp;CN49</f>
        <v>46569-46752</v>
      </c>
      <c r="CL50" s="3451"/>
      <c r="CM50" s="2872"/>
      <c r="CN50" s="3451"/>
      <c r="CO50" s="2872"/>
      <c r="CP50" s="3447"/>
      <c r="CQ50" s="3447"/>
      <c r="CR50" s="3447"/>
      <c r="CS50" s="3450" t="str">
        <f>CT49&amp;"-"&amp;CV49</f>
        <v>46753-46934</v>
      </c>
      <c r="CT50" s="3451"/>
      <c r="CU50" s="2872"/>
      <c r="CV50" s="3451"/>
      <c r="CW50" s="2872"/>
      <c r="CX50" s="3447"/>
      <c r="CY50" s="3447"/>
      <c r="CZ50" s="3447"/>
      <c r="DA50" s="3450" t="str">
        <f>DB49&amp;"-"&amp;DD49</f>
        <v>46935-47118</v>
      </c>
      <c r="DB50" s="3451"/>
      <c r="DC50" s="2872"/>
      <c r="DD50" s="3451"/>
      <c r="DE50" s="2872"/>
      <c r="DF50" s="1379"/>
      <c r="DG50" s="2138"/>
      <c r="DI50" s="506"/>
      <c r="DJ50" s="506" t="str">
        <f>IF(T50="","",T50)</f>
        <v/>
      </c>
      <c r="DK50" s="506"/>
      <c r="DL50" s="506"/>
    </row>
    <row customHeight="1" ht="11.25">
      <c r="A51" s="1393" t="s">
        <v>187</v>
      </c>
      <c r="B51" s="1393" t="s">
        <v>188</v>
      </c>
      <c r="C51" s="1393" t="s">
        <v>189</v>
      </c>
      <c r="D51" s="1393" t="s">
        <v>190</v>
      </c>
      <c r="E51" s="2108"/>
      <c r="F51" s="2108"/>
      <c r="G51" s="2108"/>
      <c r="H51" s="2108"/>
      <c r="I51" s="2110"/>
      <c r="J51" s="2109"/>
      <c r="K51" s="1393"/>
      <c r="L51" s="1394"/>
      <c r="P51" s="2111"/>
      <c r="Q51" s="2111"/>
      <c r="R51" s="352"/>
      <c r="S51" s="1308"/>
      <c r="T51" s="275" t="s">
        <v>458</v>
      </c>
      <c r="U51" s="367"/>
      <c r="V51" s="367"/>
      <c r="W51" s="367"/>
      <c r="X51" s="367"/>
      <c r="Y51" s="367"/>
      <c r="Z51" s="367"/>
      <c r="AA51" s="367"/>
      <c r="AB51" s="367"/>
      <c r="AC51" s="367"/>
      <c r="AD51" s="367"/>
      <c r="AE51" s="367"/>
      <c r="AF51" s="367"/>
      <c r="AG51" s="367"/>
      <c r="AH51" s="367"/>
      <c r="AI51" s="367"/>
      <c r="AJ51" s="367"/>
      <c r="AK51" s="367"/>
      <c r="AL51" s="3633"/>
      <c r="AM51" s="3634"/>
      <c r="AN51" s="3635"/>
      <c r="AO51" s="3636"/>
      <c r="AP51" s="3637"/>
      <c r="AQ51" s="3638"/>
      <c r="AR51" s="3639"/>
      <c r="AS51" s="3640"/>
      <c r="AT51" s="3641"/>
      <c r="AU51" s="3642"/>
      <c r="AV51" s="3643"/>
      <c r="AW51" s="3644"/>
      <c r="AX51" s="3645"/>
      <c r="AY51" s="3646"/>
      <c r="AZ51" s="3647"/>
      <c r="BA51" s="3648"/>
      <c r="BB51" s="3649"/>
      <c r="BC51" s="3650"/>
      <c r="BD51" s="3651"/>
      <c r="BE51" s="3652"/>
      <c r="BF51" s="3653"/>
      <c r="BG51" s="3654"/>
      <c r="BH51" s="3655"/>
      <c r="BI51" s="3656"/>
      <c r="BJ51" s="3657"/>
      <c r="BK51" s="3658"/>
      <c r="BL51" s="3659"/>
      <c r="BM51" s="3660"/>
      <c r="BN51" s="3661"/>
      <c r="BO51" s="3662"/>
      <c r="BP51" s="3663"/>
      <c r="BQ51" s="3664"/>
      <c r="BR51" s="3665"/>
      <c r="BS51" s="3666"/>
      <c r="BT51" s="3667"/>
      <c r="BU51" s="3668"/>
      <c r="BV51" s="3669"/>
      <c r="BW51" s="3670"/>
      <c r="BX51" s="3671"/>
      <c r="BY51" s="3672"/>
      <c r="BZ51" s="3673"/>
      <c r="CA51" s="3674"/>
      <c r="CB51" s="3675"/>
      <c r="CC51" s="3676"/>
      <c r="CD51" s="3677"/>
      <c r="CE51" s="3678"/>
      <c r="CF51" s="3679"/>
      <c r="CG51" s="3680"/>
      <c r="CH51" s="3681"/>
      <c r="CI51" s="3682"/>
      <c r="CJ51" s="3683"/>
      <c r="CK51" s="3684"/>
      <c r="CL51" s="3685"/>
      <c r="CM51" s="3686"/>
      <c r="CN51" s="3687"/>
      <c r="CO51" s="3688"/>
      <c r="CP51" s="3689"/>
      <c r="CQ51" s="3690"/>
      <c r="CR51" s="3691"/>
      <c r="CS51" s="3692"/>
      <c r="CT51" s="3693"/>
      <c r="CU51" s="3694"/>
      <c r="CV51" s="3695"/>
      <c r="CW51" s="3696"/>
      <c r="CX51" s="3697"/>
      <c r="CY51" s="3698"/>
      <c r="CZ51" s="3699"/>
      <c r="DA51" s="3700"/>
      <c r="DB51" s="3701"/>
      <c r="DC51" s="3702"/>
      <c r="DD51" s="3703"/>
      <c r="DE51" s="3704"/>
      <c r="DF51" s="319"/>
      <c r="DG51" s="2139"/>
      <c r="DI51" s="506"/>
      <c r="DJ51" s="506" t="str">
        <f>IF(T51="","",T51)</f>
        <v>Добавить вид теплоносителя (параметры теплоносителя)</v>
      </c>
      <c r="DK51" s="506"/>
      <c r="DL51" s="506"/>
    </row>
    <row customHeight="1" ht="11.25">
      <c r="A52" s="1393" t="s">
        <v>187</v>
      </c>
      <c r="B52" s="1393" t="s">
        <v>188</v>
      </c>
      <c r="C52" s="1393" t="s">
        <v>189</v>
      </c>
      <c r="D52" s="1393" t="s">
        <v>190</v>
      </c>
      <c r="E52" s="2108"/>
      <c r="F52" s="2108"/>
      <c r="G52" s="2108"/>
      <c r="H52" s="2108"/>
      <c r="I52" s="2109"/>
      <c r="J52" s="1393"/>
      <c r="K52" s="1393"/>
      <c r="L52" s="1394"/>
      <c r="P52" s="2111"/>
      <c r="Q52" s="1361"/>
      <c r="R52" s="352"/>
      <c r="S52" s="1308"/>
      <c r="T52" s="364" t="s">
        <v>459</v>
      </c>
      <c r="U52" s="367"/>
      <c r="V52" s="367"/>
      <c r="W52" s="367"/>
      <c r="X52" s="367"/>
      <c r="Y52" s="367"/>
      <c r="Z52" s="367"/>
      <c r="AA52" s="367"/>
      <c r="AB52" s="367"/>
      <c r="AC52" s="366"/>
      <c r="AD52" s="367"/>
      <c r="AE52" s="367"/>
      <c r="AF52" s="367"/>
      <c r="AG52" s="367"/>
      <c r="AH52" s="367"/>
      <c r="AI52" s="367"/>
      <c r="AJ52" s="367"/>
      <c r="AK52" s="366"/>
      <c r="AL52" s="3705"/>
      <c r="AM52" s="3706"/>
      <c r="AN52" s="3707"/>
      <c r="AO52" s="3708"/>
      <c r="AP52" s="3709"/>
      <c r="AQ52" s="3710"/>
      <c r="AR52" s="3711"/>
      <c r="AS52" s="3712"/>
      <c r="AT52" s="3713"/>
      <c r="AU52" s="3714"/>
      <c r="AV52" s="3715"/>
      <c r="AW52" s="3716"/>
      <c r="AX52" s="3717"/>
      <c r="AY52" s="3718"/>
      <c r="AZ52" s="3719"/>
      <c r="BA52" s="3720"/>
      <c r="BB52" s="3721"/>
      <c r="BC52" s="3722"/>
      <c r="BD52" s="3723"/>
      <c r="BE52" s="3724"/>
      <c r="BF52" s="3725"/>
      <c r="BG52" s="3726"/>
      <c r="BH52" s="3727"/>
      <c r="BI52" s="3728"/>
      <c r="BJ52" s="3729"/>
      <c r="BK52" s="3730"/>
      <c r="BL52" s="3731"/>
      <c r="BM52" s="3732"/>
      <c r="BN52" s="3733"/>
      <c r="BO52" s="3734"/>
      <c r="BP52" s="3735"/>
      <c r="BQ52" s="3736"/>
      <c r="BR52" s="3737"/>
      <c r="BS52" s="3738"/>
      <c r="BT52" s="3739"/>
      <c r="BU52" s="3740"/>
      <c r="BV52" s="3741"/>
      <c r="BW52" s="3742"/>
      <c r="BX52" s="3743"/>
      <c r="BY52" s="3744"/>
      <c r="BZ52" s="3745"/>
      <c r="CA52" s="3746"/>
      <c r="CB52" s="3747"/>
      <c r="CC52" s="3748"/>
      <c r="CD52" s="3749"/>
      <c r="CE52" s="3750"/>
      <c r="CF52" s="3751"/>
      <c r="CG52" s="3752"/>
      <c r="CH52" s="3753"/>
      <c r="CI52" s="3754"/>
      <c r="CJ52" s="3755"/>
      <c r="CK52" s="3756"/>
      <c r="CL52" s="3757"/>
      <c r="CM52" s="3758"/>
      <c r="CN52" s="3759"/>
      <c r="CO52" s="3760"/>
      <c r="CP52" s="3761"/>
      <c r="CQ52" s="3762"/>
      <c r="CR52" s="3763"/>
      <c r="CS52" s="3764"/>
      <c r="CT52" s="3765"/>
      <c r="CU52" s="3766"/>
      <c r="CV52" s="3767"/>
      <c r="CW52" s="3768"/>
      <c r="CX52" s="3769"/>
      <c r="CY52" s="3770"/>
      <c r="CZ52" s="3771"/>
      <c r="DA52" s="3772"/>
      <c r="DB52" s="3773"/>
      <c r="DC52" s="3774"/>
      <c r="DD52" s="3775"/>
      <c r="DE52" s="3776"/>
      <c r="DF52" s="367"/>
      <c r="DG52" s="291"/>
      <c r="DI52" s="506"/>
      <c r="DJ52" s="506" t="str">
        <f>IF(T52="","",T52)</f>
        <v>Добавить группу потребителей</v>
      </c>
      <c r="DK52" s="506"/>
      <c r="DL52" s="506"/>
    </row>
    <row customHeight="1" ht="0">
      <c r="A53" s="1393" t="s">
        <v>187</v>
      </c>
      <c r="B53" s="1393" t="s">
        <v>188</v>
      </c>
      <c r="C53" s="1393" t="s">
        <v>189</v>
      </c>
      <c r="D53" s="1393" t="s">
        <v>190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3599"/>
      <c r="AM53" s="3599"/>
      <c r="AN53" s="3599"/>
      <c r="AO53" s="3599"/>
      <c r="AP53" s="3599"/>
      <c r="AQ53" s="3599"/>
      <c r="AR53" s="3599"/>
      <c r="AS53" s="3599"/>
      <c r="AT53" s="3599"/>
      <c r="AU53" s="3599"/>
      <c r="AV53" s="3599"/>
      <c r="AW53" s="3599"/>
      <c r="AX53" s="3599"/>
      <c r="AY53" s="3599"/>
      <c r="AZ53" s="3599"/>
      <c r="BA53" s="3599"/>
      <c r="BB53" s="3599"/>
      <c r="BC53" s="3599"/>
      <c r="BD53" s="3599"/>
      <c r="BE53" s="3599"/>
      <c r="BF53" s="3599"/>
      <c r="BG53" s="3599"/>
      <c r="BH53" s="3599"/>
      <c r="BI53" s="3599"/>
      <c r="BJ53" s="3599"/>
      <c r="BK53" s="3599"/>
      <c r="BL53" s="3599"/>
      <c r="BM53" s="3599"/>
      <c r="BN53" s="3599"/>
      <c r="BO53" s="3599"/>
      <c r="BP53" s="3599"/>
      <c r="BQ53" s="3599"/>
      <c r="BR53" s="3599"/>
      <c r="BS53" s="3599"/>
      <c r="BT53" s="3599"/>
      <c r="BU53" s="3599"/>
      <c r="BV53" s="3599"/>
      <c r="BW53" s="3599"/>
      <c r="BX53" s="3599"/>
      <c r="BY53" s="3599"/>
      <c r="BZ53" s="3599"/>
      <c r="CA53" s="3599"/>
      <c r="CB53" s="3599"/>
      <c r="CC53" s="3599"/>
      <c r="CD53" s="3599"/>
      <c r="CE53" s="3599"/>
      <c r="CF53" s="3599"/>
      <c r="CG53" s="3599"/>
      <c r="CH53" s="3599"/>
      <c r="CI53" s="3599"/>
      <c r="CJ53" s="3599"/>
      <c r="CK53" s="3599"/>
      <c r="CL53" s="3599"/>
      <c r="CM53" s="3599"/>
      <c r="CN53" s="3599"/>
      <c r="CO53" s="3599"/>
      <c r="CP53" s="3599"/>
      <c r="CQ53" s="3599"/>
      <c r="CR53" s="3599"/>
      <c r="CS53" s="3599"/>
      <c r="CT53" s="3599"/>
      <c r="CU53" s="3599"/>
      <c r="CV53" s="3599"/>
      <c r="CW53" s="3599"/>
      <c r="CX53" s="3599"/>
      <c r="CY53" s="3599"/>
      <c r="CZ53" s="3599"/>
      <c r="DA53" s="3599"/>
      <c r="DB53" s="3599"/>
      <c r="DC53" s="3599"/>
      <c r="DD53" s="3599"/>
      <c r="DE53" s="3599"/>
      <c r="DF53" s="1418"/>
      <c r="DG53" s="1419"/>
      <c r="DI53" s="506"/>
      <c r="DJ53" s="506" t="str">
        <f>IF(T53="","",T53)</f>
        <v/>
      </c>
      <c r="DK53" s="506"/>
      <c r="DL53" s="506"/>
    </row>
    <row s="3312" customFormat="1" customHeight="1" ht="0.75">
      <c r="A54" s="1373" t="s">
        <v>187</v>
      </c>
      <c r="B54" s="1373" t="s">
        <v>188</v>
      </c>
      <c r="C54" s="1373" t="s">
        <v>189</v>
      </c>
      <c r="D54" s="1344"/>
      <c r="E54" s="2108"/>
      <c r="F54" s="2108"/>
      <c r="G54" s="2107"/>
      <c r="H54" s="1344"/>
      <c r="I54" s="1344"/>
      <c r="J54" s="1344"/>
      <c r="K54" s="1344"/>
      <c r="L54" s="1369"/>
      <c r="M54" s="1345"/>
      <c r="N54" s="1345"/>
      <c r="P54" s="1346"/>
      <c r="Q54" s="1347"/>
      <c r="R54" s="1346"/>
      <c r="S54" s="1352"/>
      <c r="T54" s="1355" t="s">
        <v>191</v>
      </c>
      <c r="U54" s="1354"/>
      <c r="V54" s="1354"/>
      <c r="W54" s="1354"/>
      <c r="X54" s="1354"/>
      <c r="Y54" s="1354"/>
      <c r="Z54" s="1354"/>
      <c r="AA54" s="1354"/>
      <c r="AB54" s="1354"/>
      <c r="AC54" s="1354"/>
      <c r="AD54" s="1354"/>
      <c r="AE54" s="1354"/>
      <c r="AF54" s="1354"/>
      <c r="AG54" s="1354"/>
      <c r="AH54" s="1354"/>
      <c r="AI54" s="1354"/>
      <c r="AJ54" s="1354"/>
      <c r="AK54" s="1354"/>
      <c r="AL54" s="3602"/>
      <c r="AM54" s="3602"/>
      <c r="AN54" s="3602"/>
      <c r="AO54" s="3602"/>
      <c r="AP54" s="3602"/>
      <c r="AQ54" s="3602"/>
      <c r="AR54" s="3602"/>
      <c r="AS54" s="3602"/>
      <c r="AT54" s="3602"/>
      <c r="AU54" s="3602"/>
      <c r="AV54" s="3602"/>
      <c r="AW54" s="3602"/>
      <c r="AX54" s="3602"/>
      <c r="AY54" s="3602"/>
      <c r="AZ54" s="3602"/>
      <c r="BA54" s="3602"/>
      <c r="BB54" s="3602"/>
      <c r="BC54" s="3602"/>
      <c r="BD54" s="3602"/>
      <c r="BE54" s="3602"/>
      <c r="BF54" s="3602"/>
      <c r="BG54" s="3602"/>
      <c r="BH54" s="3602"/>
      <c r="BI54" s="3602"/>
      <c r="BJ54" s="3602"/>
      <c r="BK54" s="3602"/>
      <c r="BL54" s="3602"/>
      <c r="BM54" s="3602"/>
      <c r="BN54" s="3602"/>
      <c r="BO54" s="3602"/>
      <c r="BP54" s="3602"/>
      <c r="BQ54" s="3602"/>
      <c r="BR54" s="3602"/>
      <c r="BS54" s="3602"/>
      <c r="BT54" s="3602"/>
      <c r="BU54" s="3602"/>
      <c r="BV54" s="3602"/>
      <c r="BW54" s="3602"/>
      <c r="BX54" s="3602"/>
      <c r="BY54" s="3602"/>
      <c r="BZ54" s="3602"/>
      <c r="CA54" s="3602"/>
      <c r="CB54" s="3602"/>
      <c r="CC54" s="3602"/>
      <c r="CD54" s="3602"/>
      <c r="CE54" s="3602"/>
      <c r="CF54" s="3602"/>
      <c r="CG54" s="3602"/>
      <c r="CH54" s="3602"/>
      <c r="CI54" s="3602"/>
      <c r="CJ54" s="3602"/>
      <c r="CK54" s="3602"/>
      <c r="CL54" s="3602"/>
      <c r="CM54" s="3602"/>
      <c r="CN54" s="3602"/>
      <c r="CO54" s="3602"/>
      <c r="CP54" s="3602"/>
      <c r="CQ54" s="3602"/>
      <c r="CR54" s="3602"/>
      <c r="CS54" s="3602"/>
      <c r="CT54" s="3602"/>
      <c r="CU54" s="3602"/>
      <c r="CV54" s="3602"/>
      <c r="CW54" s="3602"/>
      <c r="CX54" s="3602"/>
      <c r="CY54" s="3602"/>
      <c r="CZ54" s="3602"/>
      <c r="DA54" s="3602"/>
      <c r="DB54" s="3602"/>
      <c r="DC54" s="3602"/>
      <c r="DD54" s="3602"/>
      <c r="DE54" s="3602"/>
      <c r="DF54" s="1354"/>
      <c r="DG54" s="1354"/>
      <c r="DI54" s="795"/>
      <c r="DJ54" s="795" t="str">
        <f>IF(T54="","",T54)</f>
        <v>Добавить источник для дифференциации</v>
      </c>
      <c r="DK54" s="795"/>
      <c r="DL54" s="795"/>
    </row>
    <row s="3312" customFormat="1" customHeight="1" ht="0.75">
      <c r="A55" s="1373" t="s">
        <v>187</v>
      </c>
      <c r="B55" s="1373" t="s">
        <v>188</v>
      </c>
      <c r="C55" s="1344"/>
      <c r="D55" s="1344"/>
      <c r="E55" s="2108"/>
      <c r="F55" s="2107"/>
      <c r="G55" s="1344"/>
      <c r="H55" s="1344"/>
      <c r="I55" s="1344"/>
      <c r="J55" s="1344"/>
      <c r="K55" s="1344"/>
      <c r="L55" s="1369"/>
      <c r="M55" s="1351"/>
      <c r="N55" s="1351"/>
      <c r="P55" s="1346"/>
      <c r="Q55" s="1347"/>
      <c r="R55" s="1346"/>
      <c r="S55" s="1352"/>
      <c r="T55" s="1355" t="s">
        <v>192</v>
      </c>
      <c r="U55" s="1354"/>
      <c r="V55" s="1354"/>
      <c r="W55" s="1354"/>
      <c r="X55" s="1354"/>
      <c r="Y55" s="1354"/>
      <c r="Z55" s="1354"/>
      <c r="AA55" s="1354"/>
      <c r="AB55" s="1354"/>
      <c r="AC55" s="1354"/>
      <c r="AD55" s="1354"/>
      <c r="AE55" s="1354"/>
      <c r="AF55" s="1354"/>
      <c r="AG55" s="1354"/>
      <c r="AH55" s="1354"/>
      <c r="AI55" s="1354"/>
      <c r="AJ55" s="1354"/>
      <c r="AK55" s="1354"/>
      <c r="AL55" s="3602"/>
      <c r="AM55" s="3602"/>
      <c r="AN55" s="3602"/>
      <c r="AO55" s="3602"/>
      <c r="AP55" s="3602"/>
      <c r="AQ55" s="3602"/>
      <c r="AR55" s="3602"/>
      <c r="AS55" s="3602"/>
      <c r="AT55" s="3602"/>
      <c r="AU55" s="3602"/>
      <c r="AV55" s="3602"/>
      <c r="AW55" s="3602"/>
      <c r="AX55" s="3602"/>
      <c r="AY55" s="3602"/>
      <c r="AZ55" s="3602"/>
      <c r="BA55" s="3602"/>
      <c r="BB55" s="3602"/>
      <c r="BC55" s="3602"/>
      <c r="BD55" s="3602"/>
      <c r="BE55" s="3602"/>
      <c r="BF55" s="3602"/>
      <c r="BG55" s="3602"/>
      <c r="BH55" s="3602"/>
      <c r="BI55" s="3602"/>
      <c r="BJ55" s="3602"/>
      <c r="BK55" s="3602"/>
      <c r="BL55" s="3602"/>
      <c r="BM55" s="3602"/>
      <c r="BN55" s="3602"/>
      <c r="BO55" s="3602"/>
      <c r="BP55" s="3602"/>
      <c r="BQ55" s="3602"/>
      <c r="BR55" s="3602"/>
      <c r="BS55" s="3602"/>
      <c r="BT55" s="3602"/>
      <c r="BU55" s="3602"/>
      <c r="BV55" s="3602"/>
      <c r="BW55" s="3602"/>
      <c r="BX55" s="3602"/>
      <c r="BY55" s="3602"/>
      <c r="BZ55" s="3602"/>
      <c r="CA55" s="3602"/>
      <c r="CB55" s="3602"/>
      <c r="CC55" s="3602"/>
      <c r="CD55" s="3602"/>
      <c r="CE55" s="3602"/>
      <c r="CF55" s="3602"/>
      <c r="CG55" s="3602"/>
      <c r="CH55" s="3602"/>
      <c r="CI55" s="3602"/>
      <c r="CJ55" s="3602"/>
      <c r="CK55" s="3602"/>
      <c r="CL55" s="3602"/>
      <c r="CM55" s="3602"/>
      <c r="CN55" s="3602"/>
      <c r="CO55" s="3602"/>
      <c r="CP55" s="3602"/>
      <c r="CQ55" s="3602"/>
      <c r="CR55" s="3602"/>
      <c r="CS55" s="3602"/>
      <c r="CT55" s="3602"/>
      <c r="CU55" s="3602"/>
      <c r="CV55" s="3602"/>
      <c r="CW55" s="3602"/>
      <c r="CX55" s="3602"/>
      <c r="CY55" s="3602"/>
      <c r="CZ55" s="3602"/>
      <c r="DA55" s="3602"/>
      <c r="DB55" s="3602"/>
      <c r="DC55" s="3602"/>
      <c r="DD55" s="3602"/>
      <c r="DE55" s="3602"/>
      <c r="DF55" s="1354"/>
      <c r="DG55" s="1354"/>
      <c r="DI55" s="795"/>
      <c r="DJ55" s="795" t="str">
        <f>IF(T55="","",T55)</f>
        <v>Добавить централизованную систему для дифференциации</v>
      </c>
      <c r="DK55" s="795"/>
      <c r="DL55" s="795"/>
    </row>
    <row s="3777" customFormat="1" customHeight="1" ht="21">
      <c r="A56" s="3778"/>
      <c r="B56" s="3778" t="s">
        <v>194</v>
      </c>
      <c r="C56" s="3778"/>
      <c r="D56" s="3778"/>
      <c r="E56" s="3779"/>
      <c r="F56" s="3780" t="s">
        <v>102</v>
      </c>
      <c r="G56" s="3778"/>
      <c r="H56" s="3778"/>
      <c r="I56" s="3778"/>
      <c r="J56" s="3778"/>
      <c r="K56" s="3778"/>
      <c r="L56" s="3781"/>
      <c r="M56" s="3782"/>
      <c r="N56" s="3782"/>
      <c r="O56" s="3782"/>
      <c r="P56" s="3783"/>
      <c r="Q56" s="3784"/>
      <c r="R56" s="3785"/>
      <c r="S56" s="3786" t="str">
        <f>INDEX(PT_DIFFERENTIATION_NUM_TER,MATCH(B56,PT_DIFFERENTIATION_TER_ID,0))</f>
        <v>1.2</v>
      </c>
      <c r="T56" s="3787" t="s">
        <v>444</v>
      </c>
      <c r="U56" s="3788"/>
      <c r="V56" s="3430"/>
      <c r="W56" s="3431"/>
      <c r="X56" s="3431"/>
      <c r="Y56" s="3431"/>
      <c r="Z56" s="3431"/>
      <c r="AA56" s="3431"/>
      <c r="AB56" s="3431"/>
      <c r="AC56" s="3432"/>
      <c r="AD56" s="3430" t="str">
        <f>INDEX(PT_DIFFERENTIATION_TER,MATCH(B56,PT_DIFFERENTIATION_TER_ID,0))</f>
        <v>Территория 2</v>
      </c>
      <c r="AE56" s="3431"/>
      <c r="AF56" s="3431"/>
      <c r="AG56" s="3431"/>
      <c r="AH56" s="3431"/>
      <c r="AI56" s="3431"/>
      <c r="AJ56" s="3431"/>
      <c r="AK56" s="3431"/>
      <c r="AL56" s="3430"/>
      <c r="AM56" s="3431"/>
      <c r="AN56" s="3431"/>
      <c r="AO56" s="3431"/>
      <c r="AP56" s="3431"/>
      <c r="AQ56" s="3431"/>
      <c r="AR56" s="3431"/>
      <c r="AS56" s="3432"/>
      <c r="AT56" s="3430"/>
      <c r="AU56" s="3431"/>
      <c r="AV56" s="3431"/>
      <c r="AW56" s="3431"/>
      <c r="AX56" s="3431"/>
      <c r="AY56" s="3431"/>
      <c r="AZ56" s="3431"/>
      <c r="BA56" s="3432"/>
      <c r="BB56" s="3430"/>
      <c r="BC56" s="3431"/>
      <c r="BD56" s="3431"/>
      <c r="BE56" s="3431"/>
      <c r="BF56" s="3431"/>
      <c r="BG56" s="3431"/>
      <c r="BH56" s="3431"/>
      <c r="BI56" s="3432"/>
      <c r="BJ56" s="3430"/>
      <c r="BK56" s="3431"/>
      <c r="BL56" s="3431"/>
      <c r="BM56" s="3431"/>
      <c r="BN56" s="3431"/>
      <c r="BO56" s="3431"/>
      <c r="BP56" s="3431"/>
      <c r="BQ56" s="3432"/>
      <c r="BR56" s="3430"/>
      <c r="BS56" s="3431"/>
      <c r="BT56" s="3431"/>
      <c r="BU56" s="3431"/>
      <c r="BV56" s="3431"/>
      <c r="BW56" s="3431"/>
      <c r="BX56" s="3431"/>
      <c r="BY56" s="3432"/>
      <c r="BZ56" s="3430"/>
      <c r="CA56" s="3431"/>
      <c r="CB56" s="3431"/>
      <c r="CC56" s="3431"/>
      <c r="CD56" s="3431"/>
      <c r="CE56" s="3431"/>
      <c r="CF56" s="3431"/>
      <c r="CG56" s="3432"/>
      <c r="CH56" s="3430"/>
      <c r="CI56" s="3431"/>
      <c r="CJ56" s="3431"/>
      <c r="CK56" s="3431"/>
      <c r="CL56" s="3431"/>
      <c r="CM56" s="3431"/>
      <c r="CN56" s="3431"/>
      <c r="CO56" s="3432"/>
      <c r="CP56" s="3430"/>
      <c r="CQ56" s="3431"/>
      <c r="CR56" s="3431"/>
      <c r="CS56" s="3431"/>
      <c r="CT56" s="3431"/>
      <c r="CU56" s="3431"/>
      <c r="CV56" s="3431"/>
      <c r="CW56" s="3432"/>
      <c r="CX56" s="3430"/>
      <c r="CY56" s="3431"/>
      <c r="CZ56" s="3431"/>
      <c r="DA56" s="3431"/>
      <c r="DB56" s="3431"/>
      <c r="DC56" s="3431"/>
      <c r="DD56" s="3431"/>
      <c r="DE56" s="3432"/>
      <c r="DF56" s="3432"/>
      <c r="DG56" s="3789" t="s">
        <v>445</v>
      </c>
      <c r="DH56" s="3611"/>
      <c r="DI56" s="3790"/>
      <c r="DJ56" s="3790" t="str">
        <f>IF(T56="","",T56)</f>
        <v>Территория действия тарифа</v>
      </c>
      <c r="DK56" s="3790"/>
      <c r="DL56" s="3790"/>
    </row>
    <row s="3791" customFormat="1" customHeight="1" ht="23.25">
      <c r="A57" s="3778"/>
      <c r="B57" s="3778"/>
      <c r="C57" s="3778" t="s">
        <v>195</v>
      </c>
      <c r="D57" s="3778"/>
      <c r="E57" s="3779"/>
      <c r="F57" s="3779">
        <v>1</v>
      </c>
      <c r="G57" s="3780">
        <v>1</v>
      </c>
      <c r="H57" s="3778"/>
      <c r="I57" s="3778"/>
      <c r="J57" s="3778"/>
      <c r="K57" s="3778"/>
      <c r="L57" s="3781"/>
      <c r="M57" s="3782"/>
      <c r="N57" s="3782"/>
      <c r="O57" s="3782"/>
      <c r="P57" s="3792"/>
      <c r="Q57" s="3784"/>
      <c r="R57" s="3785"/>
      <c r="S57" s="3786" t="str">
        <f>INDEX(PT_DIFFERENTIATION_NUM_CS,MATCH(C57,PT_DIFFERENTIATION_CS_ID,0))</f>
        <v>1.2.1</v>
      </c>
      <c r="T57" s="3793" t="s">
        <v>446</v>
      </c>
      <c r="U57" s="3788"/>
      <c r="V57" s="3430"/>
      <c r="W57" s="3431"/>
      <c r="X57" s="3431"/>
      <c r="Y57" s="3431"/>
      <c r="Z57" s="3431"/>
      <c r="AA57" s="3431"/>
      <c r="AB57" s="3431"/>
      <c r="AC57" s="3432"/>
      <c r="AD57" s="3430" t="str">
        <f>INDEX(PT_DIFFERENTIATION_CS,MATCH(C57,PT_DIFFERENTIATION_CS_ID,0))</f>
        <v>без дифференциации</v>
      </c>
      <c r="AE57" s="3431"/>
      <c r="AF57" s="3431"/>
      <c r="AG57" s="3431"/>
      <c r="AH57" s="3431"/>
      <c r="AI57" s="3431"/>
      <c r="AJ57" s="3431"/>
      <c r="AK57" s="3431"/>
      <c r="AL57" s="3430"/>
      <c r="AM57" s="3431"/>
      <c r="AN57" s="3431"/>
      <c r="AO57" s="3431"/>
      <c r="AP57" s="3431"/>
      <c r="AQ57" s="3431"/>
      <c r="AR57" s="3431"/>
      <c r="AS57" s="3432"/>
      <c r="AT57" s="3430"/>
      <c r="AU57" s="3431"/>
      <c r="AV57" s="3431"/>
      <c r="AW57" s="3431"/>
      <c r="AX57" s="3431"/>
      <c r="AY57" s="3431"/>
      <c r="AZ57" s="3431"/>
      <c r="BA57" s="3432"/>
      <c r="BB57" s="3430"/>
      <c r="BC57" s="3431"/>
      <c r="BD57" s="3431"/>
      <c r="BE57" s="3431"/>
      <c r="BF57" s="3431"/>
      <c r="BG57" s="3431"/>
      <c r="BH57" s="3431"/>
      <c r="BI57" s="3432"/>
      <c r="BJ57" s="3430"/>
      <c r="BK57" s="3431"/>
      <c r="BL57" s="3431"/>
      <c r="BM57" s="3431"/>
      <c r="BN57" s="3431"/>
      <c r="BO57" s="3431"/>
      <c r="BP57" s="3431"/>
      <c r="BQ57" s="3432"/>
      <c r="BR57" s="3430"/>
      <c r="BS57" s="3431"/>
      <c r="BT57" s="3431"/>
      <c r="BU57" s="3431"/>
      <c r="BV57" s="3431"/>
      <c r="BW57" s="3431"/>
      <c r="BX57" s="3431"/>
      <c r="BY57" s="3432"/>
      <c r="BZ57" s="3430"/>
      <c r="CA57" s="3431"/>
      <c r="CB57" s="3431"/>
      <c r="CC57" s="3431"/>
      <c r="CD57" s="3431"/>
      <c r="CE57" s="3431"/>
      <c r="CF57" s="3431"/>
      <c r="CG57" s="3432"/>
      <c r="CH57" s="3430"/>
      <c r="CI57" s="3431"/>
      <c r="CJ57" s="3431"/>
      <c r="CK57" s="3431"/>
      <c r="CL57" s="3431"/>
      <c r="CM57" s="3431"/>
      <c r="CN57" s="3431"/>
      <c r="CO57" s="3432"/>
      <c r="CP57" s="3430"/>
      <c r="CQ57" s="3431"/>
      <c r="CR57" s="3431"/>
      <c r="CS57" s="3431"/>
      <c r="CT57" s="3431"/>
      <c r="CU57" s="3431"/>
      <c r="CV57" s="3431"/>
      <c r="CW57" s="3432"/>
      <c r="CX57" s="3430"/>
      <c r="CY57" s="3431"/>
      <c r="CZ57" s="3431"/>
      <c r="DA57" s="3431"/>
      <c r="DB57" s="3431"/>
      <c r="DC57" s="3431"/>
      <c r="DD57" s="3431"/>
      <c r="DE57" s="3432"/>
      <c r="DF57" s="3432"/>
      <c r="DG57" s="3789" t="s">
        <v>447</v>
      </c>
      <c r="DH57" s="3611"/>
      <c r="DI57" s="3790"/>
      <c r="DJ57" s="3790" t="str">
        <f>IF(T57="","",T57)</f>
        <v>Наименование системы теплоснабжения </v>
      </c>
      <c r="DK57" s="3790"/>
      <c r="DL57" s="3790"/>
    </row>
    <row s="3794" customFormat="1" customHeight="1" ht="21">
      <c r="A58" s="3778"/>
      <c r="B58" s="3778"/>
      <c r="C58" s="3778"/>
      <c r="D58" s="3778" t="s">
        <v>196</v>
      </c>
      <c r="E58" s="3779"/>
      <c r="F58" s="3779">
        <v>1</v>
      </c>
      <c r="G58" s="3779"/>
      <c r="H58" s="3780">
        <v>1</v>
      </c>
      <c r="I58" s="3778"/>
      <c r="J58" s="3778"/>
      <c r="K58" s="3778"/>
      <c r="L58" s="3781"/>
      <c r="M58" s="3782"/>
      <c r="N58" s="3782"/>
      <c r="O58" s="3782"/>
      <c r="P58" s="3792"/>
      <c r="Q58" s="3784"/>
      <c r="R58" s="3785"/>
      <c r="S58" s="3786" t="str">
        <f>INDEX(PT_DIFFERENTIATION_NUM_IST_TE,MATCH(D58,PT_DIFFERENTIATION_IST_TE_ID,0))</f>
        <v>1.2.1.1</v>
      </c>
      <c r="T58" s="3795" t="s">
        <v>448</v>
      </c>
      <c r="U58" s="3788"/>
      <c r="V58" s="3430"/>
      <c r="W58" s="3431"/>
      <c r="X58" s="3431"/>
      <c r="Y58" s="3431"/>
      <c r="Z58" s="3431"/>
      <c r="AA58" s="3431"/>
      <c r="AB58" s="3431"/>
      <c r="AC58" s="3432"/>
      <c r="AD58" s="3430" t="str">
        <f>INDEX(PT_DIFFERENTIATION_IST_TE,MATCH(D58,PT_DIFFERENTIATION_IST_TE_ID,0))</f>
        <v>город Снежногорск</v>
      </c>
      <c r="AE58" s="3431"/>
      <c r="AF58" s="3431"/>
      <c r="AG58" s="3431"/>
      <c r="AH58" s="3431"/>
      <c r="AI58" s="3431"/>
      <c r="AJ58" s="3431"/>
      <c r="AK58" s="3431"/>
      <c r="AL58" s="3430"/>
      <c r="AM58" s="3431"/>
      <c r="AN58" s="3431"/>
      <c r="AO58" s="3431"/>
      <c r="AP58" s="3431"/>
      <c r="AQ58" s="3431"/>
      <c r="AR58" s="3431"/>
      <c r="AS58" s="3432"/>
      <c r="AT58" s="3430"/>
      <c r="AU58" s="3431"/>
      <c r="AV58" s="3431"/>
      <c r="AW58" s="3431"/>
      <c r="AX58" s="3431"/>
      <c r="AY58" s="3431"/>
      <c r="AZ58" s="3431"/>
      <c r="BA58" s="3432"/>
      <c r="BB58" s="3430"/>
      <c r="BC58" s="3431"/>
      <c r="BD58" s="3431"/>
      <c r="BE58" s="3431"/>
      <c r="BF58" s="3431"/>
      <c r="BG58" s="3431"/>
      <c r="BH58" s="3431"/>
      <c r="BI58" s="3432"/>
      <c r="BJ58" s="3430"/>
      <c r="BK58" s="3431"/>
      <c r="BL58" s="3431"/>
      <c r="BM58" s="3431"/>
      <c r="BN58" s="3431"/>
      <c r="BO58" s="3431"/>
      <c r="BP58" s="3431"/>
      <c r="BQ58" s="3432"/>
      <c r="BR58" s="3430"/>
      <c r="BS58" s="3431"/>
      <c r="BT58" s="3431"/>
      <c r="BU58" s="3431"/>
      <c r="BV58" s="3431"/>
      <c r="BW58" s="3431"/>
      <c r="BX58" s="3431"/>
      <c r="BY58" s="3432"/>
      <c r="BZ58" s="3430"/>
      <c r="CA58" s="3431"/>
      <c r="CB58" s="3431"/>
      <c r="CC58" s="3431"/>
      <c r="CD58" s="3431"/>
      <c r="CE58" s="3431"/>
      <c r="CF58" s="3431"/>
      <c r="CG58" s="3432"/>
      <c r="CH58" s="3430"/>
      <c r="CI58" s="3431"/>
      <c r="CJ58" s="3431"/>
      <c r="CK58" s="3431"/>
      <c r="CL58" s="3431"/>
      <c r="CM58" s="3431"/>
      <c r="CN58" s="3431"/>
      <c r="CO58" s="3432"/>
      <c r="CP58" s="3430"/>
      <c r="CQ58" s="3431"/>
      <c r="CR58" s="3431"/>
      <c r="CS58" s="3431"/>
      <c r="CT58" s="3431"/>
      <c r="CU58" s="3431"/>
      <c r="CV58" s="3431"/>
      <c r="CW58" s="3432"/>
      <c r="CX58" s="3430"/>
      <c r="CY58" s="3431"/>
      <c r="CZ58" s="3431"/>
      <c r="DA58" s="3431"/>
      <c r="DB58" s="3431"/>
      <c r="DC58" s="3431"/>
      <c r="DD58" s="3431"/>
      <c r="DE58" s="3432"/>
      <c r="DF58" s="3432"/>
      <c r="DG58" s="3789" t="s">
        <v>449</v>
      </c>
      <c r="DH58" s="3611"/>
      <c r="DI58" s="3790"/>
      <c r="DJ58" s="3790" t="str">
        <f>IF(T58="","",T58)</f>
        <v>Источник тепловой энергии  </v>
      </c>
      <c r="DK58" s="3790"/>
      <c r="DL58" s="3790"/>
    </row>
    <row s="3796" customFormat="1" customHeight="1" ht="14.25">
      <c r="A59" s="3778"/>
      <c r="B59" s="3778"/>
      <c r="C59" s="3778"/>
      <c r="D59" s="3778"/>
      <c r="E59" s="3779"/>
      <c r="F59" s="3779">
        <v>1</v>
      </c>
      <c r="G59" s="3779"/>
      <c r="H59" s="3779"/>
      <c r="I59" s="3797" t="str">
        <f>S58&amp;".1"</f>
        <v>1.2.1.1.1</v>
      </c>
      <c r="J59" s="3778"/>
      <c r="K59" s="3778"/>
      <c r="L59" s="3781" t="s">
        <v>450</v>
      </c>
      <c r="M59" s="3603"/>
      <c r="N59" s="3798"/>
      <c r="O59" s="3798"/>
      <c r="P59" s="3799">
        <v>1</v>
      </c>
      <c r="Q59" s="3799"/>
      <c r="R59" s="3800"/>
      <c r="S59" s="3801"/>
      <c r="T59" s="3802"/>
      <c r="U59" s="3803"/>
      <c r="V59" s="3439"/>
      <c r="W59" s="3440"/>
      <c r="X59" s="3440"/>
      <c r="Y59" s="3440"/>
      <c r="Z59" s="3440"/>
      <c r="AA59" s="3440"/>
      <c r="AB59" s="3440"/>
      <c r="AC59" s="3441"/>
      <c r="AD59" s="3439"/>
      <c r="AE59" s="3440"/>
      <c r="AF59" s="3440"/>
      <c r="AG59" s="3440"/>
      <c r="AH59" s="3440"/>
      <c r="AI59" s="3440"/>
      <c r="AJ59" s="3440"/>
      <c r="AK59" s="3440"/>
      <c r="AL59" s="3439"/>
      <c r="AM59" s="3440"/>
      <c r="AN59" s="3440"/>
      <c r="AO59" s="3440"/>
      <c r="AP59" s="3440"/>
      <c r="AQ59" s="3440"/>
      <c r="AR59" s="3440"/>
      <c r="AS59" s="3441"/>
      <c r="AT59" s="3439"/>
      <c r="AU59" s="3440"/>
      <c r="AV59" s="3440"/>
      <c r="AW59" s="3440"/>
      <c r="AX59" s="3440"/>
      <c r="AY59" s="3440"/>
      <c r="AZ59" s="3440"/>
      <c r="BA59" s="3441"/>
      <c r="BB59" s="3439"/>
      <c r="BC59" s="3440"/>
      <c r="BD59" s="3440"/>
      <c r="BE59" s="3440"/>
      <c r="BF59" s="3440"/>
      <c r="BG59" s="3440"/>
      <c r="BH59" s="3440"/>
      <c r="BI59" s="3441"/>
      <c r="BJ59" s="3439"/>
      <c r="BK59" s="3440"/>
      <c r="BL59" s="3440"/>
      <c r="BM59" s="3440"/>
      <c r="BN59" s="3440"/>
      <c r="BO59" s="3440"/>
      <c r="BP59" s="3440"/>
      <c r="BQ59" s="3441"/>
      <c r="BR59" s="3439"/>
      <c r="BS59" s="3440"/>
      <c r="BT59" s="3440"/>
      <c r="BU59" s="3440"/>
      <c r="BV59" s="3440"/>
      <c r="BW59" s="3440"/>
      <c r="BX59" s="3440"/>
      <c r="BY59" s="3441"/>
      <c r="BZ59" s="3439"/>
      <c r="CA59" s="3440"/>
      <c r="CB59" s="3440"/>
      <c r="CC59" s="3440"/>
      <c r="CD59" s="3440"/>
      <c r="CE59" s="3440"/>
      <c r="CF59" s="3440"/>
      <c r="CG59" s="3441"/>
      <c r="CH59" s="3439"/>
      <c r="CI59" s="3440"/>
      <c r="CJ59" s="3440"/>
      <c r="CK59" s="3440"/>
      <c r="CL59" s="3440"/>
      <c r="CM59" s="3440"/>
      <c r="CN59" s="3440"/>
      <c r="CO59" s="3441"/>
      <c r="CP59" s="3439"/>
      <c r="CQ59" s="3440"/>
      <c r="CR59" s="3440"/>
      <c r="CS59" s="3440"/>
      <c r="CT59" s="3440"/>
      <c r="CU59" s="3440"/>
      <c r="CV59" s="3440"/>
      <c r="CW59" s="3441"/>
      <c r="CX59" s="3439"/>
      <c r="CY59" s="3440"/>
      <c r="CZ59" s="3440"/>
      <c r="DA59" s="3440"/>
      <c r="DB59" s="3440"/>
      <c r="DC59" s="3440"/>
      <c r="DD59" s="3440"/>
      <c r="DE59" s="3441"/>
      <c r="DF59" s="3441"/>
      <c r="DG59" s="3804"/>
      <c r="DH59" s="3611"/>
      <c r="DI59" s="3790"/>
      <c r="DJ59" s="3790" t="str">
        <f>IF(T59="","",T59)</f>
        <v/>
      </c>
      <c r="DK59" s="3790"/>
      <c r="DL59" s="3790"/>
    </row>
    <row s="3805" customFormat="1" customHeight="1" ht="21">
      <c r="A60" s="3778"/>
      <c r="B60" s="3778"/>
      <c r="C60" s="3778"/>
      <c r="D60" s="3778"/>
      <c r="E60" s="3779"/>
      <c r="F60" s="3779">
        <v>1</v>
      </c>
      <c r="G60" s="3779"/>
      <c r="H60" s="3779"/>
      <c r="I60" s="3806"/>
      <c r="J60" s="3797" t="str">
        <f>I59&amp;".1"</f>
        <v>1.2.1.1.1.1</v>
      </c>
      <c r="K60" s="3778"/>
      <c r="L60" s="3781" t="s">
        <v>453</v>
      </c>
      <c r="M60" s="3603"/>
      <c r="N60" s="3603"/>
      <c r="O60" s="3798"/>
      <c r="P60" s="3799"/>
      <c r="Q60" s="3799">
        <v>1</v>
      </c>
      <c r="R60" s="3807"/>
      <c r="S60" s="3786" t="str">
        <f>$J60</f>
        <v>1.2.1.1.1.1</v>
      </c>
      <c r="T60" s="3808" t="s">
        <v>454</v>
      </c>
      <c r="U60" s="3788"/>
      <c r="V60" s="3443"/>
      <c r="W60" s="3444"/>
      <c r="X60" s="3444"/>
      <c r="Y60" s="3444"/>
      <c r="Z60" s="3444"/>
      <c r="AA60" s="3444"/>
      <c r="AB60" s="3444"/>
      <c r="AC60" s="3445"/>
      <c r="AD60" s="3443" t="s">
        <v>494</v>
      </c>
      <c r="AE60" s="3444"/>
      <c r="AF60" s="3444"/>
      <c r="AG60" s="3444"/>
      <c r="AH60" s="3444"/>
      <c r="AI60" s="3444"/>
      <c r="AJ60" s="3444"/>
      <c r="AK60" s="3444"/>
      <c r="AL60" s="3443"/>
      <c r="AM60" s="3444"/>
      <c r="AN60" s="3444"/>
      <c r="AO60" s="3444"/>
      <c r="AP60" s="3444"/>
      <c r="AQ60" s="3444"/>
      <c r="AR60" s="3444"/>
      <c r="AS60" s="3445"/>
      <c r="AT60" s="3443"/>
      <c r="AU60" s="3444"/>
      <c r="AV60" s="3444"/>
      <c r="AW60" s="3444"/>
      <c r="AX60" s="3444"/>
      <c r="AY60" s="3444"/>
      <c r="AZ60" s="3444"/>
      <c r="BA60" s="3445"/>
      <c r="BB60" s="3443"/>
      <c r="BC60" s="3444"/>
      <c r="BD60" s="3444"/>
      <c r="BE60" s="3444"/>
      <c r="BF60" s="3444"/>
      <c r="BG60" s="3444"/>
      <c r="BH60" s="3444"/>
      <c r="BI60" s="3445"/>
      <c r="BJ60" s="3443"/>
      <c r="BK60" s="3444"/>
      <c r="BL60" s="3444"/>
      <c r="BM60" s="3444"/>
      <c r="BN60" s="3444"/>
      <c r="BO60" s="3444"/>
      <c r="BP60" s="3444"/>
      <c r="BQ60" s="3445"/>
      <c r="BR60" s="3443"/>
      <c r="BS60" s="3444"/>
      <c r="BT60" s="3444"/>
      <c r="BU60" s="3444"/>
      <c r="BV60" s="3444"/>
      <c r="BW60" s="3444"/>
      <c r="BX60" s="3444"/>
      <c r="BY60" s="3445"/>
      <c r="BZ60" s="3443"/>
      <c r="CA60" s="3444"/>
      <c r="CB60" s="3444"/>
      <c r="CC60" s="3444"/>
      <c r="CD60" s="3444"/>
      <c r="CE60" s="3444"/>
      <c r="CF60" s="3444"/>
      <c r="CG60" s="3445"/>
      <c r="CH60" s="3443"/>
      <c r="CI60" s="3444"/>
      <c r="CJ60" s="3444"/>
      <c r="CK60" s="3444"/>
      <c r="CL60" s="3444"/>
      <c r="CM60" s="3444"/>
      <c r="CN60" s="3444"/>
      <c r="CO60" s="3445"/>
      <c r="CP60" s="3443"/>
      <c r="CQ60" s="3444"/>
      <c r="CR60" s="3444"/>
      <c r="CS60" s="3444"/>
      <c r="CT60" s="3444"/>
      <c r="CU60" s="3444"/>
      <c r="CV60" s="3444"/>
      <c r="CW60" s="3445"/>
      <c r="CX60" s="3443"/>
      <c r="CY60" s="3444"/>
      <c r="CZ60" s="3444"/>
      <c r="DA60" s="3444"/>
      <c r="DB60" s="3444"/>
      <c r="DC60" s="3444"/>
      <c r="DD60" s="3444"/>
      <c r="DE60" s="3445"/>
      <c r="DF60" s="3445"/>
      <c r="DG60" s="3789" t="s">
        <v>455</v>
      </c>
      <c r="DH60" s="3611"/>
      <c r="DI60" s="3790"/>
      <c r="DJ60" s="3790" t="str">
        <f>IF(T60="","",T60)</f>
        <v>Группа потребителей</v>
      </c>
      <c r="DK60" s="3790"/>
      <c r="DL60" s="3790"/>
    </row>
    <row s="3809" customFormat="1" customHeight="1" ht="21">
      <c r="A61" s="3778"/>
      <c r="B61" s="3778"/>
      <c r="C61" s="3778"/>
      <c r="D61" s="3778"/>
      <c r="E61" s="3779"/>
      <c r="F61" s="3779">
        <v>1</v>
      </c>
      <c r="G61" s="3779"/>
      <c r="H61" s="3779"/>
      <c r="I61" s="3806"/>
      <c r="J61" s="3806"/>
      <c r="K61" s="3797" t="str">
        <f>J60&amp;".1"</f>
        <v>1.2.1.1.1.1.1</v>
      </c>
      <c r="L61" s="3781" t="s">
        <v>456</v>
      </c>
      <c r="M61" s="3603"/>
      <c r="N61" s="3603"/>
      <c r="O61" s="3603"/>
      <c r="P61" s="3799"/>
      <c r="Q61" s="3799"/>
      <c r="R61" s="3807">
        <v>1</v>
      </c>
      <c r="S61" s="3786" t="str">
        <f>$K61</f>
        <v>1.2.1.1.1.1.1</v>
      </c>
      <c r="T61" s="3810" t="s">
        <v>495</v>
      </c>
      <c r="U61" s="3788"/>
      <c r="V61" s="3446"/>
      <c r="W61" s="3447"/>
      <c r="X61" s="3446"/>
      <c r="Y61" s="3448"/>
      <c r="Z61" s="3449"/>
      <c r="AA61" s="2872" t="s">
        <v>61</v>
      </c>
      <c r="AB61" s="3449"/>
      <c r="AC61" s="2872" t="s">
        <v>61</v>
      </c>
      <c r="AD61" s="3446">
        <v>30.29</v>
      </c>
      <c r="AE61" s="3447"/>
      <c r="AF61" s="3446"/>
      <c r="AG61" s="3448"/>
      <c r="AH61" s="3449">
        <v>45292</v>
      </c>
      <c r="AI61" s="2872" t="s">
        <v>61</v>
      </c>
      <c r="AJ61" s="3449">
        <v>45473</v>
      </c>
      <c r="AK61" s="2872" t="s">
        <v>61</v>
      </c>
      <c r="AL61" s="3446">
        <v>37.2</v>
      </c>
      <c r="AM61" s="3447"/>
      <c r="AN61" s="3446"/>
      <c r="AO61" s="3448"/>
      <c r="AP61" s="3449">
        <v>45474</v>
      </c>
      <c r="AQ61" s="2872" t="s">
        <v>61</v>
      </c>
      <c r="AR61" s="3449">
        <v>45657</v>
      </c>
      <c r="AS61" s="2872" t="s">
        <v>61</v>
      </c>
      <c r="AT61" s="3446">
        <v>32.54</v>
      </c>
      <c r="AU61" s="3447"/>
      <c r="AV61" s="3446"/>
      <c r="AW61" s="3448"/>
      <c r="AX61" s="3449">
        <v>45658</v>
      </c>
      <c r="AY61" s="2872" t="s">
        <v>61</v>
      </c>
      <c r="AZ61" s="3449">
        <v>45838</v>
      </c>
      <c r="BA61" s="2872" t="s">
        <v>61</v>
      </c>
      <c r="BB61" s="3446">
        <v>32.54</v>
      </c>
      <c r="BC61" s="3447"/>
      <c r="BD61" s="3446"/>
      <c r="BE61" s="3448"/>
      <c r="BF61" s="3449">
        <v>45839</v>
      </c>
      <c r="BG61" s="2872" t="s">
        <v>61</v>
      </c>
      <c r="BH61" s="3449">
        <v>46022</v>
      </c>
      <c r="BI61" s="2872" t="s">
        <v>61</v>
      </c>
      <c r="BJ61" s="3446">
        <v>32.54</v>
      </c>
      <c r="BK61" s="3447"/>
      <c r="BL61" s="3446"/>
      <c r="BM61" s="3448"/>
      <c r="BN61" s="3449">
        <v>46023</v>
      </c>
      <c r="BO61" s="2872" t="s">
        <v>61</v>
      </c>
      <c r="BP61" s="3449">
        <v>46203</v>
      </c>
      <c r="BQ61" s="2872" t="s">
        <v>61</v>
      </c>
      <c r="BR61" s="3446">
        <v>33.84</v>
      </c>
      <c r="BS61" s="3447"/>
      <c r="BT61" s="3446"/>
      <c r="BU61" s="3448"/>
      <c r="BV61" s="3449">
        <v>46204</v>
      </c>
      <c r="BW61" s="2872" t="s">
        <v>61</v>
      </c>
      <c r="BX61" s="3449">
        <v>46387</v>
      </c>
      <c r="BY61" s="2872" t="s">
        <v>61</v>
      </c>
      <c r="BZ61" s="3446">
        <v>33.84</v>
      </c>
      <c r="CA61" s="3447"/>
      <c r="CB61" s="3446"/>
      <c r="CC61" s="3448"/>
      <c r="CD61" s="3449">
        <v>46388</v>
      </c>
      <c r="CE61" s="2872" t="s">
        <v>61</v>
      </c>
      <c r="CF61" s="3449">
        <v>46568</v>
      </c>
      <c r="CG61" s="2872" t="s">
        <v>61</v>
      </c>
      <c r="CH61" s="3446">
        <v>35.2</v>
      </c>
      <c r="CI61" s="3447"/>
      <c r="CJ61" s="3446"/>
      <c r="CK61" s="3448"/>
      <c r="CL61" s="3449">
        <v>46569</v>
      </c>
      <c r="CM61" s="2872" t="s">
        <v>61</v>
      </c>
      <c r="CN61" s="3449">
        <v>46752</v>
      </c>
      <c r="CO61" s="2872" t="s">
        <v>61</v>
      </c>
      <c r="CP61" s="3446">
        <v>35.2</v>
      </c>
      <c r="CQ61" s="3447"/>
      <c r="CR61" s="3446"/>
      <c r="CS61" s="3448"/>
      <c r="CT61" s="3449">
        <v>46753</v>
      </c>
      <c r="CU61" s="2872" t="s">
        <v>61</v>
      </c>
      <c r="CV61" s="3449">
        <v>46934</v>
      </c>
      <c r="CW61" s="2872" t="s">
        <v>61</v>
      </c>
      <c r="CX61" s="3446">
        <v>36.6</v>
      </c>
      <c r="CY61" s="3447"/>
      <c r="CZ61" s="3446"/>
      <c r="DA61" s="3448"/>
      <c r="DB61" s="3449">
        <v>46935</v>
      </c>
      <c r="DC61" s="2872" t="s">
        <v>61</v>
      </c>
      <c r="DD61" s="3449">
        <v>47118</v>
      </c>
      <c r="DE61" s="2872" t="s">
        <v>61</v>
      </c>
      <c r="DF61" s="3447"/>
      <c r="DG61" s="3811" t="s">
        <v>457</v>
      </c>
      <c r="DH61" s="3611">
        <f>STRCHECKDATE(V62:DF62)</f>
      </c>
      <c r="DI61" s="3790"/>
      <c r="DJ61" s="3790" t="str">
        <f>IF(T61="","",T61)</f>
        <v>вода</v>
      </c>
      <c r="DK61" s="3790"/>
      <c r="DL61" s="3790"/>
    </row>
    <row s="3812" customFormat="1" customHeight="1" ht="0.75">
      <c r="A62" s="3778"/>
      <c r="B62" s="3778"/>
      <c r="C62" s="3778"/>
      <c r="D62" s="3778"/>
      <c r="E62" s="3779"/>
      <c r="F62" s="3779">
        <v>1</v>
      </c>
      <c r="G62" s="3779"/>
      <c r="H62" s="3779"/>
      <c r="I62" s="3806"/>
      <c r="J62" s="3806"/>
      <c r="K62" s="3797"/>
      <c r="L62" s="3781"/>
      <c r="M62" s="3603"/>
      <c r="N62" s="3603"/>
      <c r="O62" s="3603"/>
      <c r="P62" s="3799"/>
      <c r="Q62" s="3799"/>
      <c r="R62" s="3807"/>
      <c r="S62" s="3813"/>
      <c r="T62" s="3788"/>
      <c r="U62" s="3788"/>
      <c r="V62" s="3447"/>
      <c r="W62" s="3447"/>
      <c r="X62" s="3447"/>
      <c r="Y62" s="3450" t="str">
        <f>Z61&amp;"-"&amp;AB61</f>
        <v>-</v>
      </c>
      <c r="Z62" s="3451"/>
      <c r="AA62" s="2872"/>
      <c r="AB62" s="3451"/>
      <c r="AC62" s="2872"/>
      <c r="AD62" s="3447"/>
      <c r="AE62" s="3447"/>
      <c r="AF62" s="3447"/>
      <c r="AG62" s="3450" t="str">
        <f>AH61&amp;"-"&amp;AJ61</f>
        <v>45292-45473</v>
      </c>
      <c r="AH62" s="3451"/>
      <c r="AI62" s="2872"/>
      <c r="AJ62" s="3451"/>
      <c r="AK62" s="2872"/>
      <c r="AL62" s="3447"/>
      <c r="AM62" s="3447"/>
      <c r="AN62" s="3447"/>
      <c r="AO62" s="3450" t="str">
        <f>AP61&amp;"-"&amp;AR61</f>
        <v>45474-45657</v>
      </c>
      <c r="AP62" s="3451"/>
      <c r="AQ62" s="2872"/>
      <c r="AR62" s="3451"/>
      <c r="AS62" s="2872"/>
      <c r="AT62" s="3447"/>
      <c r="AU62" s="3447"/>
      <c r="AV62" s="3447"/>
      <c r="AW62" s="3450" t="str">
        <f>AX61&amp;"-"&amp;AZ61</f>
        <v>45658-45838</v>
      </c>
      <c r="AX62" s="3451"/>
      <c r="AY62" s="2872"/>
      <c r="AZ62" s="3451"/>
      <c r="BA62" s="2872"/>
      <c r="BB62" s="3447"/>
      <c r="BC62" s="3447"/>
      <c r="BD62" s="3447"/>
      <c r="BE62" s="3450" t="str">
        <f>BF61&amp;"-"&amp;BH61</f>
        <v>45839-46022</v>
      </c>
      <c r="BF62" s="3451"/>
      <c r="BG62" s="2872"/>
      <c r="BH62" s="3451"/>
      <c r="BI62" s="2872"/>
      <c r="BJ62" s="3447"/>
      <c r="BK62" s="3447"/>
      <c r="BL62" s="3447"/>
      <c r="BM62" s="3450" t="str">
        <f>BN61&amp;"-"&amp;BP61</f>
        <v>46023-46203</v>
      </c>
      <c r="BN62" s="3451"/>
      <c r="BO62" s="2872"/>
      <c r="BP62" s="3451"/>
      <c r="BQ62" s="2872"/>
      <c r="BR62" s="3447"/>
      <c r="BS62" s="3447"/>
      <c r="BT62" s="3447"/>
      <c r="BU62" s="3450" t="str">
        <f>BV61&amp;"-"&amp;BX61</f>
        <v>46204-46387</v>
      </c>
      <c r="BV62" s="3451"/>
      <c r="BW62" s="2872"/>
      <c r="BX62" s="3451"/>
      <c r="BY62" s="2872"/>
      <c r="BZ62" s="3447"/>
      <c r="CA62" s="3447"/>
      <c r="CB62" s="3447"/>
      <c r="CC62" s="3450" t="str">
        <f>CD61&amp;"-"&amp;CF61</f>
        <v>46388-46568</v>
      </c>
      <c r="CD62" s="3451"/>
      <c r="CE62" s="2872"/>
      <c r="CF62" s="3451"/>
      <c r="CG62" s="2872"/>
      <c r="CH62" s="3447"/>
      <c r="CI62" s="3447"/>
      <c r="CJ62" s="3447"/>
      <c r="CK62" s="3450" t="str">
        <f>CL61&amp;"-"&amp;CN61</f>
        <v>46569-46752</v>
      </c>
      <c r="CL62" s="3451"/>
      <c r="CM62" s="2872"/>
      <c r="CN62" s="3451"/>
      <c r="CO62" s="2872"/>
      <c r="CP62" s="3447"/>
      <c r="CQ62" s="3447"/>
      <c r="CR62" s="3447"/>
      <c r="CS62" s="3450" t="str">
        <f>CT61&amp;"-"&amp;CV61</f>
        <v>46753-46934</v>
      </c>
      <c r="CT62" s="3451"/>
      <c r="CU62" s="2872"/>
      <c r="CV62" s="3451"/>
      <c r="CW62" s="2872"/>
      <c r="CX62" s="3447"/>
      <c r="CY62" s="3447"/>
      <c r="CZ62" s="3447"/>
      <c r="DA62" s="3450" t="str">
        <f>DB61&amp;"-"&amp;DD61</f>
        <v>46935-47118</v>
      </c>
      <c r="DB62" s="3451"/>
      <c r="DC62" s="2872"/>
      <c r="DD62" s="3451"/>
      <c r="DE62" s="2872"/>
      <c r="DF62" s="3447"/>
      <c r="DG62" s="3814"/>
      <c r="DH62" s="3611"/>
      <c r="DI62" s="3790"/>
      <c r="DJ62" s="3790" t="str">
        <f>IF(T62="","",T62)</f>
        <v/>
      </c>
      <c r="DK62" s="3790"/>
      <c r="DL62" s="3790"/>
    </row>
    <row s="3815" customFormat="1" customHeight="1" ht="15">
      <c r="A63" s="3778"/>
      <c r="B63" s="3778"/>
      <c r="C63" s="3778"/>
      <c r="D63" s="3778"/>
      <c r="E63" s="3779"/>
      <c r="F63" s="3779">
        <v>1</v>
      </c>
      <c r="G63" s="3779"/>
      <c r="H63" s="3779"/>
      <c r="I63" s="3806"/>
      <c r="J63" s="3797"/>
      <c r="K63" s="3778"/>
      <c r="L63" s="3781"/>
      <c r="M63" s="3603"/>
      <c r="N63" s="3603"/>
      <c r="O63" s="3798"/>
      <c r="P63" s="3799"/>
      <c r="Q63" s="3799"/>
      <c r="R63" s="3800"/>
      <c r="S63" s="3816"/>
      <c r="T63" s="3817" t="s">
        <v>458</v>
      </c>
      <c r="U63" s="3818"/>
      <c r="V63" s="3819"/>
      <c r="W63" s="3820"/>
      <c r="X63" s="3821"/>
      <c r="Y63" s="3822"/>
      <c r="Z63" s="3823"/>
      <c r="AA63" s="3824"/>
      <c r="AB63" s="3825"/>
      <c r="AC63" s="3826"/>
      <c r="AD63" s="3827"/>
      <c r="AE63" s="3828"/>
      <c r="AF63" s="3829"/>
      <c r="AG63" s="3830"/>
      <c r="AH63" s="3831"/>
      <c r="AI63" s="3832"/>
      <c r="AJ63" s="3833"/>
      <c r="AK63" s="3834"/>
      <c r="AL63" s="3835"/>
      <c r="AM63" s="3836"/>
      <c r="AN63" s="3837"/>
      <c r="AO63" s="3838"/>
      <c r="AP63" s="3839"/>
      <c r="AQ63" s="3840"/>
      <c r="AR63" s="3841"/>
      <c r="AS63" s="3842"/>
      <c r="AT63" s="3843"/>
      <c r="AU63" s="3844"/>
      <c r="AV63" s="3845"/>
      <c r="AW63" s="3846"/>
      <c r="AX63" s="3847"/>
      <c r="AY63" s="3848"/>
      <c r="AZ63" s="3849"/>
      <c r="BA63" s="3850"/>
      <c r="BB63" s="3851"/>
      <c r="BC63" s="3852"/>
      <c r="BD63" s="3853"/>
      <c r="BE63" s="3854"/>
      <c r="BF63" s="3855"/>
      <c r="BG63" s="3856"/>
      <c r="BH63" s="3857"/>
      <c r="BI63" s="3858"/>
      <c r="BJ63" s="3859"/>
      <c r="BK63" s="3860"/>
      <c r="BL63" s="3861"/>
      <c r="BM63" s="3862"/>
      <c r="BN63" s="3863"/>
      <c r="BO63" s="3864"/>
      <c r="BP63" s="3865"/>
      <c r="BQ63" s="3866"/>
      <c r="BR63" s="3867"/>
      <c r="BS63" s="3868"/>
      <c r="BT63" s="3869"/>
      <c r="BU63" s="3870"/>
      <c r="BV63" s="3871"/>
      <c r="BW63" s="3872"/>
      <c r="BX63" s="3873"/>
      <c r="BY63" s="3874"/>
      <c r="BZ63" s="3875"/>
      <c r="CA63" s="3876"/>
      <c r="CB63" s="3877"/>
      <c r="CC63" s="3878"/>
      <c r="CD63" s="3879"/>
      <c r="CE63" s="3880"/>
      <c r="CF63" s="3881"/>
      <c r="CG63" s="3882"/>
      <c r="CH63" s="3883"/>
      <c r="CI63" s="3884"/>
      <c r="CJ63" s="3885"/>
      <c r="CK63" s="3886"/>
      <c r="CL63" s="3887"/>
      <c r="CM63" s="3888"/>
      <c r="CN63" s="3889"/>
      <c r="CO63" s="3890"/>
      <c r="CP63" s="3891"/>
      <c r="CQ63" s="3892"/>
      <c r="CR63" s="3893"/>
      <c r="CS63" s="3894"/>
      <c r="CT63" s="3895"/>
      <c r="CU63" s="3896"/>
      <c r="CV63" s="3897"/>
      <c r="CW63" s="3898"/>
      <c r="CX63" s="3899"/>
      <c r="CY63" s="3900"/>
      <c r="CZ63" s="3901"/>
      <c r="DA63" s="3902"/>
      <c r="DB63" s="3903"/>
      <c r="DC63" s="3904"/>
      <c r="DD63" s="3905"/>
      <c r="DE63" s="3906"/>
      <c r="DF63" s="3907"/>
      <c r="DG63" s="3908"/>
      <c r="DH63" s="3611"/>
      <c r="DI63" s="3790"/>
      <c r="DJ63" s="3790" t="str">
        <f>IF(T63="","",T63)</f>
        <v>Добавить вид теплоносителя (параметры теплоносителя)</v>
      </c>
      <c r="DK63" s="3790"/>
      <c r="DL63" s="3790"/>
    </row>
    <row s="3909" customFormat="1" customHeight="1" ht="15">
      <c r="A64" s="3778"/>
      <c r="B64" s="3778"/>
      <c r="C64" s="3778"/>
      <c r="D64" s="3778"/>
      <c r="E64" s="3779"/>
      <c r="F64" s="3779">
        <v>1</v>
      </c>
      <c r="G64" s="3779"/>
      <c r="H64" s="3779"/>
      <c r="I64" s="3797"/>
      <c r="J64" s="3778"/>
      <c r="K64" s="3778"/>
      <c r="L64" s="3781"/>
      <c r="M64" s="3603"/>
      <c r="N64" s="3798"/>
      <c r="O64" s="3798"/>
      <c r="P64" s="3799"/>
      <c r="Q64" s="3799"/>
      <c r="R64" s="3800"/>
      <c r="S64" s="3910"/>
      <c r="T64" s="3911" t="s">
        <v>459</v>
      </c>
      <c r="U64" s="3912"/>
      <c r="V64" s="3913"/>
      <c r="W64" s="3914"/>
      <c r="X64" s="3915"/>
      <c r="Y64" s="3916"/>
      <c r="Z64" s="3917"/>
      <c r="AA64" s="3918"/>
      <c r="AB64" s="3919"/>
      <c r="AC64" s="3920"/>
      <c r="AD64" s="3921"/>
      <c r="AE64" s="3922"/>
      <c r="AF64" s="3923"/>
      <c r="AG64" s="3924"/>
      <c r="AH64" s="3925"/>
      <c r="AI64" s="3926"/>
      <c r="AJ64" s="3927"/>
      <c r="AK64" s="3928"/>
      <c r="AL64" s="3929"/>
      <c r="AM64" s="3930"/>
      <c r="AN64" s="3931"/>
      <c r="AO64" s="3932"/>
      <c r="AP64" s="3933"/>
      <c r="AQ64" s="3934"/>
      <c r="AR64" s="3935"/>
      <c r="AS64" s="3936"/>
      <c r="AT64" s="3937"/>
      <c r="AU64" s="3938"/>
      <c r="AV64" s="3939"/>
      <c r="AW64" s="3940"/>
      <c r="AX64" s="3941"/>
      <c r="AY64" s="3942"/>
      <c r="AZ64" s="3943"/>
      <c r="BA64" s="3944"/>
      <c r="BB64" s="3945"/>
      <c r="BC64" s="3946"/>
      <c r="BD64" s="3947"/>
      <c r="BE64" s="3948"/>
      <c r="BF64" s="3949"/>
      <c r="BG64" s="3950"/>
      <c r="BH64" s="3951"/>
      <c r="BI64" s="3952"/>
      <c r="BJ64" s="3953"/>
      <c r="BK64" s="3954"/>
      <c r="BL64" s="3955"/>
      <c r="BM64" s="3956"/>
      <c r="BN64" s="3957"/>
      <c r="BO64" s="3958"/>
      <c r="BP64" s="3959"/>
      <c r="BQ64" s="3960"/>
      <c r="BR64" s="3961"/>
      <c r="BS64" s="3962"/>
      <c r="BT64" s="3963"/>
      <c r="BU64" s="3964"/>
      <c r="BV64" s="3965"/>
      <c r="BW64" s="3966"/>
      <c r="BX64" s="3967"/>
      <c r="BY64" s="3968"/>
      <c r="BZ64" s="3969"/>
      <c r="CA64" s="3970"/>
      <c r="CB64" s="3971"/>
      <c r="CC64" s="3972"/>
      <c r="CD64" s="3973"/>
      <c r="CE64" s="3974"/>
      <c r="CF64" s="3975"/>
      <c r="CG64" s="3976"/>
      <c r="CH64" s="3977"/>
      <c r="CI64" s="3978"/>
      <c r="CJ64" s="3979"/>
      <c r="CK64" s="3980"/>
      <c r="CL64" s="3981"/>
      <c r="CM64" s="3982"/>
      <c r="CN64" s="3983"/>
      <c r="CO64" s="3984"/>
      <c r="CP64" s="3985"/>
      <c r="CQ64" s="3986"/>
      <c r="CR64" s="3987"/>
      <c r="CS64" s="3988"/>
      <c r="CT64" s="3989"/>
      <c r="CU64" s="3990"/>
      <c r="CV64" s="3991"/>
      <c r="CW64" s="3992"/>
      <c r="CX64" s="3993"/>
      <c r="CY64" s="3994"/>
      <c r="CZ64" s="3995"/>
      <c r="DA64" s="3996"/>
      <c r="DB64" s="3997"/>
      <c r="DC64" s="3998"/>
      <c r="DD64" s="3999"/>
      <c r="DE64" s="4000"/>
      <c r="DF64" s="4001"/>
      <c r="DG64" s="4002"/>
      <c r="DH64" s="3611"/>
      <c r="DI64" s="3790"/>
      <c r="DJ64" s="3790" t="str">
        <f>IF(T64="","",T64)</f>
        <v>Добавить группу потребителей</v>
      </c>
      <c r="DK64" s="3790"/>
      <c r="DL64" s="3790"/>
    </row>
    <row s="4003" customFormat="1" customHeight="1" ht="14.25">
      <c r="A65" s="3778"/>
      <c r="B65" s="3778"/>
      <c r="C65" s="3778"/>
      <c r="D65" s="3778"/>
      <c r="E65" s="3779"/>
      <c r="F65" s="3779">
        <v>1</v>
      </c>
      <c r="G65" s="3779"/>
      <c r="H65" s="3780"/>
      <c r="I65" s="3778"/>
      <c r="J65" s="3778"/>
      <c r="K65" s="3778"/>
      <c r="L65" s="3781"/>
      <c r="M65" s="3782"/>
      <c r="N65" s="3782"/>
      <c r="O65" s="3603"/>
      <c r="P65" s="4004"/>
      <c r="Q65" s="4005"/>
      <c r="R65" s="4006"/>
      <c r="S65" s="4007"/>
      <c r="T65" s="4008"/>
      <c r="U65" s="3599"/>
      <c r="V65" s="3599"/>
      <c r="W65" s="3599"/>
      <c r="X65" s="3599"/>
      <c r="Y65" s="3599"/>
      <c r="Z65" s="3599"/>
      <c r="AA65" s="3599"/>
      <c r="AB65" s="3599"/>
      <c r="AC65" s="3599"/>
      <c r="AD65" s="3599"/>
      <c r="AE65" s="3599"/>
      <c r="AF65" s="3599"/>
      <c r="AG65" s="3599"/>
      <c r="AH65" s="3599"/>
      <c r="AI65" s="3599"/>
      <c r="AJ65" s="3599"/>
      <c r="AK65" s="3599"/>
      <c r="AL65" s="3599"/>
      <c r="AM65" s="3599"/>
      <c r="AN65" s="3599"/>
      <c r="AO65" s="3599"/>
      <c r="AP65" s="3599"/>
      <c r="AQ65" s="3599"/>
      <c r="AR65" s="3599"/>
      <c r="AS65" s="3599"/>
      <c r="AT65" s="3599"/>
      <c r="AU65" s="3599"/>
      <c r="AV65" s="3599"/>
      <c r="AW65" s="3599"/>
      <c r="AX65" s="3599"/>
      <c r="AY65" s="3599"/>
      <c r="AZ65" s="3599"/>
      <c r="BA65" s="3599"/>
      <c r="BB65" s="3599"/>
      <c r="BC65" s="3599"/>
      <c r="BD65" s="3599"/>
      <c r="BE65" s="3599"/>
      <c r="BF65" s="3599"/>
      <c r="BG65" s="3599"/>
      <c r="BH65" s="3599"/>
      <c r="BI65" s="3599"/>
      <c r="BJ65" s="3599"/>
      <c r="BK65" s="3599"/>
      <c r="BL65" s="3599"/>
      <c r="BM65" s="3599"/>
      <c r="BN65" s="3599"/>
      <c r="BO65" s="3599"/>
      <c r="BP65" s="3599"/>
      <c r="BQ65" s="3599"/>
      <c r="BR65" s="3599"/>
      <c r="BS65" s="3599"/>
      <c r="BT65" s="3599"/>
      <c r="BU65" s="3599"/>
      <c r="BV65" s="3599"/>
      <c r="BW65" s="3599"/>
      <c r="BX65" s="3599"/>
      <c r="BY65" s="3599"/>
      <c r="BZ65" s="3599"/>
      <c r="CA65" s="3599"/>
      <c r="CB65" s="3599"/>
      <c r="CC65" s="3599"/>
      <c r="CD65" s="3599"/>
      <c r="CE65" s="3599"/>
      <c r="CF65" s="3599"/>
      <c r="CG65" s="3599"/>
      <c r="CH65" s="3599"/>
      <c r="CI65" s="3599"/>
      <c r="CJ65" s="3599"/>
      <c r="CK65" s="3599"/>
      <c r="CL65" s="3599"/>
      <c r="CM65" s="3599"/>
      <c r="CN65" s="3599"/>
      <c r="CO65" s="3599"/>
      <c r="CP65" s="3599"/>
      <c r="CQ65" s="3599"/>
      <c r="CR65" s="3599"/>
      <c r="CS65" s="3599"/>
      <c r="CT65" s="3599"/>
      <c r="CU65" s="3599"/>
      <c r="CV65" s="3599"/>
      <c r="CW65" s="3599"/>
      <c r="CX65" s="3599"/>
      <c r="CY65" s="3599"/>
      <c r="CZ65" s="3599"/>
      <c r="DA65" s="3599"/>
      <c r="DB65" s="3599"/>
      <c r="DC65" s="3599"/>
      <c r="DD65" s="3599"/>
      <c r="DE65" s="3599"/>
      <c r="DF65" s="3599"/>
      <c r="DG65" s="4009"/>
      <c r="DH65" s="3611"/>
      <c r="DI65" s="3790"/>
      <c r="DJ65" s="3790" t="str">
        <f>IF(T65="","",T65)</f>
        <v/>
      </c>
      <c r="DK65" s="3790"/>
      <c r="DL65" s="3790"/>
    </row>
    <row s="4010" customFormat="1" customHeight="1" ht="0.75">
      <c r="A66" s="4011"/>
      <c r="B66" s="4011"/>
      <c r="C66" s="4011"/>
      <c r="D66" s="4011"/>
      <c r="E66" s="3779"/>
      <c r="F66" s="3779">
        <v>1</v>
      </c>
      <c r="G66" s="3780"/>
      <c r="H66" s="4011"/>
      <c r="I66" s="4011"/>
      <c r="J66" s="4011"/>
      <c r="K66" s="4011"/>
      <c r="L66" s="4012"/>
      <c r="M66" s="4013"/>
      <c r="N66" s="4013"/>
      <c r="O66" s="3611"/>
      <c r="P66" s="4014"/>
      <c r="Q66" s="4015"/>
      <c r="R66" s="4014"/>
      <c r="S66" s="4016"/>
      <c r="T66" s="4017" t="s">
        <v>191</v>
      </c>
      <c r="U66" s="3601"/>
      <c r="V66" s="3601"/>
      <c r="W66" s="3601"/>
      <c r="X66" s="3601"/>
      <c r="Y66" s="3601"/>
      <c r="Z66" s="3601"/>
      <c r="AA66" s="3601"/>
      <c r="AB66" s="3601"/>
      <c r="AC66" s="3601"/>
      <c r="AD66" s="3601"/>
      <c r="AE66" s="3601"/>
      <c r="AF66" s="3601"/>
      <c r="AG66" s="3601"/>
      <c r="AH66" s="3601"/>
      <c r="AI66" s="3601"/>
      <c r="AJ66" s="3601"/>
      <c r="AK66" s="3601"/>
      <c r="AL66" s="3601"/>
      <c r="AM66" s="3601"/>
      <c r="AN66" s="3601"/>
      <c r="AO66" s="3601"/>
      <c r="AP66" s="3601"/>
      <c r="AQ66" s="3601"/>
      <c r="AR66" s="3601"/>
      <c r="AS66" s="3601"/>
      <c r="AT66" s="3601"/>
      <c r="AU66" s="3601"/>
      <c r="AV66" s="3601"/>
      <c r="AW66" s="3601"/>
      <c r="AX66" s="3601"/>
      <c r="AY66" s="3601"/>
      <c r="AZ66" s="3601"/>
      <c r="BA66" s="3601"/>
      <c r="BB66" s="3601"/>
      <c r="BC66" s="3601"/>
      <c r="BD66" s="3601"/>
      <c r="BE66" s="3601"/>
      <c r="BF66" s="3601"/>
      <c r="BG66" s="3601"/>
      <c r="BH66" s="3601"/>
      <c r="BI66" s="3601"/>
      <c r="BJ66" s="3601"/>
      <c r="BK66" s="3601"/>
      <c r="BL66" s="3601"/>
      <c r="BM66" s="3601"/>
      <c r="BN66" s="3601"/>
      <c r="BO66" s="3601"/>
      <c r="BP66" s="3601"/>
      <c r="BQ66" s="3601"/>
      <c r="BR66" s="3601"/>
      <c r="BS66" s="3601"/>
      <c r="BT66" s="3601"/>
      <c r="BU66" s="3601"/>
      <c r="BV66" s="3601"/>
      <c r="BW66" s="3601"/>
      <c r="BX66" s="3601"/>
      <c r="BY66" s="3601"/>
      <c r="BZ66" s="3601"/>
      <c r="CA66" s="3601"/>
      <c r="CB66" s="3601"/>
      <c r="CC66" s="3601"/>
      <c r="CD66" s="3601"/>
      <c r="CE66" s="3601"/>
      <c r="CF66" s="3601"/>
      <c r="CG66" s="3601"/>
      <c r="CH66" s="3601"/>
      <c r="CI66" s="3601"/>
      <c r="CJ66" s="3601"/>
      <c r="CK66" s="3601"/>
      <c r="CL66" s="3601"/>
      <c r="CM66" s="3601"/>
      <c r="CN66" s="3601"/>
      <c r="CO66" s="3601"/>
      <c r="CP66" s="3601"/>
      <c r="CQ66" s="3601"/>
      <c r="CR66" s="3601"/>
      <c r="CS66" s="3601"/>
      <c r="CT66" s="3601"/>
      <c r="CU66" s="3601"/>
      <c r="CV66" s="3601"/>
      <c r="CW66" s="3601"/>
      <c r="CX66" s="3601"/>
      <c r="CY66" s="3601"/>
      <c r="CZ66" s="3601"/>
      <c r="DA66" s="3601"/>
      <c r="DB66" s="3601"/>
      <c r="DC66" s="3601"/>
      <c r="DD66" s="3601"/>
      <c r="DE66" s="3601"/>
      <c r="DF66" s="3601"/>
      <c r="DG66" s="3601"/>
      <c r="DH66" s="3611"/>
      <c r="DI66" s="3790"/>
      <c r="DJ66" s="3790" t="str">
        <f>IF(T66="","",T66)</f>
        <v>Добавить источник для дифференциации</v>
      </c>
      <c r="DK66" s="3790"/>
      <c r="DL66" s="3790"/>
    </row>
    <row s="4018" customFormat="1" customHeight="1" ht="0.75">
      <c r="A67" s="4011"/>
      <c r="B67" s="4011"/>
      <c r="C67" s="4011"/>
      <c r="D67" s="4011"/>
      <c r="E67" s="3779"/>
      <c r="F67" s="3780">
        <v>1</v>
      </c>
      <c r="G67" s="4011"/>
      <c r="H67" s="4011"/>
      <c r="I67" s="4011"/>
      <c r="J67" s="4011"/>
      <c r="K67" s="4011"/>
      <c r="L67" s="4012"/>
      <c r="M67" s="4019"/>
      <c r="N67" s="4019"/>
      <c r="O67" s="3611"/>
      <c r="P67" s="4014"/>
      <c r="Q67" s="4015"/>
      <c r="R67" s="4014"/>
      <c r="S67" s="4020"/>
      <c r="T67" s="4021" t="s">
        <v>192</v>
      </c>
      <c r="U67" s="3602"/>
      <c r="V67" s="3602"/>
      <c r="W67" s="3602"/>
      <c r="X67" s="3602"/>
      <c r="Y67" s="3602"/>
      <c r="Z67" s="3602"/>
      <c r="AA67" s="3602"/>
      <c r="AB67" s="3602"/>
      <c r="AC67" s="3602"/>
      <c r="AD67" s="3602"/>
      <c r="AE67" s="3602"/>
      <c r="AF67" s="3602"/>
      <c r="AG67" s="3602"/>
      <c r="AH67" s="3602"/>
      <c r="AI67" s="3602"/>
      <c r="AJ67" s="3602"/>
      <c r="AK67" s="3602"/>
      <c r="AL67" s="3602"/>
      <c r="AM67" s="3602"/>
      <c r="AN67" s="3602"/>
      <c r="AO67" s="3602"/>
      <c r="AP67" s="3602"/>
      <c r="AQ67" s="3602"/>
      <c r="AR67" s="3602"/>
      <c r="AS67" s="3602"/>
      <c r="AT67" s="3602"/>
      <c r="AU67" s="3602"/>
      <c r="AV67" s="3602"/>
      <c r="AW67" s="3602"/>
      <c r="AX67" s="3602"/>
      <c r="AY67" s="3602"/>
      <c r="AZ67" s="3602"/>
      <c r="BA67" s="3602"/>
      <c r="BB67" s="3602"/>
      <c r="BC67" s="3602"/>
      <c r="BD67" s="3602"/>
      <c r="BE67" s="3602"/>
      <c r="BF67" s="3602"/>
      <c r="BG67" s="3602"/>
      <c r="BH67" s="3602"/>
      <c r="BI67" s="3602"/>
      <c r="BJ67" s="3602"/>
      <c r="BK67" s="3602"/>
      <c r="BL67" s="3602"/>
      <c r="BM67" s="3602"/>
      <c r="BN67" s="3602"/>
      <c r="BO67" s="3602"/>
      <c r="BP67" s="3602"/>
      <c r="BQ67" s="3602"/>
      <c r="BR67" s="3602"/>
      <c r="BS67" s="3602"/>
      <c r="BT67" s="3602"/>
      <c r="BU67" s="3602"/>
      <c r="BV67" s="3602"/>
      <c r="BW67" s="3602"/>
      <c r="BX67" s="3602"/>
      <c r="BY67" s="3602"/>
      <c r="BZ67" s="3602"/>
      <c r="CA67" s="3602"/>
      <c r="CB67" s="3602"/>
      <c r="CC67" s="3602"/>
      <c r="CD67" s="3602"/>
      <c r="CE67" s="3602"/>
      <c r="CF67" s="3602"/>
      <c r="CG67" s="3602"/>
      <c r="CH67" s="3602"/>
      <c r="CI67" s="3602"/>
      <c r="CJ67" s="3602"/>
      <c r="CK67" s="3602"/>
      <c r="CL67" s="3602"/>
      <c r="CM67" s="3602"/>
      <c r="CN67" s="3602"/>
      <c r="CO67" s="3602"/>
      <c r="CP67" s="3602"/>
      <c r="CQ67" s="3602"/>
      <c r="CR67" s="3602"/>
      <c r="CS67" s="3602"/>
      <c r="CT67" s="3602"/>
      <c r="CU67" s="3602"/>
      <c r="CV67" s="3602"/>
      <c r="CW67" s="3602"/>
      <c r="CX67" s="3602"/>
      <c r="CY67" s="3602"/>
      <c r="CZ67" s="3602"/>
      <c r="DA67" s="3602"/>
      <c r="DB67" s="3602"/>
      <c r="DC67" s="3602"/>
      <c r="DD67" s="3602"/>
      <c r="DE67" s="3602"/>
      <c r="DF67" s="3602"/>
      <c r="DG67" s="3602"/>
      <c r="DH67" s="3611"/>
      <c r="DI67" s="3790"/>
      <c r="DJ67" s="3790" t="str">
        <f>IF(T67="","",T67)</f>
        <v>Добавить централизованную систему для дифференциации</v>
      </c>
      <c r="DK67" s="3790"/>
      <c r="DL67" s="3790"/>
    </row>
    <row s="4022" customFormat="1" customHeight="1" ht="21">
      <c r="A68" s="3778"/>
      <c r="B68" s="3778" t="s">
        <v>198</v>
      </c>
      <c r="C68" s="3778"/>
      <c r="D68" s="3778"/>
      <c r="E68" s="3779"/>
      <c r="F68" s="3780" t="s">
        <v>89</v>
      </c>
      <c r="G68" s="3778"/>
      <c r="H68" s="3778"/>
      <c r="I68" s="3778"/>
      <c r="J68" s="3778"/>
      <c r="K68" s="3778"/>
      <c r="L68" s="3781"/>
      <c r="M68" s="3782"/>
      <c r="N68" s="3782"/>
      <c r="O68" s="3782"/>
      <c r="P68" s="3783"/>
      <c r="Q68" s="3784"/>
      <c r="R68" s="3785"/>
      <c r="S68" s="3786" t="str">
        <f>INDEX(PT_DIFFERENTIATION_NUM_TER,MATCH(B68,PT_DIFFERENTIATION_TER_ID,0))</f>
        <v>1.3</v>
      </c>
      <c r="T68" s="3787" t="s">
        <v>444</v>
      </c>
      <c r="U68" s="3788"/>
      <c r="V68" s="3430"/>
      <c r="W68" s="3431"/>
      <c r="X68" s="3431"/>
      <c r="Y68" s="3431"/>
      <c r="Z68" s="3431"/>
      <c r="AA68" s="3431"/>
      <c r="AB68" s="3431"/>
      <c r="AC68" s="3432"/>
      <c r="AD68" s="3430" t="str">
        <f>INDEX(PT_DIFFERENTIATION_TER,MATCH(B68,PT_DIFFERENTIATION_TER_ID,0))</f>
        <v>Территория 3</v>
      </c>
      <c r="AE68" s="3431"/>
      <c r="AF68" s="3431"/>
      <c r="AG68" s="3431"/>
      <c r="AH68" s="3431"/>
      <c r="AI68" s="3431"/>
      <c r="AJ68" s="3431"/>
      <c r="AK68" s="3431"/>
      <c r="AL68" s="3430"/>
      <c r="AM68" s="3431"/>
      <c r="AN68" s="3431"/>
      <c r="AO68" s="3431"/>
      <c r="AP68" s="3431"/>
      <c r="AQ68" s="3431"/>
      <c r="AR68" s="3431"/>
      <c r="AS68" s="3432"/>
      <c r="AT68" s="3430"/>
      <c r="AU68" s="3431"/>
      <c r="AV68" s="3431"/>
      <c r="AW68" s="3431"/>
      <c r="AX68" s="3431"/>
      <c r="AY68" s="3431"/>
      <c r="AZ68" s="3431"/>
      <c r="BA68" s="3432"/>
      <c r="BB68" s="3430"/>
      <c r="BC68" s="3431"/>
      <c r="BD68" s="3431"/>
      <c r="BE68" s="3431"/>
      <c r="BF68" s="3431"/>
      <c r="BG68" s="3431"/>
      <c r="BH68" s="3431"/>
      <c r="BI68" s="3432"/>
      <c r="BJ68" s="3430"/>
      <c r="BK68" s="3431"/>
      <c r="BL68" s="3431"/>
      <c r="BM68" s="3431"/>
      <c r="BN68" s="3431"/>
      <c r="BO68" s="3431"/>
      <c r="BP68" s="3431"/>
      <c r="BQ68" s="3432"/>
      <c r="BR68" s="3430"/>
      <c r="BS68" s="3431"/>
      <c r="BT68" s="3431"/>
      <c r="BU68" s="3431"/>
      <c r="BV68" s="3431"/>
      <c r="BW68" s="3431"/>
      <c r="BX68" s="3431"/>
      <c r="BY68" s="3432"/>
      <c r="BZ68" s="3430"/>
      <c r="CA68" s="3431"/>
      <c r="CB68" s="3431"/>
      <c r="CC68" s="3431"/>
      <c r="CD68" s="3431"/>
      <c r="CE68" s="3431"/>
      <c r="CF68" s="3431"/>
      <c r="CG68" s="3432"/>
      <c r="CH68" s="3430"/>
      <c r="CI68" s="3431"/>
      <c r="CJ68" s="3431"/>
      <c r="CK68" s="3431"/>
      <c r="CL68" s="3431"/>
      <c r="CM68" s="3431"/>
      <c r="CN68" s="3431"/>
      <c r="CO68" s="3432"/>
      <c r="CP68" s="3430"/>
      <c r="CQ68" s="3431"/>
      <c r="CR68" s="3431"/>
      <c r="CS68" s="3431"/>
      <c r="CT68" s="3431"/>
      <c r="CU68" s="3431"/>
      <c r="CV68" s="3431"/>
      <c r="CW68" s="3432"/>
      <c r="CX68" s="3430"/>
      <c r="CY68" s="3431"/>
      <c r="CZ68" s="3431"/>
      <c r="DA68" s="3431"/>
      <c r="DB68" s="3431"/>
      <c r="DC68" s="3431"/>
      <c r="DD68" s="3431"/>
      <c r="DE68" s="3432"/>
      <c r="DF68" s="3432"/>
      <c r="DG68" s="3789" t="s">
        <v>445</v>
      </c>
      <c r="DH68" s="3611"/>
      <c r="DI68" s="3790"/>
      <c r="DJ68" s="3790" t="str">
        <f>IF(T68="","",T68)</f>
        <v>Территория действия тарифа</v>
      </c>
      <c r="DK68" s="3790"/>
      <c r="DL68" s="3790"/>
    </row>
    <row s="4023" customFormat="1" customHeight="1" ht="23.25">
      <c r="A69" s="3778"/>
      <c r="B69" s="3778"/>
      <c r="C69" s="3778" t="s">
        <v>199</v>
      </c>
      <c r="D69" s="3778"/>
      <c r="E69" s="3779"/>
      <c r="F69" s="3779" t="s">
        <v>102</v>
      </c>
      <c r="G69" s="3780">
        <v>1</v>
      </c>
      <c r="H69" s="3778"/>
      <c r="I69" s="3778"/>
      <c r="J69" s="3778"/>
      <c r="K69" s="3778"/>
      <c r="L69" s="3781"/>
      <c r="M69" s="3782"/>
      <c r="N69" s="3782"/>
      <c r="O69" s="3782"/>
      <c r="P69" s="3792"/>
      <c r="Q69" s="3784"/>
      <c r="R69" s="3785"/>
      <c r="S69" s="3786" t="str">
        <f>INDEX(PT_DIFFERENTIATION_NUM_CS,MATCH(C69,PT_DIFFERENTIATION_CS_ID,0))</f>
        <v>1.3.1</v>
      </c>
      <c r="T69" s="3793" t="s">
        <v>446</v>
      </c>
      <c r="U69" s="3788"/>
      <c r="V69" s="3430"/>
      <c r="W69" s="3431"/>
      <c r="X69" s="3431"/>
      <c r="Y69" s="3431"/>
      <c r="Z69" s="3431"/>
      <c r="AA69" s="3431"/>
      <c r="AB69" s="3431"/>
      <c r="AC69" s="3432"/>
      <c r="AD69" s="3430" t="str">
        <f>INDEX(PT_DIFFERENTIATION_CS,MATCH(C69,PT_DIFFERENTIATION_CS_ID,0))</f>
        <v>без дифференциации</v>
      </c>
      <c r="AE69" s="3431"/>
      <c r="AF69" s="3431"/>
      <c r="AG69" s="3431"/>
      <c r="AH69" s="3431"/>
      <c r="AI69" s="3431"/>
      <c r="AJ69" s="3431"/>
      <c r="AK69" s="3431"/>
      <c r="AL69" s="3430"/>
      <c r="AM69" s="3431"/>
      <c r="AN69" s="3431"/>
      <c r="AO69" s="3431"/>
      <c r="AP69" s="3431"/>
      <c r="AQ69" s="3431"/>
      <c r="AR69" s="3431"/>
      <c r="AS69" s="3432"/>
      <c r="AT69" s="3430"/>
      <c r="AU69" s="3431"/>
      <c r="AV69" s="3431"/>
      <c r="AW69" s="3431"/>
      <c r="AX69" s="3431"/>
      <c r="AY69" s="3431"/>
      <c r="AZ69" s="3431"/>
      <c r="BA69" s="3432"/>
      <c r="BB69" s="3430"/>
      <c r="BC69" s="3431"/>
      <c r="BD69" s="3431"/>
      <c r="BE69" s="3431"/>
      <c r="BF69" s="3431"/>
      <c r="BG69" s="3431"/>
      <c r="BH69" s="3431"/>
      <c r="BI69" s="3432"/>
      <c r="BJ69" s="3430"/>
      <c r="BK69" s="3431"/>
      <c r="BL69" s="3431"/>
      <c r="BM69" s="3431"/>
      <c r="BN69" s="3431"/>
      <c r="BO69" s="3431"/>
      <c r="BP69" s="3431"/>
      <c r="BQ69" s="3432"/>
      <c r="BR69" s="3430"/>
      <c r="BS69" s="3431"/>
      <c r="BT69" s="3431"/>
      <c r="BU69" s="3431"/>
      <c r="BV69" s="3431"/>
      <c r="BW69" s="3431"/>
      <c r="BX69" s="3431"/>
      <c r="BY69" s="3432"/>
      <c r="BZ69" s="3430"/>
      <c r="CA69" s="3431"/>
      <c r="CB69" s="3431"/>
      <c r="CC69" s="3431"/>
      <c r="CD69" s="3431"/>
      <c r="CE69" s="3431"/>
      <c r="CF69" s="3431"/>
      <c r="CG69" s="3432"/>
      <c r="CH69" s="3430"/>
      <c r="CI69" s="3431"/>
      <c r="CJ69" s="3431"/>
      <c r="CK69" s="3431"/>
      <c r="CL69" s="3431"/>
      <c r="CM69" s="3431"/>
      <c r="CN69" s="3431"/>
      <c r="CO69" s="3432"/>
      <c r="CP69" s="3430"/>
      <c r="CQ69" s="3431"/>
      <c r="CR69" s="3431"/>
      <c r="CS69" s="3431"/>
      <c r="CT69" s="3431"/>
      <c r="CU69" s="3431"/>
      <c r="CV69" s="3431"/>
      <c r="CW69" s="3432"/>
      <c r="CX69" s="3430"/>
      <c r="CY69" s="3431"/>
      <c r="CZ69" s="3431"/>
      <c r="DA69" s="3431"/>
      <c r="DB69" s="3431"/>
      <c r="DC69" s="3431"/>
      <c r="DD69" s="3431"/>
      <c r="DE69" s="3432"/>
      <c r="DF69" s="3432"/>
      <c r="DG69" s="3789" t="s">
        <v>447</v>
      </c>
      <c r="DH69" s="3611"/>
      <c r="DI69" s="3790"/>
      <c r="DJ69" s="3790" t="str">
        <f>IF(T69="","",T69)</f>
        <v>Наименование системы теплоснабжения </v>
      </c>
      <c r="DK69" s="3790"/>
      <c r="DL69" s="3790"/>
    </row>
    <row s="4024" customFormat="1" customHeight="1" ht="21">
      <c r="A70" s="3778"/>
      <c r="B70" s="3778"/>
      <c r="C70" s="3778"/>
      <c r="D70" s="3778" t="s">
        <v>200</v>
      </c>
      <c r="E70" s="3779"/>
      <c r="F70" s="3779" t="s">
        <v>102</v>
      </c>
      <c r="G70" s="3779"/>
      <c r="H70" s="3780">
        <v>1</v>
      </c>
      <c r="I70" s="3778"/>
      <c r="J70" s="3778"/>
      <c r="K70" s="3778"/>
      <c r="L70" s="3781"/>
      <c r="M70" s="3782"/>
      <c r="N70" s="3782"/>
      <c r="O70" s="3782"/>
      <c r="P70" s="3792"/>
      <c r="Q70" s="3784"/>
      <c r="R70" s="3785"/>
      <c r="S70" s="3786" t="str">
        <f>INDEX(PT_DIFFERENTIATION_NUM_IST_TE,MATCH(D70,PT_DIFFERENTIATION_IST_TE_ID,0))</f>
        <v>1.3.1.1</v>
      </c>
      <c r="T70" s="3795" t="s">
        <v>448</v>
      </c>
      <c r="U70" s="3788"/>
      <c r="V70" s="3430"/>
      <c r="W70" s="3431"/>
      <c r="X70" s="3431"/>
      <c r="Y70" s="3431"/>
      <c r="Z70" s="3431"/>
      <c r="AA70" s="3431"/>
      <c r="AB70" s="3431"/>
      <c r="AC70" s="3432"/>
      <c r="AD70" s="3430" t="str">
        <f>INDEX(PT_DIFFERENTIATION_IST_TE,MATCH(D70,PT_DIFFERENTIATION_IST_TE_ID,0))</f>
        <v>гп Никель</v>
      </c>
      <c r="AE70" s="3431"/>
      <c r="AF70" s="3431"/>
      <c r="AG70" s="3431"/>
      <c r="AH70" s="3431"/>
      <c r="AI70" s="3431"/>
      <c r="AJ70" s="3431"/>
      <c r="AK70" s="3431"/>
      <c r="AL70" s="3430"/>
      <c r="AM70" s="3431"/>
      <c r="AN70" s="3431"/>
      <c r="AO70" s="3431"/>
      <c r="AP70" s="3431"/>
      <c r="AQ70" s="3431"/>
      <c r="AR70" s="3431"/>
      <c r="AS70" s="3432"/>
      <c r="AT70" s="3430"/>
      <c r="AU70" s="3431"/>
      <c r="AV70" s="3431"/>
      <c r="AW70" s="3431"/>
      <c r="AX70" s="3431"/>
      <c r="AY70" s="3431"/>
      <c r="AZ70" s="3431"/>
      <c r="BA70" s="3432"/>
      <c r="BB70" s="3430"/>
      <c r="BC70" s="3431"/>
      <c r="BD70" s="3431"/>
      <c r="BE70" s="3431"/>
      <c r="BF70" s="3431"/>
      <c r="BG70" s="3431"/>
      <c r="BH70" s="3431"/>
      <c r="BI70" s="3432"/>
      <c r="BJ70" s="3430"/>
      <c r="BK70" s="3431"/>
      <c r="BL70" s="3431"/>
      <c r="BM70" s="3431"/>
      <c r="BN70" s="3431"/>
      <c r="BO70" s="3431"/>
      <c r="BP70" s="3431"/>
      <c r="BQ70" s="3432"/>
      <c r="BR70" s="3430"/>
      <c r="BS70" s="3431"/>
      <c r="BT70" s="3431"/>
      <c r="BU70" s="3431"/>
      <c r="BV70" s="3431"/>
      <c r="BW70" s="3431"/>
      <c r="BX70" s="3431"/>
      <c r="BY70" s="3432"/>
      <c r="BZ70" s="3430"/>
      <c r="CA70" s="3431"/>
      <c r="CB70" s="3431"/>
      <c r="CC70" s="3431"/>
      <c r="CD70" s="3431"/>
      <c r="CE70" s="3431"/>
      <c r="CF70" s="3431"/>
      <c r="CG70" s="3432"/>
      <c r="CH70" s="3430"/>
      <c r="CI70" s="3431"/>
      <c r="CJ70" s="3431"/>
      <c r="CK70" s="3431"/>
      <c r="CL70" s="3431"/>
      <c r="CM70" s="3431"/>
      <c r="CN70" s="3431"/>
      <c r="CO70" s="3432"/>
      <c r="CP70" s="3430"/>
      <c r="CQ70" s="3431"/>
      <c r="CR70" s="3431"/>
      <c r="CS70" s="3431"/>
      <c r="CT70" s="3431"/>
      <c r="CU70" s="3431"/>
      <c r="CV70" s="3431"/>
      <c r="CW70" s="3432"/>
      <c r="CX70" s="3430"/>
      <c r="CY70" s="3431"/>
      <c r="CZ70" s="3431"/>
      <c r="DA70" s="3431"/>
      <c r="DB70" s="3431"/>
      <c r="DC70" s="3431"/>
      <c r="DD70" s="3431"/>
      <c r="DE70" s="3432"/>
      <c r="DF70" s="3432"/>
      <c r="DG70" s="3789" t="s">
        <v>449</v>
      </c>
      <c r="DH70" s="3611"/>
      <c r="DI70" s="3790"/>
      <c r="DJ70" s="3790" t="str">
        <f>IF(T70="","",T70)</f>
        <v>Источник тепловой энергии  </v>
      </c>
      <c r="DK70" s="3790"/>
      <c r="DL70" s="3790"/>
    </row>
    <row s="4025" customFormat="1" customHeight="1" ht="14.25">
      <c r="A71" s="3778"/>
      <c r="B71" s="3778"/>
      <c r="C71" s="3778"/>
      <c r="D71" s="3778"/>
      <c r="E71" s="3779"/>
      <c r="F71" s="3779" t="s">
        <v>102</v>
      </c>
      <c r="G71" s="3779"/>
      <c r="H71" s="3779"/>
      <c r="I71" s="3797" t="str">
        <f>S70&amp;".1"</f>
        <v>1.3.1.1.1</v>
      </c>
      <c r="J71" s="3778"/>
      <c r="K71" s="3778"/>
      <c r="L71" s="3781" t="s">
        <v>450</v>
      </c>
      <c r="M71" s="3603"/>
      <c r="N71" s="3798"/>
      <c r="O71" s="3798"/>
      <c r="P71" s="3799">
        <v>1</v>
      </c>
      <c r="Q71" s="3799"/>
      <c r="R71" s="3800"/>
      <c r="S71" s="3801"/>
      <c r="T71" s="3802"/>
      <c r="U71" s="3803"/>
      <c r="V71" s="3439"/>
      <c r="W71" s="3440"/>
      <c r="X71" s="3440"/>
      <c r="Y71" s="3440"/>
      <c r="Z71" s="3440"/>
      <c r="AA71" s="3440"/>
      <c r="AB71" s="3440"/>
      <c r="AC71" s="3441"/>
      <c r="AD71" s="3439"/>
      <c r="AE71" s="3440"/>
      <c r="AF71" s="3440"/>
      <c r="AG71" s="3440"/>
      <c r="AH71" s="3440"/>
      <c r="AI71" s="3440"/>
      <c r="AJ71" s="3440"/>
      <c r="AK71" s="3440"/>
      <c r="AL71" s="3439"/>
      <c r="AM71" s="3440"/>
      <c r="AN71" s="3440"/>
      <c r="AO71" s="3440"/>
      <c r="AP71" s="3440"/>
      <c r="AQ71" s="3440"/>
      <c r="AR71" s="3440"/>
      <c r="AS71" s="3441"/>
      <c r="AT71" s="3439"/>
      <c r="AU71" s="3440"/>
      <c r="AV71" s="3440"/>
      <c r="AW71" s="3440"/>
      <c r="AX71" s="3440"/>
      <c r="AY71" s="3440"/>
      <c r="AZ71" s="3440"/>
      <c r="BA71" s="3441"/>
      <c r="BB71" s="3439"/>
      <c r="BC71" s="3440"/>
      <c r="BD71" s="3440"/>
      <c r="BE71" s="3440"/>
      <c r="BF71" s="3440"/>
      <c r="BG71" s="3440"/>
      <c r="BH71" s="3440"/>
      <c r="BI71" s="3441"/>
      <c r="BJ71" s="3439"/>
      <c r="BK71" s="3440"/>
      <c r="BL71" s="3440"/>
      <c r="BM71" s="3440"/>
      <c r="BN71" s="3440"/>
      <c r="BO71" s="3440"/>
      <c r="BP71" s="3440"/>
      <c r="BQ71" s="3441"/>
      <c r="BR71" s="3439"/>
      <c r="BS71" s="3440"/>
      <c r="BT71" s="3440"/>
      <c r="BU71" s="3440"/>
      <c r="BV71" s="3440"/>
      <c r="BW71" s="3440"/>
      <c r="BX71" s="3440"/>
      <c r="BY71" s="3441"/>
      <c r="BZ71" s="3439"/>
      <c r="CA71" s="3440"/>
      <c r="CB71" s="3440"/>
      <c r="CC71" s="3440"/>
      <c r="CD71" s="3440"/>
      <c r="CE71" s="3440"/>
      <c r="CF71" s="3440"/>
      <c r="CG71" s="3441"/>
      <c r="CH71" s="3439"/>
      <c r="CI71" s="3440"/>
      <c r="CJ71" s="3440"/>
      <c r="CK71" s="3440"/>
      <c r="CL71" s="3440"/>
      <c r="CM71" s="3440"/>
      <c r="CN71" s="3440"/>
      <c r="CO71" s="3441"/>
      <c r="CP71" s="3439"/>
      <c r="CQ71" s="3440"/>
      <c r="CR71" s="3440"/>
      <c r="CS71" s="3440"/>
      <c r="CT71" s="3440"/>
      <c r="CU71" s="3440"/>
      <c r="CV71" s="3440"/>
      <c r="CW71" s="3441"/>
      <c r="CX71" s="3439"/>
      <c r="CY71" s="3440"/>
      <c r="CZ71" s="3440"/>
      <c r="DA71" s="3440"/>
      <c r="DB71" s="3440"/>
      <c r="DC71" s="3440"/>
      <c r="DD71" s="3440"/>
      <c r="DE71" s="3441"/>
      <c r="DF71" s="3441"/>
      <c r="DG71" s="3804"/>
      <c r="DH71" s="3611"/>
      <c r="DI71" s="3790"/>
      <c r="DJ71" s="3790" t="str">
        <f>IF(T71="","",T71)</f>
        <v/>
      </c>
      <c r="DK71" s="3790"/>
      <c r="DL71" s="3790"/>
    </row>
    <row s="4026" customFormat="1" customHeight="1" ht="21">
      <c r="A72" s="3778"/>
      <c r="B72" s="3778"/>
      <c r="C72" s="3778"/>
      <c r="D72" s="3778"/>
      <c r="E72" s="3779"/>
      <c r="F72" s="3779" t="s">
        <v>102</v>
      </c>
      <c r="G72" s="3779"/>
      <c r="H72" s="3779"/>
      <c r="I72" s="3806"/>
      <c r="J72" s="3797" t="str">
        <f>I71&amp;".1"</f>
        <v>1.3.1.1.1.1</v>
      </c>
      <c r="K72" s="3778"/>
      <c r="L72" s="3781" t="s">
        <v>453</v>
      </c>
      <c r="M72" s="3603"/>
      <c r="N72" s="3603"/>
      <c r="O72" s="3798"/>
      <c r="P72" s="3799"/>
      <c r="Q72" s="3799">
        <v>1</v>
      </c>
      <c r="R72" s="3807"/>
      <c r="S72" s="3786" t="str">
        <f>$J72</f>
        <v>1.3.1.1.1.1</v>
      </c>
      <c r="T72" s="3808" t="s">
        <v>454</v>
      </c>
      <c r="U72" s="3788"/>
      <c r="V72" s="3443"/>
      <c r="W72" s="3444"/>
      <c r="X72" s="3444"/>
      <c r="Y72" s="3444"/>
      <c r="Z72" s="3444"/>
      <c r="AA72" s="3444"/>
      <c r="AB72" s="3444"/>
      <c r="AC72" s="3445"/>
      <c r="AD72" s="3443" t="s">
        <v>494</v>
      </c>
      <c r="AE72" s="3444"/>
      <c r="AF72" s="3444"/>
      <c r="AG72" s="3444"/>
      <c r="AH72" s="3444"/>
      <c r="AI72" s="3444"/>
      <c r="AJ72" s="3444"/>
      <c r="AK72" s="3444"/>
      <c r="AL72" s="3443"/>
      <c r="AM72" s="3444"/>
      <c r="AN72" s="3444"/>
      <c r="AO72" s="3444"/>
      <c r="AP72" s="3444"/>
      <c r="AQ72" s="3444"/>
      <c r="AR72" s="3444"/>
      <c r="AS72" s="3445"/>
      <c r="AT72" s="3443"/>
      <c r="AU72" s="3444"/>
      <c r="AV72" s="3444"/>
      <c r="AW72" s="3444"/>
      <c r="AX72" s="3444"/>
      <c r="AY72" s="3444"/>
      <c r="AZ72" s="3444"/>
      <c r="BA72" s="3445"/>
      <c r="BB72" s="3443"/>
      <c r="BC72" s="3444"/>
      <c r="BD72" s="3444"/>
      <c r="BE72" s="3444"/>
      <c r="BF72" s="3444"/>
      <c r="BG72" s="3444"/>
      <c r="BH72" s="3444"/>
      <c r="BI72" s="3445"/>
      <c r="BJ72" s="3443"/>
      <c r="BK72" s="3444"/>
      <c r="BL72" s="3444"/>
      <c r="BM72" s="3444"/>
      <c r="BN72" s="3444"/>
      <c r="BO72" s="3444"/>
      <c r="BP72" s="3444"/>
      <c r="BQ72" s="3445"/>
      <c r="BR72" s="3443"/>
      <c r="BS72" s="3444"/>
      <c r="BT72" s="3444"/>
      <c r="BU72" s="3444"/>
      <c r="BV72" s="3444"/>
      <c r="BW72" s="3444"/>
      <c r="BX72" s="3444"/>
      <c r="BY72" s="3445"/>
      <c r="BZ72" s="3443"/>
      <c r="CA72" s="3444"/>
      <c r="CB72" s="3444"/>
      <c r="CC72" s="3444"/>
      <c r="CD72" s="3444"/>
      <c r="CE72" s="3444"/>
      <c r="CF72" s="3444"/>
      <c r="CG72" s="3445"/>
      <c r="CH72" s="3443"/>
      <c r="CI72" s="3444"/>
      <c r="CJ72" s="3444"/>
      <c r="CK72" s="3444"/>
      <c r="CL72" s="3444"/>
      <c r="CM72" s="3444"/>
      <c r="CN72" s="3444"/>
      <c r="CO72" s="3445"/>
      <c r="CP72" s="3443"/>
      <c r="CQ72" s="3444"/>
      <c r="CR72" s="3444"/>
      <c r="CS72" s="3444"/>
      <c r="CT72" s="3444"/>
      <c r="CU72" s="3444"/>
      <c r="CV72" s="3444"/>
      <c r="CW72" s="3445"/>
      <c r="CX72" s="3443"/>
      <c r="CY72" s="3444"/>
      <c r="CZ72" s="3444"/>
      <c r="DA72" s="3444"/>
      <c r="DB72" s="3444"/>
      <c r="DC72" s="3444"/>
      <c r="DD72" s="3444"/>
      <c r="DE72" s="3445"/>
      <c r="DF72" s="3445"/>
      <c r="DG72" s="3789" t="s">
        <v>455</v>
      </c>
      <c r="DH72" s="3611"/>
      <c r="DI72" s="3790"/>
      <c r="DJ72" s="3790" t="str">
        <f>IF(T72="","",T72)</f>
        <v>Группа потребителей</v>
      </c>
      <c r="DK72" s="3790"/>
      <c r="DL72" s="3790"/>
    </row>
    <row s="4027" customFormat="1" customHeight="1" ht="21">
      <c r="A73" s="3778"/>
      <c r="B73" s="3778"/>
      <c r="C73" s="3778"/>
      <c r="D73" s="3778"/>
      <c r="E73" s="3779"/>
      <c r="F73" s="3779" t="s">
        <v>102</v>
      </c>
      <c r="G73" s="3779"/>
      <c r="H73" s="3779"/>
      <c r="I73" s="3806"/>
      <c r="J73" s="3806"/>
      <c r="K73" s="3797" t="str">
        <f>J72&amp;".1"</f>
        <v>1.3.1.1.1.1.1</v>
      </c>
      <c r="L73" s="3781" t="s">
        <v>456</v>
      </c>
      <c r="M73" s="3603"/>
      <c r="N73" s="3603"/>
      <c r="O73" s="3603"/>
      <c r="P73" s="3799"/>
      <c r="Q73" s="3799"/>
      <c r="R73" s="3807">
        <v>1</v>
      </c>
      <c r="S73" s="3786" t="str">
        <f>$K73</f>
        <v>1.3.1.1.1.1.1</v>
      </c>
      <c r="T73" s="3810" t="s">
        <v>495</v>
      </c>
      <c r="U73" s="3788"/>
      <c r="V73" s="3446"/>
      <c r="W73" s="3447"/>
      <c r="X73" s="3446"/>
      <c r="Y73" s="3448"/>
      <c r="Z73" s="3449"/>
      <c r="AA73" s="2872" t="s">
        <v>61</v>
      </c>
      <c r="AB73" s="3449"/>
      <c r="AC73" s="2872" t="s">
        <v>61</v>
      </c>
      <c r="AD73" s="3446">
        <v>24.09</v>
      </c>
      <c r="AE73" s="3447"/>
      <c r="AF73" s="3446"/>
      <c r="AG73" s="3448"/>
      <c r="AH73" s="3449">
        <v>45292</v>
      </c>
      <c r="AI73" s="2872" t="s">
        <v>61</v>
      </c>
      <c r="AJ73" s="3449">
        <v>45473</v>
      </c>
      <c r="AK73" s="2872" t="s">
        <v>61</v>
      </c>
      <c r="AL73" s="3446">
        <v>27.34</v>
      </c>
      <c r="AM73" s="3447"/>
      <c r="AN73" s="3446"/>
      <c r="AO73" s="3448"/>
      <c r="AP73" s="3449">
        <v>45474</v>
      </c>
      <c r="AQ73" s="2872" t="s">
        <v>61</v>
      </c>
      <c r="AR73" s="3449">
        <v>45657</v>
      </c>
      <c r="AS73" s="2872" t="s">
        <v>61</v>
      </c>
      <c r="AT73" s="3446">
        <v>24.39</v>
      </c>
      <c r="AU73" s="3447"/>
      <c r="AV73" s="3446"/>
      <c r="AW73" s="3448"/>
      <c r="AX73" s="3449">
        <v>45658</v>
      </c>
      <c r="AY73" s="2872" t="s">
        <v>61</v>
      </c>
      <c r="AZ73" s="3449">
        <v>45838</v>
      </c>
      <c r="BA73" s="2872" t="s">
        <v>61</v>
      </c>
      <c r="BB73" s="3446">
        <v>24.57</v>
      </c>
      <c r="BC73" s="3447"/>
      <c r="BD73" s="3446"/>
      <c r="BE73" s="3448"/>
      <c r="BF73" s="3449">
        <v>45839</v>
      </c>
      <c r="BG73" s="2872" t="s">
        <v>61</v>
      </c>
      <c r="BH73" s="3449">
        <v>46022</v>
      </c>
      <c r="BI73" s="2872" t="s">
        <v>61</v>
      </c>
      <c r="BJ73" s="3446">
        <v>24.57</v>
      </c>
      <c r="BK73" s="3447"/>
      <c r="BL73" s="3446"/>
      <c r="BM73" s="3448"/>
      <c r="BN73" s="3449">
        <v>46023</v>
      </c>
      <c r="BO73" s="2872" t="s">
        <v>61</v>
      </c>
      <c r="BP73" s="3449">
        <v>46203</v>
      </c>
      <c r="BQ73" s="2872" t="s">
        <v>61</v>
      </c>
      <c r="BR73" s="3446">
        <v>25.72</v>
      </c>
      <c r="BS73" s="3447"/>
      <c r="BT73" s="3446"/>
      <c r="BU73" s="3448"/>
      <c r="BV73" s="3449">
        <v>46204</v>
      </c>
      <c r="BW73" s="2872" t="s">
        <v>61</v>
      </c>
      <c r="BX73" s="3449">
        <v>46387</v>
      </c>
      <c r="BY73" s="2872" t="s">
        <v>61</v>
      </c>
      <c r="BZ73" s="3446">
        <v>25.72</v>
      </c>
      <c r="CA73" s="3447"/>
      <c r="CB73" s="3446"/>
      <c r="CC73" s="3448"/>
      <c r="CD73" s="3449">
        <v>46388</v>
      </c>
      <c r="CE73" s="2872" t="s">
        <v>61</v>
      </c>
      <c r="CF73" s="3449">
        <v>46568</v>
      </c>
      <c r="CG73" s="2872" t="s">
        <v>61</v>
      </c>
      <c r="CH73" s="3446">
        <v>26.75</v>
      </c>
      <c r="CI73" s="3447"/>
      <c r="CJ73" s="3446"/>
      <c r="CK73" s="3448"/>
      <c r="CL73" s="3449">
        <v>46569</v>
      </c>
      <c r="CM73" s="2872" t="s">
        <v>61</v>
      </c>
      <c r="CN73" s="3449">
        <v>46752</v>
      </c>
      <c r="CO73" s="2872" t="s">
        <v>61</v>
      </c>
      <c r="CP73" s="3446">
        <v>26.75</v>
      </c>
      <c r="CQ73" s="3447"/>
      <c r="CR73" s="3446"/>
      <c r="CS73" s="3448"/>
      <c r="CT73" s="3449">
        <v>46753</v>
      </c>
      <c r="CU73" s="2872" t="s">
        <v>61</v>
      </c>
      <c r="CV73" s="3449">
        <v>46934</v>
      </c>
      <c r="CW73" s="2872" t="s">
        <v>61</v>
      </c>
      <c r="CX73" s="3446">
        <v>27.82</v>
      </c>
      <c r="CY73" s="3447"/>
      <c r="CZ73" s="3446"/>
      <c r="DA73" s="3448"/>
      <c r="DB73" s="3449">
        <v>46935</v>
      </c>
      <c r="DC73" s="2872" t="s">
        <v>61</v>
      </c>
      <c r="DD73" s="3449">
        <v>47118</v>
      </c>
      <c r="DE73" s="2872" t="s">
        <v>61</v>
      </c>
      <c r="DF73" s="3447"/>
      <c r="DG73" s="3811" t="s">
        <v>457</v>
      </c>
      <c r="DH73" s="3611">
        <f>STRCHECKDATE(V74:DF74)</f>
      </c>
      <c r="DI73" s="3790"/>
      <c r="DJ73" s="3790" t="str">
        <f>IF(T73="","",T73)</f>
        <v>вода</v>
      </c>
      <c r="DK73" s="3790"/>
      <c r="DL73" s="3790"/>
    </row>
    <row s="4028" customFormat="1" customHeight="1" ht="0.75">
      <c r="A74" s="3778"/>
      <c r="B74" s="3778"/>
      <c r="C74" s="3778"/>
      <c r="D74" s="3778"/>
      <c r="E74" s="3779"/>
      <c r="F74" s="3779" t="s">
        <v>102</v>
      </c>
      <c r="G74" s="3779"/>
      <c r="H74" s="3779"/>
      <c r="I74" s="3806"/>
      <c r="J74" s="3806"/>
      <c r="K74" s="3797"/>
      <c r="L74" s="3781"/>
      <c r="M74" s="3603"/>
      <c r="N74" s="3603"/>
      <c r="O74" s="3603"/>
      <c r="P74" s="3799"/>
      <c r="Q74" s="3799"/>
      <c r="R74" s="3807"/>
      <c r="S74" s="3813"/>
      <c r="T74" s="3788"/>
      <c r="U74" s="3788"/>
      <c r="V74" s="3447"/>
      <c r="W74" s="3447"/>
      <c r="X74" s="3447"/>
      <c r="Y74" s="3450" t="str">
        <f>Z73&amp;"-"&amp;AB73</f>
        <v>-</v>
      </c>
      <c r="Z74" s="3451"/>
      <c r="AA74" s="2872"/>
      <c r="AB74" s="3451"/>
      <c r="AC74" s="2872"/>
      <c r="AD74" s="3447"/>
      <c r="AE74" s="3447"/>
      <c r="AF74" s="3447"/>
      <c r="AG74" s="3450" t="str">
        <f>AH73&amp;"-"&amp;AJ73</f>
        <v>45292-45473</v>
      </c>
      <c r="AH74" s="3451"/>
      <c r="AI74" s="2872"/>
      <c r="AJ74" s="3451"/>
      <c r="AK74" s="2872"/>
      <c r="AL74" s="3447"/>
      <c r="AM74" s="3447"/>
      <c r="AN74" s="3447"/>
      <c r="AO74" s="3450" t="str">
        <f>AP73&amp;"-"&amp;AR73</f>
        <v>45474-45657</v>
      </c>
      <c r="AP74" s="3451"/>
      <c r="AQ74" s="2872"/>
      <c r="AR74" s="3451"/>
      <c r="AS74" s="2872"/>
      <c r="AT74" s="3447"/>
      <c r="AU74" s="3447"/>
      <c r="AV74" s="3447"/>
      <c r="AW74" s="3450" t="str">
        <f>AX73&amp;"-"&amp;AZ73</f>
        <v>45658-45838</v>
      </c>
      <c r="AX74" s="3451"/>
      <c r="AY74" s="2872"/>
      <c r="AZ74" s="3451"/>
      <c r="BA74" s="2872"/>
      <c r="BB74" s="3447"/>
      <c r="BC74" s="3447"/>
      <c r="BD74" s="3447"/>
      <c r="BE74" s="3450" t="str">
        <f>BF73&amp;"-"&amp;BH73</f>
        <v>45839-46022</v>
      </c>
      <c r="BF74" s="3451"/>
      <c r="BG74" s="2872"/>
      <c r="BH74" s="3451"/>
      <c r="BI74" s="2872"/>
      <c r="BJ74" s="3447"/>
      <c r="BK74" s="3447"/>
      <c r="BL74" s="3447"/>
      <c r="BM74" s="3450" t="str">
        <f>BN73&amp;"-"&amp;BP73</f>
        <v>46023-46203</v>
      </c>
      <c r="BN74" s="3451"/>
      <c r="BO74" s="2872"/>
      <c r="BP74" s="3451"/>
      <c r="BQ74" s="2872"/>
      <c r="BR74" s="3447"/>
      <c r="BS74" s="3447"/>
      <c r="BT74" s="3447"/>
      <c r="BU74" s="3450" t="str">
        <f>BV73&amp;"-"&amp;BX73</f>
        <v>46204-46387</v>
      </c>
      <c r="BV74" s="3451"/>
      <c r="BW74" s="2872"/>
      <c r="BX74" s="3451"/>
      <c r="BY74" s="2872"/>
      <c r="BZ74" s="3447"/>
      <c r="CA74" s="3447"/>
      <c r="CB74" s="3447"/>
      <c r="CC74" s="3450" t="str">
        <f>CD73&amp;"-"&amp;CF73</f>
        <v>46388-46568</v>
      </c>
      <c r="CD74" s="3451"/>
      <c r="CE74" s="2872"/>
      <c r="CF74" s="3451"/>
      <c r="CG74" s="2872"/>
      <c r="CH74" s="3447"/>
      <c r="CI74" s="3447"/>
      <c r="CJ74" s="3447"/>
      <c r="CK74" s="3450" t="str">
        <f>CL73&amp;"-"&amp;CN73</f>
        <v>46569-46752</v>
      </c>
      <c r="CL74" s="3451"/>
      <c r="CM74" s="2872"/>
      <c r="CN74" s="3451"/>
      <c r="CO74" s="2872"/>
      <c r="CP74" s="3447"/>
      <c r="CQ74" s="3447"/>
      <c r="CR74" s="3447"/>
      <c r="CS74" s="3450" t="str">
        <f>CT73&amp;"-"&amp;CV73</f>
        <v>46753-46934</v>
      </c>
      <c r="CT74" s="3451"/>
      <c r="CU74" s="2872"/>
      <c r="CV74" s="3451"/>
      <c r="CW74" s="2872"/>
      <c r="CX74" s="3447"/>
      <c r="CY74" s="3447"/>
      <c r="CZ74" s="3447"/>
      <c r="DA74" s="3450" t="str">
        <f>DB73&amp;"-"&amp;DD73</f>
        <v>46935-47118</v>
      </c>
      <c r="DB74" s="3451"/>
      <c r="DC74" s="2872"/>
      <c r="DD74" s="3451"/>
      <c r="DE74" s="2872"/>
      <c r="DF74" s="3447"/>
      <c r="DG74" s="3814"/>
      <c r="DH74" s="3611"/>
      <c r="DI74" s="3790"/>
      <c r="DJ74" s="3790" t="str">
        <f>IF(T74="","",T74)</f>
        <v/>
      </c>
      <c r="DK74" s="3790"/>
      <c r="DL74" s="3790"/>
    </row>
    <row s="4029" customFormat="1" customHeight="1" ht="15">
      <c r="A75" s="3778"/>
      <c r="B75" s="3778"/>
      <c r="C75" s="3778"/>
      <c r="D75" s="3778"/>
      <c r="E75" s="3779"/>
      <c r="F75" s="3779" t="s">
        <v>102</v>
      </c>
      <c r="G75" s="3779"/>
      <c r="H75" s="3779"/>
      <c r="I75" s="3806"/>
      <c r="J75" s="3797"/>
      <c r="K75" s="3778"/>
      <c r="L75" s="3781"/>
      <c r="M75" s="3603"/>
      <c r="N75" s="3603"/>
      <c r="O75" s="3798"/>
      <c r="P75" s="3799"/>
      <c r="Q75" s="3799"/>
      <c r="R75" s="3800"/>
      <c r="S75" s="4030"/>
      <c r="T75" s="4031" t="s">
        <v>458</v>
      </c>
      <c r="U75" s="4032"/>
      <c r="V75" s="4033"/>
      <c r="W75" s="4034"/>
      <c r="X75" s="4035"/>
      <c r="Y75" s="4036"/>
      <c r="Z75" s="4037"/>
      <c r="AA75" s="4038"/>
      <c r="AB75" s="4039"/>
      <c r="AC75" s="4040"/>
      <c r="AD75" s="4041"/>
      <c r="AE75" s="4042"/>
      <c r="AF75" s="4043"/>
      <c r="AG75" s="4044"/>
      <c r="AH75" s="4045"/>
      <c r="AI75" s="4046"/>
      <c r="AJ75" s="4047"/>
      <c r="AK75" s="4048"/>
      <c r="AL75" s="4049"/>
      <c r="AM75" s="4050"/>
      <c r="AN75" s="4051"/>
      <c r="AO75" s="4052"/>
      <c r="AP75" s="4053"/>
      <c r="AQ75" s="4054"/>
      <c r="AR75" s="4055"/>
      <c r="AS75" s="4056"/>
      <c r="AT75" s="4057"/>
      <c r="AU75" s="4058"/>
      <c r="AV75" s="4059"/>
      <c r="AW75" s="4060"/>
      <c r="AX75" s="4061"/>
      <c r="AY75" s="4062"/>
      <c r="AZ75" s="4063"/>
      <c r="BA75" s="4064"/>
      <c r="BB75" s="4065"/>
      <c r="BC75" s="4066"/>
      <c r="BD75" s="4067"/>
      <c r="BE75" s="4068"/>
      <c r="BF75" s="4069"/>
      <c r="BG75" s="4070"/>
      <c r="BH75" s="4071"/>
      <c r="BI75" s="4072"/>
      <c r="BJ75" s="4073"/>
      <c r="BK75" s="4074"/>
      <c r="BL75" s="4075"/>
      <c r="BM75" s="4076"/>
      <c r="BN75" s="4077"/>
      <c r="BO75" s="4078"/>
      <c r="BP75" s="4079"/>
      <c r="BQ75" s="4080"/>
      <c r="BR75" s="4081"/>
      <c r="BS75" s="4082"/>
      <c r="BT75" s="4083"/>
      <c r="BU75" s="4084"/>
      <c r="BV75" s="4085"/>
      <c r="BW75" s="4086"/>
      <c r="BX75" s="4087"/>
      <c r="BY75" s="4088"/>
      <c r="BZ75" s="4089"/>
      <c r="CA75" s="4090"/>
      <c r="CB75" s="4091"/>
      <c r="CC75" s="4092"/>
      <c r="CD75" s="4093"/>
      <c r="CE75" s="4094"/>
      <c r="CF75" s="4095"/>
      <c r="CG75" s="4096"/>
      <c r="CH75" s="4097"/>
      <c r="CI75" s="4098"/>
      <c r="CJ75" s="4099"/>
      <c r="CK75" s="4100"/>
      <c r="CL75" s="4101"/>
      <c r="CM75" s="4102"/>
      <c r="CN75" s="4103"/>
      <c r="CO75" s="4104"/>
      <c r="CP75" s="4105"/>
      <c r="CQ75" s="4106"/>
      <c r="CR75" s="4107"/>
      <c r="CS75" s="4108"/>
      <c r="CT75" s="4109"/>
      <c r="CU75" s="4110"/>
      <c r="CV75" s="4111"/>
      <c r="CW75" s="4112"/>
      <c r="CX75" s="4113"/>
      <c r="CY75" s="4114"/>
      <c r="CZ75" s="4115"/>
      <c r="DA75" s="4116"/>
      <c r="DB75" s="4117"/>
      <c r="DC75" s="4118"/>
      <c r="DD75" s="4119"/>
      <c r="DE75" s="4120"/>
      <c r="DF75" s="4121"/>
      <c r="DG75" s="3908"/>
      <c r="DH75" s="3611"/>
      <c r="DI75" s="3790"/>
      <c r="DJ75" s="3790" t="str">
        <f>IF(T75="","",T75)</f>
        <v>Добавить вид теплоносителя (параметры теплоносителя)</v>
      </c>
      <c r="DK75" s="3790"/>
      <c r="DL75" s="3790"/>
    </row>
    <row s="4122" customFormat="1" customHeight="1" ht="15">
      <c r="A76" s="3778"/>
      <c r="B76" s="3778"/>
      <c r="C76" s="3778"/>
      <c r="D76" s="3778"/>
      <c r="E76" s="3779"/>
      <c r="F76" s="3779" t="s">
        <v>102</v>
      </c>
      <c r="G76" s="3779"/>
      <c r="H76" s="3779"/>
      <c r="I76" s="3797"/>
      <c r="J76" s="3778"/>
      <c r="K76" s="3778"/>
      <c r="L76" s="3781"/>
      <c r="M76" s="3603"/>
      <c r="N76" s="3798"/>
      <c r="O76" s="3798"/>
      <c r="P76" s="3799"/>
      <c r="Q76" s="3799"/>
      <c r="R76" s="3800"/>
      <c r="S76" s="4123"/>
      <c r="T76" s="4124" t="s">
        <v>459</v>
      </c>
      <c r="U76" s="4125"/>
      <c r="V76" s="4126"/>
      <c r="W76" s="4127"/>
      <c r="X76" s="4128"/>
      <c r="Y76" s="4129"/>
      <c r="Z76" s="4130"/>
      <c r="AA76" s="4131"/>
      <c r="AB76" s="4132"/>
      <c r="AC76" s="4133"/>
      <c r="AD76" s="4134"/>
      <c r="AE76" s="4135"/>
      <c r="AF76" s="4136"/>
      <c r="AG76" s="4137"/>
      <c r="AH76" s="4138"/>
      <c r="AI76" s="4139"/>
      <c r="AJ76" s="4140"/>
      <c r="AK76" s="4141"/>
      <c r="AL76" s="4142"/>
      <c r="AM76" s="4143"/>
      <c r="AN76" s="4144"/>
      <c r="AO76" s="4145"/>
      <c r="AP76" s="4146"/>
      <c r="AQ76" s="4147"/>
      <c r="AR76" s="4148"/>
      <c r="AS76" s="4149"/>
      <c r="AT76" s="4150"/>
      <c r="AU76" s="4151"/>
      <c r="AV76" s="4152"/>
      <c r="AW76" s="4153"/>
      <c r="AX76" s="4154"/>
      <c r="AY76" s="4155"/>
      <c r="AZ76" s="4156"/>
      <c r="BA76" s="4157"/>
      <c r="BB76" s="4158"/>
      <c r="BC76" s="4159"/>
      <c r="BD76" s="4160"/>
      <c r="BE76" s="4161"/>
      <c r="BF76" s="4162"/>
      <c r="BG76" s="4163"/>
      <c r="BH76" s="4164"/>
      <c r="BI76" s="4165"/>
      <c r="BJ76" s="4166"/>
      <c r="BK76" s="4167"/>
      <c r="BL76" s="4168"/>
      <c r="BM76" s="4169"/>
      <c r="BN76" s="4170"/>
      <c r="BO76" s="4171"/>
      <c r="BP76" s="4172"/>
      <c r="BQ76" s="4173"/>
      <c r="BR76" s="4174"/>
      <c r="BS76" s="4175"/>
      <c r="BT76" s="4176"/>
      <c r="BU76" s="4177"/>
      <c r="BV76" s="4178"/>
      <c r="BW76" s="4179"/>
      <c r="BX76" s="4180"/>
      <c r="BY76" s="4181"/>
      <c r="BZ76" s="4182"/>
      <c r="CA76" s="4183"/>
      <c r="CB76" s="4184"/>
      <c r="CC76" s="4185"/>
      <c r="CD76" s="4186"/>
      <c r="CE76" s="4187"/>
      <c r="CF76" s="4188"/>
      <c r="CG76" s="4189"/>
      <c r="CH76" s="4190"/>
      <c r="CI76" s="4191"/>
      <c r="CJ76" s="4192"/>
      <c r="CK76" s="4193"/>
      <c r="CL76" s="4194"/>
      <c r="CM76" s="4195"/>
      <c r="CN76" s="4196"/>
      <c r="CO76" s="4197"/>
      <c r="CP76" s="4198"/>
      <c r="CQ76" s="4199"/>
      <c r="CR76" s="4200"/>
      <c r="CS76" s="4201"/>
      <c r="CT76" s="4202"/>
      <c r="CU76" s="4203"/>
      <c r="CV76" s="4204"/>
      <c r="CW76" s="4205"/>
      <c r="CX76" s="4206"/>
      <c r="CY76" s="4207"/>
      <c r="CZ76" s="4208"/>
      <c r="DA76" s="4209"/>
      <c r="DB76" s="4210"/>
      <c r="DC76" s="4211"/>
      <c r="DD76" s="4212"/>
      <c r="DE76" s="4213"/>
      <c r="DF76" s="4214"/>
      <c r="DG76" s="4215"/>
      <c r="DH76" s="3611"/>
      <c r="DI76" s="3790"/>
      <c r="DJ76" s="3790" t="str">
        <f>IF(T76="","",T76)</f>
        <v>Добавить группу потребителей</v>
      </c>
      <c r="DK76" s="3790"/>
      <c r="DL76" s="3790"/>
    </row>
    <row s="4216" customFormat="1" customHeight="1" ht="14.25">
      <c r="A77" s="3778"/>
      <c r="B77" s="3778"/>
      <c r="C77" s="3778"/>
      <c r="D77" s="3778"/>
      <c r="E77" s="3779"/>
      <c r="F77" s="3779" t="s">
        <v>102</v>
      </c>
      <c r="G77" s="3779"/>
      <c r="H77" s="3780"/>
      <c r="I77" s="3778"/>
      <c r="J77" s="3778"/>
      <c r="K77" s="3778"/>
      <c r="L77" s="3781"/>
      <c r="M77" s="3782"/>
      <c r="N77" s="3782"/>
      <c r="O77" s="3603"/>
      <c r="P77" s="4004"/>
      <c r="Q77" s="4005"/>
      <c r="R77" s="4006"/>
      <c r="S77" s="4007"/>
      <c r="T77" s="4008"/>
      <c r="U77" s="3599"/>
      <c r="V77" s="3599"/>
      <c r="W77" s="3599"/>
      <c r="X77" s="3599"/>
      <c r="Y77" s="3599"/>
      <c r="Z77" s="3599"/>
      <c r="AA77" s="3599"/>
      <c r="AB77" s="3599"/>
      <c r="AC77" s="3599"/>
      <c r="AD77" s="3599"/>
      <c r="AE77" s="3599"/>
      <c r="AF77" s="3599"/>
      <c r="AG77" s="3599"/>
      <c r="AH77" s="3599"/>
      <c r="AI77" s="3599"/>
      <c r="AJ77" s="3599"/>
      <c r="AK77" s="3599"/>
      <c r="AL77" s="3599"/>
      <c r="AM77" s="3599"/>
      <c r="AN77" s="3599"/>
      <c r="AO77" s="3599"/>
      <c r="AP77" s="3599"/>
      <c r="AQ77" s="3599"/>
      <c r="AR77" s="3599"/>
      <c r="AS77" s="3599"/>
      <c r="AT77" s="3599"/>
      <c r="AU77" s="3599"/>
      <c r="AV77" s="3599"/>
      <c r="AW77" s="3599"/>
      <c r="AX77" s="3599"/>
      <c r="AY77" s="3599"/>
      <c r="AZ77" s="3599"/>
      <c r="BA77" s="3599"/>
      <c r="BB77" s="3599"/>
      <c r="BC77" s="3599"/>
      <c r="BD77" s="3599"/>
      <c r="BE77" s="3599"/>
      <c r="BF77" s="3599"/>
      <c r="BG77" s="3599"/>
      <c r="BH77" s="3599"/>
      <c r="BI77" s="3599"/>
      <c r="BJ77" s="3599"/>
      <c r="BK77" s="3599"/>
      <c r="BL77" s="3599"/>
      <c r="BM77" s="3599"/>
      <c r="BN77" s="3599"/>
      <c r="BO77" s="3599"/>
      <c r="BP77" s="3599"/>
      <c r="BQ77" s="3599"/>
      <c r="BR77" s="3599"/>
      <c r="BS77" s="3599"/>
      <c r="BT77" s="3599"/>
      <c r="BU77" s="3599"/>
      <c r="BV77" s="3599"/>
      <c r="BW77" s="3599"/>
      <c r="BX77" s="3599"/>
      <c r="BY77" s="3599"/>
      <c r="BZ77" s="3599"/>
      <c r="CA77" s="3599"/>
      <c r="CB77" s="3599"/>
      <c r="CC77" s="3599"/>
      <c r="CD77" s="3599"/>
      <c r="CE77" s="3599"/>
      <c r="CF77" s="3599"/>
      <c r="CG77" s="3599"/>
      <c r="CH77" s="3599"/>
      <c r="CI77" s="3599"/>
      <c r="CJ77" s="3599"/>
      <c r="CK77" s="3599"/>
      <c r="CL77" s="3599"/>
      <c r="CM77" s="3599"/>
      <c r="CN77" s="3599"/>
      <c r="CO77" s="3599"/>
      <c r="CP77" s="3599"/>
      <c r="CQ77" s="3599"/>
      <c r="CR77" s="3599"/>
      <c r="CS77" s="3599"/>
      <c r="CT77" s="3599"/>
      <c r="CU77" s="3599"/>
      <c r="CV77" s="3599"/>
      <c r="CW77" s="3599"/>
      <c r="CX77" s="3599"/>
      <c r="CY77" s="3599"/>
      <c r="CZ77" s="3599"/>
      <c r="DA77" s="3599"/>
      <c r="DB77" s="3599"/>
      <c r="DC77" s="3599"/>
      <c r="DD77" s="3599"/>
      <c r="DE77" s="3599"/>
      <c r="DF77" s="3599"/>
      <c r="DG77" s="4009"/>
      <c r="DH77" s="3611"/>
      <c r="DI77" s="3790"/>
      <c r="DJ77" s="3790" t="str">
        <f>IF(T77="","",T77)</f>
        <v/>
      </c>
      <c r="DK77" s="3790"/>
      <c r="DL77" s="3790"/>
    </row>
    <row s="4217" customFormat="1" customHeight="1" ht="0.75">
      <c r="A78" s="4011"/>
      <c r="B78" s="4011"/>
      <c r="C78" s="4011"/>
      <c r="D78" s="4011"/>
      <c r="E78" s="3779"/>
      <c r="F78" s="3779" t="s">
        <v>102</v>
      </c>
      <c r="G78" s="3780"/>
      <c r="H78" s="4011"/>
      <c r="I78" s="4011"/>
      <c r="J78" s="4011"/>
      <c r="K78" s="4011"/>
      <c r="L78" s="4012"/>
      <c r="M78" s="4013"/>
      <c r="N78" s="4013"/>
      <c r="O78" s="3611"/>
      <c r="P78" s="4014"/>
      <c r="Q78" s="4015"/>
      <c r="R78" s="4014"/>
      <c r="S78" s="4016"/>
      <c r="T78" s="4017" t="s">
        <v>191</v>
      </c>
      <c r="U78" s="3601"/>
      <c r="V78" s="3601"/>
      <c r="W78" s="3601"/>
      <c r="X78" s="3601"/>
      <c r="Y78" s="3601"/>
      <c r="Z78" s="3601"/>
      <c r="AA78" s="3601"/>
      <c r="AB78" s="3601"/>
      <c r="AC78" s="3601"/>
      <c r="AD78" s="3601"/>
      <c r="AE78" s="3601"/>
      <c r="AF78" s="3601"/>
      <c r="AG78" s="3601"/>
      <c r="AH78" s="3601"/>
      <c r="AI78" s="3601"/>
      <c r="AJ78" s="3601"/>
      <c r="AK78" s="3601"/>
      <c r="AL78" s="3601"/>
      <c r="AM78" s="3601"/>
      <c r="AN78" s="3601"/>
      <c r="AO78" s="3601"/>
      <c r="AP78" s="3601"/>
      <c r="AQ78" s="3601"/>
      <c r="AR78" s="3601"/>
      <c r="AS78" s="3601"/>
      <c r="AT78" s="3601"/>
      <c r="AU78" s="3601"/>
      <c r="AV78" s="3601"/>
      <c r="AW78" s="3601"/>
      <c r="AX78" s="3601"/>
      <c r="AY78" s="3601"/>
      <c r="AZ78" s="3601"/>
      <c r="BA78" s="3601"/>
      <c r="BB78" s="3601"/>
      <c r="BC78" s="3601"/>
      <c r="BD78" s="3601"/>
      <c r="BE78" s="3601"/>
      <c r="BF78" s="3601"/>
      <c r="BG78" s="3601"/>
      <c r="BH78" s="3601"/>
      <c r="BI78" s="3601"/>
      <c r="BJ78" s="3601"/>
      <c r="BK78" s="3601"/>
      <c r="BL78" s="3601"/>
      <c r="BM78" s="3601"/>
      <c r="BN78" s="3601"/>
      <c r="BO78" s="3601"/>
      <c r="BP78" s="3601"/>
      <c r="BQ78" s="3601"/>
      <c r="BR78" s="3601"/>
      <c r="BS78" s="3601"/>
      <c r="BT78" s="3601"/>
      <c r="BU78" s="3601"/>
      <c r="BV78" s="3601"/>
      <c r="BW78" s="3601"/>
      <c r="BX78" s="3601"/>
      <c r="BY78" s="3601"/>
      <c r="BZ78" s="3601"/>
      <c r="CA78" s="3601"/>
      <c r="CB78" s="3601"/>
      <c r="CC78" s="3601"/>
      <c r="CD78" s="3601"/>
      <c r="CE78" s="3601"/>
      <c r="CF78" s="3601"/>
      <c r="CG78" s="3601"/>
      <c r="CH78" s="3601"/>
      <c r="CI78" s="3601"/>
      <c r="CJ78" s="3601"/>
      <c r="CK78" s="3601"/>
      <c r="CL78" s="3601"/>
      <c r="CM78" s="3601"/>
      <c r="CN78" s="3601"/>
      <c r="CO78" s="3601"/>
      <c r="CP78" s="3601"/>
      <c r="CQ78" s="3601"/>
      <c r="CR78" s="3601"/>
      <c r="CS78" s="3601"/>
      <c r="CT78" s="3601"/>
      <c r="CU78" s="3601"/>
      <c r="CV78" s="3601"/>
      <c r="CW78" s="3601"/>
      <c r="CX78" s="3601"/>
      <c r="CY78" s="3601"/>
      <c r="CZ78" s="3601"/>
      <c r="DA78" s="3601"/>
      <c r="DB78" s="3601"/>
      <c r="DC78" s="3601"/>
      <c r="DD78" s="3601"/>
      <c r="DE78" s="3601"/>
      <c r="DF78" s="3601"/>
      <c r="DG78" s="3601"/>
      <c r="DH78" s="3611"/>
      <c r="DI78" s="3790"/>
      <c r="DJ78" s="3790" t="str">
        <f>IF(T78="","",T78)</f>
        <v>Добавить источник для дифференциации</v>
      </c>
      <c r="DK78" s="3790"/>
      <c r="DL78" s="3790"/>
    </row>
    <row s="4218" customFormat="1" customHeight="1" ht="0.75">
      <c r="A79" s="4011"/>
      <c r="B79" s="4011"/>
      <c r="C79" s="4011"/>
      <c r="D79" s="4011"/>
      <c r="E79" s="3779"/>
      <c r="F79" s="3780" t="s">
        <v>102</v>
      </c>
      <c r="G79" s="4011"/>
      <c r="H79" s="4011"/>
      <c r="I79" s="4011"/>
      <c r="J79" s="4011"/>
      <c r="K79" s="4011"/>
      <c r="L79" s="4012"/>
      <c r="M79" s="4019"/>
      <c r="N79" s="4019"/>
      <c r="O79" s="3611"/>
      <c r="P79" s="4014"/>
      <c r="Q79" s="4015"/>
      <c r="R79" s="4014"/>
      <c r="S79" s="4020"/>
      <c r="T79" s="4021" t="s">
        <v>192</v>
      </c>
      <c r="U79" s="3602"/>
      <c r="V79" s="3602"/>
      <c r="W79" s="3602"/>
      <c r="X79" s="3602"/>
      <c r="Y79" s="3602"/>
      <c r="Z79" s="3602"/>
      <c r="AA79" s="3602"/>
      <c r="AB79" s="3602"/>
      <c r="AC79" s="3602"/>
      <c r="AD79" s="3602"/>
      <c r="AE79" s="3602"/>
      <c r="AF79" s="3602"/>
      <c r="AG79" s="3602"/>
      <c r="AH79" s="3602"/>
      <c r="AI79" s="3602"/>
      <c r="AJ79" s="3602"/>
      <c r="AK79" s="3602"/>
      <c r="AL79" s="3602"/>
      <c r="AM79" s="3602"/>
      <c r="AN79" s="3602"/>
      <c r="AO79" s="3602"/>
      <c r="AP79" s="3602"/>
      <c r="AQ79" s="3602"/>
      <c r="AR79" s="3602"/>
      <c r="AS79" s="3602"/>
      <c r="AT79" s="3602"/>
      <c r="AU79" s="3602"/>
      <c r="AV79" s="3602"/>
      <c r="AW79" s="3602"/>
      <c r="AX79" s="3602"/>
      <c r="AY79" s="3602"/>
      <c r="AZ79" s="3602"/>
      <c r="BA79" s="3602"/>
      <c r="BB79" s="3602"/>
      <c r="BC79" s="3602"/>
      <c r="BD79" s="3602"/>
      <c r="BE79" s="3602"/>
      <c r="BF79" s="3602"/>
      <c r="BG79" s="3602"/>
      <c r="BH79" s="3602"/>
      <c r="BI79" s="3602"/>
      <c r="BJ79" s="3602"/>
      <c r="BK79" s="3602"/>
      <c r="BL79" s="3602"/>
      <c r="BM79" s="3602"/>
      <c r="BN79" s="3602"/>
      <c r="BO79" s="3602"/>
      <c r="BP79" s="3602"/>
      <c r="BQ79" s="3602"/>
      <c r="BR79" s="3602"/>
      <c r="BS79" s="3602"/>
      <c r="BT79" s="3602"/>
      <c r="BU79" s="3602"/>
      <c r="BV79" s="3602"/>
      <c r="BW79" s="3602"/>
      <c r="BX79" s="3602"/>
      <c r="BY79" s="3602"/>
      <c r="BZ79" s="3602"/>
      <c r="CA79" s="3602"/>
      <c r="CB79" s="3602"/>
      <c r="CC79" s="3602"/>
      <c r="CD79" s="3602"/>
      <c r="CE79" s="3602"/>
      <c r="CF79" s="3602"/>
      <c r="CG79" s="3602"/>
      <c r="CH79" s="3602"/>
      <c r="CI79" s="3602"/>
      <c r="CJ79" s="3602"/>
      <c r="CK79" s="3602"/>
      <c r="CL79" s="3602"/>
      <c r="CM79" s="3602"/>
      <c r="CN79" s="3602"/>
      <c r="CO79" s="3602"/>
      <c r="CP79" s="3602"/>
      <c r="CQ79" s="3602"/>
      <c r="CR79" s="3602"/>
      <c r="CS79" s="3602"/>
      <c r="CT79" s="3602"/>
      <c r="CU79" s="3602"/>
      <c r="CV79" s="3602"/>
      <c r="CW79" s="3602"/>
      <c r="CX79" s="3602"/>
      <c r="CY79" s="3602"/>
      <c r="CZ79" s="3602"/>
      <c r="DA79" s="3602"/>
      <c r="DB79" s="3602"/>
      <c r="DC79" s="3602"/>
      <c r="DD79" s="3602"/>
      <c r="DE79" s="3602"/>
      <c r="DF79" s="3602"/>
      <c r="DG79" s="3602"/>
      <c r="DH79" s="3611"/>
      <c r="DI79" s="3790"/>
      <c r="DJ79" s="3790" t="str">
        <f>IF(T79="","",T79)</f>
        <v>Добавить централизованную систему для дифференциации</v>
      </c>
      <c r="DK79" s="3790"/>
      <c r="DL79" s="3790"/>
    </row>
    <row s="4219" customFormat="1" customHeight="1" ht="21">
      <c r="A80" s="3778"/>
      <c r="B80" s="3778" t="s">
        <v>202</v>
      </c>
      <c r="C80" s="3778"/>
      <c r="D80" s="3778"/>
      <c r="E80" s="3779"/>
      <c r="F80" s="3780" t="s">
        <v>90</v>
      </c>
      <c r="G80" s="3778"/>
      <c r="H80" s="3778"/>
      <c r="I80" s="3778"/>
      <c r="J80" s="3778"/>
      <c r="K80" s="3778"/>
      <c r="L80" s="3781"/>
      <c r="M80" s="3782"/>
      <c r="N80" s="3782"/>
      <c r="O80" s="3782"/>
      <c r="P80" s="3783"/>
      <c r="Q80" s="3784"/>
      <c r="R80" s="3785"/>
      <c r="S80" s="3786" t="str">
        <f>INDEX(PT_DIFFERENTIATION_NUM_TER,MATCH(B80,PT_DIFFERENTIATION_TER_ID,0))</f>
        <v>1.4</v>
      </c>
      <c r="T80" s="3787" t="s">
        <v>444</v>
      </c>
      <c r="U80" s="3788"/>
      <c r="V80" s="3430"/>
      <c r="W80" s="3431"/>
      <c r="X80" s="3431"/>
      <c r="Y80" s="3431"/>
      <c r="Z80" s="3431"/>
      <c r="AA80" s="3431"/>
      <c r="AB80" s="3431"/>
      <c r="AC80" s="3432"/>
      <c r="AD80" s="3430" t="str">
        <f>INDEX(PT_DIFFERENTIATION_TER,MATCH(B80,PT_DIFFERENTIATION_TER_ID,0))</f>
        <v>Территория 4</v>
      </c>
      <c r="AE80" s="3431"/>
      <c r="AF80" s="3431"/>
      <c r="AG80" s="3431"/>
      <c r="AH80" s="3431"/>
      <c r="AI80" s="3431"/>
      <c r="AJ80" s="3431"/>
      <c r="AK80" s="3431"/>
      <c r="AL80" s="3430"/>
      <c r="AM80" s="3431"/>
      <c r="AN80" s="3431"/>
      <c r="AO80" s="3431"/>
      <c r="AP80" s="3431"/>
      <c r="AQ80" s="3431"/>
      <c r="AR80" s="3431"/>
      <c r="AS80" s="3432"/>
      <c r="AT80" s="3430"/>
      <c r="AU80" s="3431"/>
      <c r="AV80" s="3431"/>
      <c r="AW80" s="3431"/>
      <c r="AX80" s="3431"/>
      <c r="AY80" s="3431"/>
      <c r="AZ80" s="3431"/>
      <c r="BA80" s="3432"/>
      <c r="BB80" s="3430"/>
      <c r="BC80" s="3431"/>
      <c r="BD80" s="3431"/>
      <c r="BE80" s="3431"/>
      <c r="BF80" s="3431"/>
      <c r="BG80" s="3431"/>
      <c r="BH80" s="3431"/>
      <c r="BI80" s="3432"/>
      <c r="BJ80" s="3430"/>
      <c r="BK80" s="3431"/>
      <c r="BL80" s="3431"/>
      <c r="BM80" s="3431"/>
      <c r="BN80" s="3431"/>
      <c r="BO80" s="3431"/>
      <c r="BP80" s="3431"/>
      <c r="BQ80" s="3432"/>
      <c r="BR80" s="3430"/>
      <c r="BS80" s="3431"/>
      <c r="BT80" s="3431"/>
      <c r="BU80" s="3431"/>
      <c r="BV80" s="3431"/>
      <c r="BW80" s="3431"/>
      <c r="BX80" s="3431"/>
      <c r="BY80" s="3432"/>
      <c r="BZ80" s="3430"/>
      <c r="CA80" s="3431"/>
      <c r="CB80" s="3431"/>
      <c r="CC80" s="3431"/>
      <c r="CD80" s="3431"/>
      <c r="CE80" s="3431"/>
      <c r="CF80" s="3431"/>
      <c r="CG80" s="3432"/>
      <c r="CH80" s="3430"/>
      <c r="CI80" s="3431"/>
      <c r="CJ80" s="3431"/>
      <c r="CK80" s="3431"/>
      <c r="CL80" s="3431"/>
      <c r="CM80" s="3431"/>
      <c r="CN80" s="3431"/>
      <c r="CO80" s="3432"/>
      <c r="CP80" s="3430"/>
      <c r="CQ80" s="3431"/>
      <c r="CR80" s="3431"/>
      <c r="CS80" s="3431"/>
      <c r="CT80" s="3431"/>
      <c r="CU80" s="3431"/>
      <c r="CV80" s="3431"/>
      <c r="CW80" s="3432"/>
      <c r="CX80" s="3430"/>
      <c r="CY80" s="3431"/>
      <c r="CZ80" s="3431"/>
      <c r="DA80" s="3431"/>
      <c r="DB80" s="3431"/>
      <c r="DC80" s="3431"/>
      <c r="DD80" s="3431"/>
      <c r="DE80" s="3432"/>
      <c r="DF80" s="3432"/>
      <c r="DG80" s="3789" t="s">
        <v>445</v>
      </c>
      <c r="DH80" s="3611"/>
      <c r="DI80" s="3790"/>
      <c r="DJ80" s="3790" t="str">
        <f>IF(T80="","",T80)</f>
        <v>Территория действия тарифа</v>
      </c>
      <c r="DK80" s="3790"/>
      <c r="DL80" s="3790"/>
    </row>
    <row s="4220" customFormat="1" customHeight="1" ht="23.25">
      <c r="A81" s="3778"/>
      <c r="B81" s="3778"/>
      <c r="C81" s="3778" t="s">
        <v>203</v>
      </c>
      <c r="D81" s="3778"/>
      <c r="E81" s="3779"/>
      <c r="F81" s="3779" t="s">
        <v>89</v>
      </c>
      <c r="G81" s="3780">
        <v>1</v>
      </c>
      <c r="H81" s="3778"/>
      <c r="I81" s="3778"/>
      <c r="J81" s="3778"/>
      <c r="K81" s="3778"/>
      <c r="L81" s="3781"/>
      <c r="M81" s="3782"/>
      <c r="N81" s="3782"/>
      <c r="O81" s="3782"/>
      <c r="P81" s="3792"/>
      <c r="Q81" s="3784"/>
      <c r="R81" s="3785"/>
      <c r="S81" s="3786" t="str">
        <f>INDEX(PT_DIFFERENTIATION_NUM_CS,MATCH(C81,PT_DIFFERENTIATION_CS_ID,0))</f>
        <v>1.4.1</v>
      </c>
      <c r="T81" s="3793" t="s">
        <v>446</v>
      </c>
      <c r="U81" s="3788"/>
      <c r="V81" s="3430"/>
      <c r="W81" s="3431"/>
      <c r="X81" s="3431"/>
      <c r="Y81" s="3431"/>
      <c r="Z81" s="3431"/>
      <c r="AA81" s="3431"/>
      <c r="AB81" s="3431"/>
      <c r="AC81" s="3432"/>
      <c r="AD81" s="3430" t="str">
        <f>INDEX(PT_DIFFERENTIATION_CS,MATCH(C81,PT_DIFFERENTIATION_CS_ID,0))</f>
        <v>без дифференциации</v>
      </c>
      <c r="AE81" s="3431"/>
      <c r="AF81" s="3431"/>
      <c r="AG81" s="3431"/>
      <c r="AH81" s="3431"/>
      <c r="AI81" s="3431"/>
      <c r="AJ81" s="3431"/>
      <c r="AK81" s="3431"/>
      <c r="AL81" s="3430"/>
      <c r="AM81" s="3431"/>
      <c r="AN81" s="3431"/>
      <c r="AO81" s="3431"/>
      <c r="AP81" s="3431"/>
      <c r="AQ81" s="3431"/>
      <c r="AR81" s="3431"/>
      <c r="AS81" s="3432"/>
      <c r="AT81" s="3430"/>
      <c r="AU81" s="3431"/>
      <c r="AV81" s="3431"/>
      <c r="AW81" s="3431"/>
      <c r="AX81" s="3431"/>
      <c r="AY81" s="3431"/>
      <c r="AZ81" s="3431"/>
      <c r="BA81" s="3432"/>
      <c r="BB81" s="3430"/>
      <c r="BC81" s="3431"/>
      <c r="BD81" s="3431"/>
      <c r="BE81" s="3431"/>
      <c r="BF81" s="3431"/>
      <c r="BG81" s="3431"/>
      <c r="BH81" s="3431"/>
      <c r="BI81" s="3432"/>
      <c r="BJ81" s="3430"/>
      <c r="BK81" s="3431"/>
      <c r="BL81" s="3431"/>
      <c r="BM81" s="3431"/>
      <c r="BN81" s="3431"/>
      <c r="BO81" s="3431"/>
      <c r="BP81" s="3431"/>
      <c r="BQ81" s="3432"/>
      <c r="BR81" s="3430"/>
      <c r="BS81" s="3431"/>
      <c r="BT81" s="3431"/>
      <c r="BU81" s="3431"/>
      <c r="BV81" s="3431"/>
      <c r="BW81" s="3431"/>
      <c r="BX81" s="3431"/>
      <c r="BY81" s="3432"/>
      <c r="BZ81" s="3430"/>
      <c r="CA81" s="3431"/>
      <c r="CB81" s="3431"/>
      <c r="CC81" s="3431"/>
      <c r="CD81" s="3431"/>
      <c r="CE81" s="3431"/>
      <c r="CF81" s="3431"/>
      <c r="CG81" s="3432"/>
      <c r="CH81" s="3430"/>
      <c r="CI81" s="3431"/>
      <c r="CJ81" s="3431"/>
      <c r="CK81" s="3431"/>
      <c r="CL81" s="3431"/>
      <c r="CM81" s="3431"/>
      <c r="CN81" s="3431"/>
      <c r="CO81" s="3432"/>
      <c r="CP81" s="3430"/>
      <c r="CQ81" s="3431"/>
      <c r="CR81" s="3431"/>
      <c r="CS81" s="3431"/>
      <c r="CT81" s="3431"/>
      <c r="CU81" s="3431"/>
      <c r="CV81" s="3431"/>
      <c r="CW81" s="3432"/>
      <c r="CX81" s="3430"/>
      <c r="CY81" s="3431"/>
      <c r="CZ81" s="3431"/>
      <c r="DA81" s="3431"/>
      <c r="DB81" s="3431"/>
      <c r="DC81" s="3431"/>
      <c r="DD81" s="3431"/>
      <c r="DE81" s="3432"/>
      <c r="DF81" s="3432"/>
      <c r="DG81" s="3789" t="s">
        <v>447</v>
      </c>
      <c r="DH81" s="3611"/>
      <c r="DI81" s="3790"/>
      <c r="DJ81" s="3790" t="str">
        <f>IF(T81="","",T81)</f>
        <v>Наименование системы теплоснабжения </v>
      </c>
      <c r="DK81" s="3790"/>
      <c r="DL81" s="3790"/>
    </row>
    <row s="4221" customFormat="1" customHeight="1" ht="21">
      <c r="A82" s="3778"/>
      <c r="B82" s="3778"/>
      <c r="C82" s="3778"/>
      <c r="D82" s="3778" t="s">
        <v>204</v>
      </c>
      <c r="E82" s="3779"/>
      <c r="F82" s="3779" t="s">
        <v>89</v>
      </c>
      <c r="G82" s="3779"/>
      <c r="H82" s="3780">
        <v>1</v>
      </c>
      <c r="I82" s="3778"/>
      <c r="J82" s="3778"/>
      <c r="K82" s="3778"/>
      <c r="L82" s="3781"/>
      <c r="M82" s="3782"/>
      <c r="N82" s="3782"/>
      <c r="O82" s="3782"/>
      <c r="P82" s="3792"/>
      <c r="Q82" s="3784"/>
      <c r="R82" s="3785"/>
      <c r="S82" s="3786" t="str">
        <f>INDEX(PT_DIFFERENTIATION_NUM_IST_TE,MATCH(D82,PT_DIFFERENTIATION_IST_TE_ID,0))</f>
        <v>1.4.1.1</v>
      </c>
      <c r="T82" s="3795" t="s">
        <v>448</v>
      </c>
      <c r="U82" s="3788"/>
      <c r="V82" s="3430"/>
      <c r="W82" s="3431"/>
      <c r="X82" s="3431"/>
      <c r="Y82" s="3431"/>
      <c r="Z82" s="3431"/>
      <c r="AA82" s="3431"/>
      <c r="AB82" s="3431"/>
      <c r="AC82" s="3432"/>
      <c r="AD82" s="3430" t="str">
        <f>INDEX(PT_DIFFERENTIATION_IST_TE,MATCH(D82,PT_DIFFERENTIATION_IST_TE_ID,0))</f>
        <v>гп Заполярный</v>
      </c>
      <c r="AE82" s="3431"/>
      <c r="AF82" s="3431"/>
      <c r="AG82" s="3431"/>
      <c r="AH82" s="3431"/>
      <c r="AI82" s="3431"/>
      <c r="AJ82" s="3431"/>
      <c r="AK82" s="3431"/>
      <c r="AL82" s="3430"/>
      <c r="AM82" s="3431"/>
      <c r="AN82" s="3431"/>
      <c r="AO82" s="3431"/>
      <c r="AP82" s="3431"/>
      <c r="AQ82" s="3431"/>
      <c r="AR82" s="3431"/>
      <c r="AS82" s="3432"/>
      <c r="AT82" s="3430"/>
      <c r="AU82" s="3431"/>
      <c r="AV82" s="3431"/>
      <c r="AW82" s="3431"/>
      <c r="AX82" s="3431"/>
      <c r="AY82" s="3431"/>
      <c r="AZ82" s="3431"/>
      <c r="BA82" s="3432"/>
      <c r="BB82" s="3430"/>
      <c r="BC82" s="3431"/>
      <c r="BD82" s="3431"/>
      <c r="BE82" s="3431"/>
      <c r="BF82" s="3431"/>
      <c r="BG82" s="3431"/>
      <c r="BH82" s="3431"/>
      <c r="BI82" s="3432"/>
      <c r="BJ82" s="3430"/>
      <c r="BK82" s="3431"/>
      <c r="BL82" s="3431"/>
      <c r="BM82" s="3431"/>
      <c r="BN82" s="3431"/>
      <c r="BO82" s="3431"/>
      <c r="BP82" s="3431"/>
      <c r="BQ82" s="3432"/>
      <c r="BR82" s="3430"/>
      <c r="BS82" s="3431"/>
      <c r="BT82" s="3431"/>
      <c r="BU82" s="3431"/>
      <c r="BV82" s="3431"/>
      <c r="BW82" s="3431"/>
      <c r="BX82" s="3431"/>
      <c r="BY82" s="3432"/>
      <c r="BZ82" s="3430"/>
      <c r="CA82" s="3431"/>
      <c r="CB82" s="3431"/>
      <c r="CC82" s="3431"/>
      <c r="CD82" s="3431"/>
      <c r="CE82" s="3431"/>
      <c r="CF82" s="3431"/>
      <c r="CG82" s="3432"/>
      <c r="CH82" s="3430"/>
      <c r="CI82" s="3431"/>
      <c r="CJ82" s="3431"/>
      <c r="CK82" s="3431"/>
      <c r="CL82" s="3431"/>
      <c r="CM82" s="3431"/>
      <c r="CN82" s="3431"/>
      <c r="CO82" s="3432"/>
      <c r="CP82" s="3430"/>
      <c r="CQ82" s="3431"/>
      <c r="CR82" s="3431"/>
      <c r="CS82" s="3431"/>
      <c r="CT82" s="3431"/>
      <c r="CU82" s="3431"/>
      <c r="CV82" s="3431"/>
      <c r="CW82" s="3432"/>
      <c r="CX82" s="3430"/>
      <c r="CY82" s="3431"/>
      <c r="CZ82" s="3431"/>
      <c r="DA82" s="3431"/>
      <c r="DB82" s="3431"/>
      <c r="DC82" s="3431"/>
      <c r="DD82" s="3431"/>
      <c r="DE82" s="3432"/>
      <c r="DF82" s="3432"/>
      <c r="DG82" s="3789" t="s">
        <v>449</v>
      </c>
      <c r="DH82" s="3611"/>
      <c r="DI82" s="3790"/>
      <c r="DJ82" s="3790" t="str">
        <f>IF(T82="","",T82)</f>
        <v>Источник тепловой энергии  </v>
      </c>
      <c r="DK82" s="3790"/>
      <c r="DL82" s="3790"/>
    </row>
    <row s="4222" customFormat="1" customHeight="1" ht="14.25">
      <c r="A83" s="3778"/>
      <c r="B83" s="3778"/>
      <c r="C83" s="3778"/>
      <c r="D83" s="3778"/>
      <c r="E83" s="3779"/>
      <c r="F83" s="3779" t="s">
        <v>89</v>
      </c>
      <c r="G83" s="3779"/>
      <c r="H83" s="3779"/>
      <c r="I83" s="3797" t="str">
        <f>S82&amp;".1"</f>
        <v>1.4.1.1.1</v>
      </c>
      <c r="J83" s="3778"/>
      <c r="K83" s="3778"/>
      <c r="L83" s="3781" t="s">
        <v>450</v>
      </c>
      <c r="M83" s="3603"/>
      <c r="N83" s="3798"/>
      <c r="O83" s="3798"/>
      <c r="P83" s="3799">
        <v>1</v>
      </c>
      <c r="Q83" s="3799"/>
      <c r="R83" s="3800"/>
      <c r="S83" s="3801"/>
      <c r="T83" s="3802"/>
      <c r="U83" s="3803"/>
      <c r="V83" s="3439"/>
      <c r="W83" s="3440"/>
      <c r="X83" s="3440"/>
      <c r="Y83" s="3440"/>
      <c r="Z83" s="3440"/>
      <c r="AA83" s="3440"/>
      <c r="AB83" s="3440"/>
      <c r="AC83" s="3441"/>
      <c r="AD83" s="3439"/>
      <c r="AE83" s="3440"/>
      <c r="AF83" s="3440"/>
      <c r="AG83" s="3440"/>
      <c r="AH83" s="3440"/>
      <c r="AI83" s="3440"/>
      <c r="AJ83" s="3440"/>
      <c r="AK83" s="3440"/>
      <c r="AL83" s="3439"/>
      <c r="AM83" s="3440"/>
      <c r="AN83" s="3440"/>
      <c r="AO83" s="3440"/>
      <c r="AP83" s="3440"/>
      <c r="AQ83" s="3440"/>
      <c r="AR83" s="3440"/>
      <c r="AS83" s="3441"/>
      <c r="AT83" s="3439"/>
      <c r="AU83" s="3440"/>
      <c r="AV83" s="3440"/>
      <c r="AW83" s="3440"/>
      <c r="AX83" s="3440"/>
      <c r="AY83" s="3440"/>
      <c r="AZ83" s="3440"/>
      <c r="BA83" s="3441"/>
      <c r="BB83" s="3439"/>
      <c r="BC83" s="3440"/>
      <c r="BD83" s="3440"/>
      <c r="BE83" s="3440"/>
      <c r="BF83" s="3440"/>
      <c r="BG83" s="3440"/>
      <c r="BH83" s="3440"/>
      <c r="BI83" s="3441"/>
      <c r="BJ83" s="3439"/>
      <c r="BK83" s="3440"/>
      <c r="BL83" s="3440"/>
      <c r="BM83" s="3440"/>
      <c r="BN83" s="3440"/>
      <c r="BO83" s="3440"/>
      <c r="BP83" s="3440"/>
      <c r="BQ83" s="3441"/>
      <c r="BR83" s="3439"/>
      <c r="BS83" s="3440"/>
      <c r="BT83" s="3440"/>
      <c r="BU83" s="3440"/>
      <c r="BV83" s="3440"/>
      <c r="BW83" s="3440"/>
      <c r="BX83" s="3440"/>
      <c r="BY83" s="3441"/>
      <c r="BZ83" s="3439"/>
      <c r="CA83" s="3440"/>
      <c r="CB83" s="3440"/>
      <c r="CC83" s="3440"/>
      <c r="CD83" s="3440"/>
      <c r="CE83" s="3440"/>
      <c r="CF83" s="3440"/>
      <c r="CG83" s="3441"/>
      <c r="CH83" s="3439"/>
      <c r="CI83" s="3440"/>
      <c r="CJ83" s="3440"/>
      <c r="CK83" s="3440"/>
      <c r="CL83" s="3440"/>
      <c r="CM83" s="3440"/>
      <c r="CN83" s="3440"/>
      <c r="CO83" s="3441"/>
      <c r="CP83" s="3439"/>
      <c r="CQ83" s="3440"/>
      <c r="CR83" s="3440"/>
      <c r="CS83" s="3440"/>
      <c r="CT83" s="3440"/>
      <c r="CU83" s="3440"/>
      <c r="CV83" s="3440"/>
      <c r="CW83" s="3441"/>
      <c r="CX83" s="3439"/>
      <c r="CY83" s="3440"/>
      <c r="CZ83" s="3440"/>
      <c r="DA83" s="3440"/>
      <c r="DB83" s="3440"/>
      <c r="DC83" s="3440"/>
      <c r="DD83" s="3440"/>
      <c r="DE83" s="3441"/>
      <c r="DF83" s="3441"/>
      <c r="DG83" s="3804"/>
      <c r="DH83" s="3611"/>
      <c r="DI83" s="3790"/>
      <c r="DJ83" s="3790" t="str">
        <f>IF(T83="","",T83)</f>
        <v/>
      </c>
      <c r="DK83" s="3790"/>
      <c r="DL83" s="3790"/>
    </row>
    <row s="4223" customFormat="1" customHeight="1" ht="21">
      <c r="A84" s="3778"/>
      <c r="B84" s="3778"/>
      <c r="C84" s="3778"/>
      <c r="D84" s="3778"/>
      <c r="E84" s="3779"/>
      <c r="F84" s="3779" t="s">
        <v>89</v>
      </c>
      <c r="G84" s="3779"/>
      <c r="H84" s="3779"/>
      <c r="I84" s="3806"/>
      <c r="J84" s="3797" t="str">
        <f>I83&amp;".1"</f>
        <v>1.4.1.1.1.1</v>
      </c>
      <c r="K84" s="3778"/>
      <c r="L84" s="3781" t="s">
        <v>453</v>
      </c>
      <c r="M84" s="3603"/>
      <c r="N84" s="3603"/>
      <c r="O84" s="3798"/>
      <c r="P84" s="3799"/>
      <c r="Q84" s="3799">
        <v>1</v>
      </c>
      <c r="R84" s="3807"/>
      <c r="S84" s="3786" t="str">
        <f>$J84</f>
        <v>1.4.1.1.1.1</v>
      </c>
      <c r="T84" s="3808" t="s">
        <v>454</v>
      </c>
      <c r="U84" s="3788"/>
      <c r="V84" s="3443"/>
      <c r="W84" s="3444"/>
      <c r="X84" s="3444"/>
      <c r="Y84" s="3444"/>
      <c r="Z84" s="3444"/>
      <c r="AA84" s="3444"/>
      <c r="AB84" s="3444"/>
      <c r="AC84" s="3445"/>
      <c r="AD84" s="3443" t="s">
        <v>494</v>
      </c>
      <c r="AE84" s="3444"/>
      <c r="AF84" s="3444"/>
      <c r="AG84" s="3444"/>
      <c r="AH84" s="3444"/>
      <c r="AI84" s="3444"/>
      <c r="AJ84" s="3444"/>
      <c r="AK84" s="3444"/>
      <c r="AL84" s="3443"/>
      <c r="AM84" s="3444"/>
      <c r="AN84" s="3444"/>
      <c r="AO84" s="3444"/>
      <c r="AP84" s="3444"/>
      <c r="AQ84" s="3444"/>
      <c r="AR84" s="3444"/>
      <c r="AS84" s="3445"/>
      <c r="AT84" s="3443"/>
      <c r="AU84" s="3444"/>
      <c r="AV84" s="3444"/>
      <c r="AW84" s="3444"/>
      <c r="AX84" s="3444"/>
      <c r="AY84" s="3444"/>
      <c r="AZ84" s="3444"/>
      <c r="BA84" s="3445"/>
      <c r="BB84" s="3443"/>
      <c r="BC84" s="3444"/>
      <c r="BD84" s="3444"/>
      <c r="BE84" s="3444"/>
      <c r="BF84" s="3444"/>
      <c r="BG84" s="3444"/>
      <c r="BH84" s="3444"/>
      <c r="BI84" s="3445"/>
      <c r="BJ84" s="3443"/>
      <c r="BK84" s="3444"/>
      <c r="BL84" s="3444"/>
      <c r="BM84" s="3444"/>
      <c r="BN84" s="3444"/>
      <c r="BO84" s="3444"/>
      <c r="BP84" s="3444"/>
      <c r="BQ84" s="3445"/>
      <c r="BR84" s="3443"/>
      <c r="BS84" s="3444"/>
      <c r="BT84" s="3444"/>
      <c r="BU84" s="3444"/>
      <c r="BV84" s="3444"/>
      <c r="BW84" s="3444"/>
      <c r="BX84" s="3444"/>
      <c r="BY84" s="3445"/>
      <c r="BZ84" s="3443"/>
      <c r="CA84" s="3444"/>
      <c r="CB84" s="3444"/>
      <c r="CC84" s="3444"/>
      <c r="CD84" s="3444"/>
      <c r="CE84" s="3444"/>
      <c r="CF84" s="3444"/>
      <c r="CG84" s="3445"/>
      <c r="CH84" s="3443"/>
      <c r="CI84" s="3444"/>
      <c r="CJ84" s="3444"/>
      <c r="CK84" s="3444"/>
      <c r="CL84" s="3444"/>
      <c r="CM84" s="3444"/>
      <c r="CN84" s="3444"/>
      <c r="CO84" s="3445"/>
      <c r="CP84" s="3443"/>
      <c r="CQ84" s="3444"/>
      <c r="CR84" s="3444"/>
      <c r="CS84" s="3444"/>
      <c r="CT84" s="3444"/>
      <c r="CU84" s="3444"/>
      <c r="CV84" s="3444"/>
      <c r="CW84" s="3445"/>
      <c r="CX84" s="3443"/>
      <c r="CY84" s="3444"/>
      <c r="CZ84" s="3444"/>
      <c r="DA84" s="3444"/>
      <c r="DB84" s="3444"/>
      <c r="DC84" s="3444"/>
      <c r="DD84" s="3444"/>
      <c r="DE84" s="3445"/>
      <c r="DF84" s="3445"/>
      <c r="DG84" s="3789" t="s">
        <v>455</v>
      </c>
      <c r="DH84" s="3611"/>
      <c r="DI84" s="3790"/>
      <c r="DJ84" s="3790" t="str">
        <f>IF(T84="","",T84)</f>
        <v>Группа потребителей</v>
      </c>
      <c r="DK84" s="3790"/>
      <c r="DL84" s="3790"/>
    </row>
    <row s="4224" customFormat="1" customHeight="1" ht="21">
      <c r="A85" s="3778"/>
      <c r="B85" s="3778"/>
      <c r="C85" s="3778"/>
      <c r="D85" s="3778"/>
      <c r="E85" s="3779"/>
      <c r="F85" s="3779" t="s">
        <v>89</v>
      </c>
      <c r="G85" s="3779"/>
      <c r="H85" s="3779"/>
      <c r="I85" s="3806"/>
      <c r="J85" s="3806"/>
      <c r="K85" s="3797" t="str">
        <f>J84&amp;".1"</f>
        <v>1.4.1.1.1.1.1</v>
      </c>
      <c r="L85" s="3781" t="s">
        <v>456</v>
      </c>
      <c r="M85" s="3603"/>
      <c r="N85" s="3603"/>
      <c r="O85" s="3603"/>
      <c r="P85" s="3799"/>
      <c r="Q85" s="3799"/>
      <c r="R85" s="3807">
        <v>1</v>
      </c>
      <c r="S85" s="3786" t="str">
        <f>$K85</f>
        <v>1.4.1.1.1.1.1</v>
      </c>
      <c r="T85" s="3810" t="s">
        <v>495</v>
      </c>
      <c r="U85" s="3788"/>
      <c r="V85" s="3446"/>
      <c r="W85" s="3447"/>
      <c r="X85" s="3446"/>
      <c r="Y85" s="3448"/>
      <c r="Z85" s="3449"/>
      <c r="AA85" s="2872" t="s">
        <v>61</v>
      </c>
      <c r="AB85" s="3449"/>
      <c r="AC85" s="2872" t="s">
        <v>61</v>
      </c>
      <c r="AD85" s="3446">
        <v>7.36</v>
      </c>
      <c r="AE85" s="3447"/>
      <c r="AF85" s="3446"/>
      <c r="AG85" s="3448"/>
      <c r="AH85" s="3449">
        <v>45292</v>
      </c>
      <c r="AI85" s="2872" t="s">
        <v>61</v>
      </c>
      <c r="AJ85" s="3449">
        <v>45473</v>
      </c>
      <c r="AK85" s="2872" t="s">
        <v>61</v>
      </c>
      <c r="AL85" s="3446">
        <v>9.56</v>
      </c>
      <c r="AM85" s="3447"/>
      <c r="AN85" s="3446"/>
      <c r="AO85" s="3448"/>
      <c r="AP85" s="3449">
        <v>45474</v>
      </c>
      <c r="AQ85" s="2872" t="s">
        <v>61</v>
      </c>
      <c r="AR85" s="3449">
        <v>45657</v>
      </c>
      <c r="AS85" s="2872" t="s">
        <v>61</v>
      </c>
      <c r="AT85" s="3446">
        <v>8.82</v>
      </c>
      <c r="AU85" s="3447"/>
      <c r="AV85" s="3446"/>
      <c r="AW85" s="3448"/>
      <c r="AX85" s="3449">
        <v>45658</v>
      </c>
      <c r="AY85" s="2872" t="s">
        <v>61</v>
      </c>
      <c r="AZ85" s="3449">
        <v>45838</v>
      </c>
      <c r="BA85" s="2872" t="s">
        <v>61</v>
      </c>
      <c r="BB85" s="3446">
        <v>8.82</v>
      </c>
      <c r="BC85" s="3447"/>
      <c r="BD85" s="3446"/>
      <c r="BE85" s="3448"/>
      <c r="BF85" s="3449">
        <v>45839</v>
      </c>
      <c r="BG85" s="2872" t="s">
        <v>61</v>
      </c>
      <c r="BH85" s="3449">
        <v>46022</v>
      </c>
      <c r="BI85" s="2872" t="s">
        <v>61</v>
      </c>
      <c r="BJ85" s="3446">
        <v>8.82</v>
      </c>
      <c r="BK85" s="3447"/>
      <c r="BL85" s="3446"/>
      <c r="BM85" s="3448"/>
      <c r="BN85" s="3449">
        <v>46023</v>
      </c>
      <c r="BO85" s="2872" t="s">
        <v>61</v>
      </c>
      <c r="BP85" s="3449">
        <v>46203</v>
      </c>
      <c r="BQ85" s="2872" t="s">
        <v>61</v>
      </c>
      <c r="BR85" s="3446">
        <v>9.23</v>
      </c>
      <c r="BS85" s="3447"/>
      <c r="BT85" s="3446"/>
      <c r="BU85" s="3448"/>
      <c r="BV85" s="3449">
        <v>46204</v>
      </c>
      <c r="BW85" s="2872" t="s">
        <v>61</v>
      </c>
      <c r="BX85" s="3449">
        <v>46387</v>
      </c>
      <c r="BY85" s="2872" t="s">
        <v>61</v>
      </c>
      <c r="BZ85" s="3446">
        <v>9.23</v>
      </c>
      <c r="CA85" s="3447"/>
      <c r="CB85" s="3446"/>
      <c r="CC85" s="3448"/>
      <c r="CD85" s="3449">
        <v>46388</v>
      </c>
      <c r="CE85" s="2872" t="s">
        <v>61</v>
      </c>
      <c r="CF85" s="3449">
        <v>46568</v>
      </c>
      <c r="CG85" s="2872" t="s">
        <v>61</v>
      </c>
      <c r="CH85" s="3446">
        <v>9.25</v>
      </c>
      <c r="CI85" s="3447"/>
      <c r="CJ85" s="3446"/>
      <c r="CK85" s="3448"/>
      <c r="CL85" s="3449">
        <v>46569</v>
      </c>
      <c r="CM85" s="2872" t="s">
        <v>61</v>
      </c>
      <c r="CN85" s="3449">
        <v>46752</v>
      </c>
      <c r="CO85" s="2872" t="s">
        <v>61</v>
      </c>
      <c r="CP85" s="3446">
        <v>9.25</v>
      </c>
      <c r="CQ85" s="3447"/>
      <c r="CR85" s="3446"/>
      <c r="CS85" s="3448"/>
      <c r="CT85" s="3449">
        <v>46753</v>
      </c>
      <c r="CU85" s="2872" t="s">
        <v>61</v>
      </c>
      <c r="CV85" s="3449">
        <v>46934</v>
      </c>
      <c r="CW85" s="2872" t="s">
        <v>61</v>
      </c>
      <c r="CX85" s="3446">
        <v>9.67</v>
      </c>
      <c r="CY85" s="3447"/>
      <c r="CZ85" s="3446"/>
      <c r="DA85" s="3448"/>
      <c r="DB85" s="3449">
        <v>46935</v>
      </c>
      <c r="DC85" s="2872" t="s">
        <v>61</v>
      </c>
      <c r="DD85" s="3449">
        <v>47118</v>
      </c>
      <c r="DE85" s="2872" t="s">
        <v>61</v>
      </c>
      <c r="DF85" s="3447"/>
      <c r="DG85" s="3811" t="s">
        <v>457</v>
      </c>
      <c r="DH85" s="3611">
        <f>STRCHECKDATE(V86:DF86)</f>
      </c>
      <c r="DI85" s="3790"/>
      <c r="DJ85" s="3790" t="str">
        <f>IF(T85="","",T85)</f>
        <v>вода</v>
      </c>
      <c r="DK85" s="3790"/>
      <c r="DL85" s="3790"/>
    </row>
    <row s="4225" customFormat="1" customHeight="1" ht="0.75">
      <c r="A86" s="3778"/>
      <c r="B86" s="3778"/>
      <c r="C86" s="3778"/>
      <c r="D86" s="3778"/>
      <c r="E86" s="3779"/>
      <c r="F86" s="3779" t="s">
        <v>89</v>
      </c>
      <c r="G86" s="3779"/>
      <c r="H86" s="3779"/>
      <c r="I86" s="3806"/>
      <c r="J86" s="3806"/>
      <c r="K86" s="3797"/>
      <c r="L86" s="3781"/>
      <c r="M86" s="3603"/>
      <c r="N86" s="3603"/>
      <c r="O86" s="3603"/>
      <c r="P86" s="3799"/>
      <c r="Q86" s="3799"/>
      <c r="R86" s="3807"/>
      <c r="S86" s="3813"/>
      <c r="T86" s="3788"/>
      <c r="U86" s="3788"/>
      <c r="V86" s="3447"/>
      <c r="W86" s="3447"/>
      <c r="X86" s="3447"/>
      <c r="Y86" s="3450" t="str">
        <f>Z85&amp;"-"&amp;AB85</f>
        <v>-</v>
      </c>
      <c r="Z86" s="3451"/>
      <c r="AA86" s="2872"/>
      <c r="AB86" s="3451"/>
      <c r="AC86" s="2872"/>
      <c r="AD86" s="3447"/>
      <c r="AE86" s="3447"/>
      <c r="AF86" s="3447"/>
      <c r="AG86" s="3450" t="str">
        <f>AH85&amp;"-"&amp;AJ85</f>
        <v>45292-45473</v>
      </c>
      <c r="AH86" s="3451"/>
      <c r="AI86" s="2872"/>
      <c r="AJ86" s="3451"/>
      <c r="AK86" s="2872"/>
      <c r="AL86" s="3447"/>
      <c r="AM86" s="3447"/>
      <c r="AN86" s="3447"/>
      <c r="AO86" s="3450" t="str">
        <f>AP85&amp;"-"&amp;AR85</f>
        <v>45474-45657</v>
      </c>
      <c r="AP86" s="3451"/>
      <c r="AQ86" s="2872"/>
      <c r="AR86" s="3451"/>
      <c r="AS86" s="2872"/>
      <c r="AT86" s="3447"/>
      <c r="AU86" s="3447"/>
      <c r="AV86" s="3447"/>
      <c r="AW86" s="3450" t="str">
        <f>AX85&amp;"-"&amp;AZ85</f>
        <v>45658-45838</v>
      </c>
      <c r="AX86" s="3451"/>
      <c r="AY86" s="2872"/>
      <c r="AZ86" s="3451"/>
      <c r="BA86" s="2872"/>
      <c r="BB86" s="3447"/>
      <c r="BC86" s="3447"/>
      <c r="BD86" s="3447"/>
      <c r="BE86" s="3450" t="str">
        <f>BF85&amp;"-"&amp;BH85</f>
        <v>45839-46022</v>
      </c>
      <c r="BF86" s="3451"/>
      <c r="BG86" s="2872"/>
      <c r="BH86" s="3451"/>
      <c r="BI86" s="2872"/>
      <c r="BJ86" s="3447"/>
      <c r="BK86" s="3447"/>
      <c r="BL86" s="3447"/>
      <c r="BM86" s="3450" t="str">
        <f>BN85&amp;"-"&amp;BP85</f>
        <v>46023-46203</v>
      </c>
      <c r="BN86" s="3451"/>
      <c r="BO86" s="2872"/>
      <c r="BP86" s="3451"/>
      <c r="BQ86" s="2872"/>
      <c r="BR86" s="3447"/>
      <c r="BS86" s="3447"/>
      <c r="BT86" s="3447"/>
      <c r="BU86" s="3450" t="str">
        <f>BV85&amp;"-"&amp;BX85</f>
        <v>46204-46387</v>
      </c>
      <c r="BV86" s="3451"/>
      <c r="BW86" s="2872"/>
      <c r="BX86" s="3451"/>
      <c r="BY86" s="2872"/>
      <c r="BZ86" s="3447"/>
      <c r="CA86" s="3447"/>
      <c r="CB86" s="3447"/>
      <c r="CC86" s="3450" t="str">
        <f>CD85&amp;"-"&amp;CF85</f>
        <v>46388-46568</v>
      </c>
      <c r="CD86" s="3451"/>
      <c r="CE86" s="2872"/>
      <c r="CF86" s="3451"/>
      <c r="CG86" s="2872"/>
      <c r="CH86" s="3447"/>
      <c r="CI86" s="3447"/>
      <c r="CJ86" s="3447"/>
      <c r="CK86" s="3450" t="str">
        <f>CL85&amp;"-"&amp;CN85</f>
        <v>46569-46752</v>
      </c>
      <c r="CL86" s="3451"/>
      <c r="CM86" s="2872"/>
      <c r="CN86" s="3451"/>
      <c r="CO86" s="2872"/>
      <c r="CP86" s="3447"/>
      <c r="CQ86" s="3447"/>
      <c r="CR86" s="3447"/>
      <c r="CS86" s="3450" t="str">
        <f>CT85&amp;"-"&amp;CV85</f>
        <v>46753-46934</v>
      </c>
      <c r="CT86" s="3451"/>
      <c r="CU86" s="2872"/>
      <c r="CV86" s="3451"/>
      <c r="CW86" s="2872"/>
      <c r="CX86" s="3447"/>
      <c r="CY86" s="3447"/>
      <c r="CZ86" s="3447"/>
      <c r="DA86" s="3450" t="str">
        <f>DB85&amp;"-"&amp;DD85</f>
        <v>46935-47118</v>
      </c>
      <c r="DB86" s="3451"/>
      <c r="DC86" s="2872"/>
      <c r="DD86" s="3451"/>
      <c r="DE86" s="2872"/>
      <c r="DF86" s="3447"/>
      <c r="DG86" s="3814"/>
      <c r="DH86" s="3611"/>
      <c r="DI86" s="3790"/>
      <c r="DJ86" s="3790" t="str">
        <f>IF(T86="","",T86)</f>
        <v/>
      </c>
      <c r="DK86" s="3790"/>
      <c r="DL86" s="3790"/>
    </row>
    <row s="4226" customFormat="1" customHeight="1" ht="15">
      <c r="A87" s="3778"/>
      <c r="B87" s="3778"/>
      <c r="C87" s="3778"/>
      <c r="D87" s="3778"/>
      <c r="E87" s="3779"/>
      <c r="F87" s="3779" t="s">
        <v>89</v>
      </c>
      <c r="G87" s="3779"/>
      <c r="H87" s="3779"/>
      <c r="I87" s="3806"/>
      <c r="J87" s="3797"/>
      <c r="K87" s="3778"/>
      <c r="L87" s="3781"/>
      <c r="M87" s="3603"/>
      <c r="N87" s="3603"/>
      <c r="O87" s="3798"/>
      <c r="P87" s="3799"/>
      <c r="Q87" s="3799"/>
      <c r="R87" s="3800"/>
      <c r="S87" s="4227"/>
      <c r="T87" s="4228" t="s">
        <v>458</v>
      </c>
      <c r="U87" s="4229"/>
      <c r="V87" s="4230"/>
      <c r="W87" s="4231"/>
      <c r="X87" s="4232"/>
      <c r="Y87" s="4233"/>
      <c r="Z87" s="4234"/>
      <c r="AA87" s="4235"/>
      <c r="AB87" s="4236"/>
      <c r="AC87" s="4237"/>
      <c r="AD87" s="4238"/>
      <c r="AE87" s="4239"/>
      <c r="AF87" s="4240"/>
      <c r="AG87" s="4241"/>
      <c r="AH87" s="4242"/>
      <c r="AI87" s="4243"/>
      <c r="AJ87" s="4244"/>
      <c r="AK87" s="4245"/>
      <c r="AL87" s="4246"/>
      <c r="AM87" s="4247"/>
      <c r="AN87" s="4248"/>
      <c r="AO87" s="4249"/>
      <c r="AP87" s="4250"/>
      <c r="AQ87" s="4251"/>
      <c r="AR87" s="4252"/>
      <c r="AS87" s="4253"/>
      <c r="AT87" s="4254"/>
      <c r="AU87" s="4255"/>
      <c r="AV87" s="4256"/>
      <c r="AW87" s="4257"/>
      <c r="AX87" s="4258"/>
      <c r="AY87" s="4259"/>
      <c r="AZ87" s="4260"/>
      <c r="BA87" s="4261"/>
      <c r="BB87" s="4262"/>
      <c r="BC87" s="4263"/>
      <c r="BD87" s="4264"/>
      <c r="BE87" s="4265"/>
      <c r="BF87" s="4266"/>
      <c r="BG87" s="4267"/>
      <c r="BH87" s="4268"/>
      <c r="BI87" s="4269"/>
      <c r="BJ87" s="4270"/>
      <c r="BK87" s="4271"/>
      <c r="BL87" s="4272"/>
      <c r="BM87" s="4273"/>
      <c r="BN87" s="4274"/>
      <c r="BO87" s="4275"/>
      <c r="BP87" s="4276"/>
      <c r="BQ87" s="4277"/>
      <c r="BR87" s="4278"/>
      <c r="BS87" s="4279"/>
      <c r="BT87" s="4280"/>
      <c r="BU87" s="4281"/>
      <c r="BV87" s="4282"/>
      <c r="BW87" s="4283"/>
      <c r="BX87" s="4284"/>
      <c r="BY87" s="4285"/>
      <c r="BZ87" s="4286"/>
      <c r="CA87" s="4287"/>
      <c r="CB87" s="4288"/>
      <c r="CC87" s="4289"/>
      <c r="CD87" s="4290"/>
      <c r="CE87" s="4291"/>
      <c r="CF87" s="4292"/>
      <c r="CG87" s="4293"/>
      <c r="CH87" s="4294"/>
      <c r="CI87" s="4295"/>
      <c r="CJ87" s="4296"/>
      <c r="CK87" s="4297"/>
      <c r="CL87" s="4298"/>
      <c r="CM87" s="4299"/>
      <c r="CN87" s="4300"/>
      <c r="CO87" s="4301"/>
      <c r="CP87" s="4302"/>
      <c r="CQ87" s="4303"/>
      <c r="CR87" s="4304"/>
      <c r="CS87" s="4305"/>
      <c r="CT87" s="4306"/>
      <c r="CU87" s="4307"/>
      <c r="CV87" s="4308"/>
      <c r="CW87" s="4309"/>
      <c r="CX87" s="4310"/>
      <c r="CY87" s="4311"/>
      <c r="CZ87" s="4312"/>
      <c r="DA87" s="4313"/>
      <c r="DB87" s="4314"/>
      <c r="DC87" s="4315"/>
      <c r="DD87" s="4316"/>
      <c r="DE87" s="4317"/>
      <c r="DF87" s="4318"/>
      <c r="DG87" s="3908"/>
      <c r="DH87" s="3611"/>
      <c r="DI87" s="3790"/>
      <c r="DJ87" s="3790" t="str">
        <f>IF(T87="","",T87)</f>
        <v>Добавить вид теплоносителя (параметры теплоносителя)</v>
      </c>
      <c r="DK87" s="3790"/>
      <c r="DL87" s="3790"/>
    </row>
    <row s="4319" customFormat="1" customHeight="1" ht="15">
      <c r="A88" s="3778"/>
      <c r="B88" s="3778"/>
      <c r="C88" s="3778"/>
      <c r="D88" s="3778"/>
      <c r="E88" s="3779"/>
      <c r="F88" s="3779" t="s">
        <v>89</v>
      </c>
      <c r="G88" s="3779"/>
      <c r="H88" s="3779"/>
      <c r="I88" s="3797"/>
      <c r="J88" s="3778"/>
      <c r="K88" s="3778"/>
      <c r="L88" s="3781"/>
      <c r="M88" s="3603"/>
      <c r="N88" s="3798"/>
      <c r="O88" s="3798"/>
      <c r="P88" s="3799"/>
      <c r="Q88" s="3799"/>
      <c r="R88" s="3800"/>
      <c r="S88" s="4320"/>
      <c r="T88" s="4321" t="s">
        <v>459</v>
      </c>
      <c r="U88" s="4322"/>
      <c r="V88" s="4323"/>
      <c r="W88" s="4324"/>
      <c r="X88" s="4325"/>
      <c r="Y88" s="4326"/>
      <c r="Z88" s="4327"/>
      <c r="AA88" s="4328"/>
      <c r="AB88" s="4329"/>
      <c r="AC88" s="4330"/>
      <c r="AD88" s="4331"/>
      <c r="AE88" s="4332"/>
      <c r="AF88" s="4333"/>
      <c r="AG88" s="4334"/>
      <c r="AH88" s="4335"/>
      <c r="AI88" s="4336"/>
      <c r="AJ88" s="4337"/>
      <c r="AK88" s="4338"/>
      <c r="AL88" s="4339"/>
      <c r="AM88" s="4340"/>
      <c r="AN88" s="4341"/>
      <c r="AO88" s="4342"/>
      <c r="AP88" s="4343"/>
      <c r="AQ88" s="4344"/>
      <c r="AR88" s="4345"/>
      <c r="AS88" s="4346"/>
      <c r="AT88" s="4347"/>
      <c r="AU88" s="4348"/>
      <c r="AV88" s="4349"/>
      <c r="AW88" s="4350"/>
      <c r="AX88" s="4351"/>
      <c r="AY88" s="4352"/>
      <c r="AZ88" s="4353"/>
      <c r="BA88" s="4354"/>
      <c r="BB88" s="4355"/>
      <c r="BC88" s="4356"/>
      <c r="BD88" s="4357"/>
      <c r="BE88" s="4358"/>
      <c r="BF88" s="4359"/>
      <c r="BG88" s="4360"/>
      <c r="BH88" s="4361"/>
      <c r="BI88" s="4362"/>
      <c r="BJ88" s="4363"/>
      <c r="BK88" s="4364"/>
      <c r="BL88" s="4365"/>
      <c r="BM88" s="4366"/>
      <c r="BN88" s="4367"/>
      <c r="BO88" s="4368"/>
      <c r="BP88" s="4369"/>
      <c r="BQ88" s="4370"/>
      <c r="BR88" s="4371"/>
      <c r="BS88" s="4372"/>
      <c r="BT88" s="4373"/>
      <c r="BU88" s="4374"/>
      <c r="BV88" s="4375"/>
      <c r="BW88" s="4376"/>
      <c r="BX88" s="4377"/>
      <c r="BY88" s="4378"/>
      <c r="BZ88" s="4379"/>
      <c r="CA88" s="4380"/>
      <c r="CB88" s="4381"/>
      <c r="CC88" s="4382"/>
      <c r="CD88" s="4383"/>
      <c r="CE88" s="4384"/>
      <c r="CF88" s="4385"/>
      <c r="CG88" s="4386"/>
      <c r="CH88" s="4387"/>
      <c r="CI88" s="4388"/>
      <c r="CJ88" s="4389"/>
      <c r="CK88" s="4390"/>
      <c r="CL88" s="4391"/>
      <c r="CM88" s="4392"/>
      <c r="CN88" s="4393"/>
      <c r="CO88" s="4394"/>
      <c r="CP88" s="4395"/>
      <c r="CQ88" s="4396"/>
      <c r="CR88" s="4397"/>
      <c r="CS88" s="4398"/>
      <c r="CT88" s="4399"/>
      <c r="CU88" s="4400"/>
      <c r="CV88" s="4401"/>
      <c r="CW88" s="4402"/>
      <c r="CX88" s="4403"/>
      <c r="CY88" s="4404"/>
      <c r="CZ88" s="4405"/>
      <c r="DA88" s="4406"/>
      <c r="DB88" s="4407"/>
      <c r="DC88" s="4408"/>
      <c r="DD88" s="4409"/>
      <c r="DE88" s="4410"/>
      <c r="DF88" s="4411"/>
      <c r="DG88" s="4412"/>
      <c r="DH88" s="3611"/>
      <c r="DI88" s="3790"/>
      <c r="DJ88" s="3790" t="str">
        <f>IF(T88="","",T88)</f>
        <v>Добавить группу потребителей</v>
      </c>
      <c r="DK88" s="3790"/>
      <c r="DL88" s="3790"/>
    </row>
    <row s="4413" customFormat="1" customHeight="1" ht="14.25">
      <c r="A89" s="3778"/>
      <c r="B89" s="3778"/>
      <c r="C89" s="3778"/>
      <c r="D89" s="3778"/>
      <c r="E89" s="3779"/>
      <c r="F89" s="3779" t="s">
        <v>89</v>
      </c>
      <c r="G89" s="3779"/>
      <c r="H89" s="3780"/>
      <c r="I89" s="3778"/>
      <c r="J89" s="3778"/>
      <c r="K89" s="3778"/>
      <c r="L89" s="3781"/>
      <c r="M89" s="3782"/>
      <c r="N89" s="3782"/>
      <c r="O89" s="3603"/>
      <c r="P89" s="4004"/>
      <c r="Q89" s="4005"/>
      <c r="R89" s="4006"/>
      <c r="S89" s="4007"/>
      <c r="T89" s="4008"/>
      <c r="U89" s="3599"/>
      <c r="V89" s="3599"/>
      <c r="W89" s="3599"/>
      <c r="X89" s="3599"/>
      <c r="Y89" s="3599"/>
      <c r="Z89" s="3599"/>
      <c r="AA89" s="3599"/>
      <c r="AB89" s="3599"/>
      <c r="AC89" s="3599"/>
      <c r="AD89" s="3599"/>
      <c r="AE89" s="3599"/>
      <c r="AF89" s="3599"/>
      <c r="AG89" s="3599"/>
      <c r="AH89" s="3599"/>
      <c r="AI89" s="3599"/>
      <c r="AJ89" s="3599"/>
      <c r="AK89" s="3599"/>
      <c r="AL89" s="3599"/>
      <c r="AM89" s="3599"/>
      <c r="AN89" s="3599"/>
      <c r="AO89" s="3599"/>
      <c r="AP89" s="3599"/>
      <c r="AQ89" s="3599"/>
      <c r="AR89" s="3599"/>
      <c r="AS89" s="3599"/>
      <c r="AT89" s="3599"/>
      <c r="AU89" s="3599"/>
      <c r="AV89" s="3599"/>
      <c r="AW89" s="3599"/>
      <c r="AX89" s="3599"/>
      <c r="AY89" s="3599"/>
      <c r="AZ89" s="3599"/>
      <c r="BA89" s="3599"/>
      <c r="BB89" s="3599"/>
      <c r="BC89" s="3599"/>
      <c r="BD89" s="3599"/>
      <c r="BE89" s="3599"/>
      <c r="BF89" s="3599"/>
      <c r="BG89" s="3599"/>
      <c r="BH89" s="3599"/>
      <c r="BI89" s="3599"/>
      <c r="BJ89" s="3599"/>
      <c r="BK89" s="3599"/>
      <c r="BL89" s="3599"/>
      <c r="BM89" s="3599"/>
      <c r="BN89" s="3599"/>
      <c r="BO89" s="3599"/>
      <c r="BP89" s="3599"/>
      <c r="BQ89" s="3599"/>
      <c r="BR89" s="3599"/>
      <c r="BS89" s="3599"/>
      <c r="BT89" s="3599"/>
      <c r="BU89" s="3599"/>
      <c r="BV89" s="3599"/>
      <c r="BW89" s="3599"/>
      <c r="BX89" s="3599"/>
      <c r="BY89" s="3599"/>
      <c r="BZ89" s="3599"/>
      <c r="CA89" s="3599"/>
      <c r="CB89" s="3599"/>
      <c r="CC89" s="3599"/>
      <c r="CD89" s="3599"/>
      <c r="CE89" s="3599"/>
      <c r="CF89" s="3599"/>
      <c r="CG89" s="3599"/>
      <c r="CH89" s="3599"/>
      <c r="CI89" s="3599"/>
      <c r="CJ89" s="3599"/>
      <c r="CK89" s="3599"/>
      <c r="CL89" s="3599"/>
      <c r="CM89" s="3599"/>
      <c r="CN89" s="3599"/>
      <c r="CO89" s="3599"/>
      <c r="CP89" s="3599"/>
      <c r="CQ89" s="3599"/>
      <c r="CR89" s="3599"/>
      <c r="CS89" s="3599"/>
      <c r="CT89" s="3599"/>
      <c r="CU89" s="3599"/>
      <c r="CV89" s="3599"/>
      <c r="CW89" s="3599"/>
      <c r="CX89" s="3599"/>
      <c r="CY89" s="3599"/>
      <c r="CZ89" s="3599"/>
      <c r="DA89" s="3599"/>
      <c r="DB89" s="3599"/>
      <c r="DC89" s="3599"/>
      <c r="DD89" s="3599"/>
      <c r="DE89" s="3599"/>
      <c r="DF89" s="3599"/>
      <c r="DG89" s="4009"/>
      <c r="DH89" s="3611"/>
      <c r="DI89" s="3790"/>
      <c r="DJ89" s="3790" t="str">
        <f>IF(T89="","",T89)</f>
        <v/>
      </c>
      <c r="DK89" s="3790"/>
      <c r="DL89" s="3790"/>
    </row>
    <row s="4414" customFormat="1" customHeight="1" ht="0.75">
      <c r="A90" s="4011"/>
      <c r="B90" s="4011"/>
      <c r="C90" s="4011"/>
      <c r="D90" s="4011"/>
      <c r="E90" s="3779"/>
      <c r="F90" s="3779" t="s">
        <v>89</v>
      </c>
      <c r="G90" s="3780"/>
      <c r="H90" s="4011"/>
      <c r="I90" s="4011"/>
      <c r="J90" s="4011"/>
      <c r="K90" s="4011"/>
      <c r="L90" s="4012"/>
      <c r="M90" s="4013"/>
      <c r="N90" s="4013"/>
      <c r="O90" s="3611"/>
      <c r="P90" s="4014"/>
      <c r="Q90" s="4015"/>
      <c r="R90" s="4014"/>
      <c r="S90" s="4016"/>
      <c r="T90" s="4017" t="s">
        <v>191</v>
      </c>
      <c r="U90" s="3601"/>
      <c r="V90" s="3601"/>
      <c r="W90" s="3601"/>
      <c r="X90" s="3601"/>
      <c r="Y90" s="3601"/>
      <c r="Z90" s="3601"/>
      <c r="AA90" s="3601"/>
      <c r="AB90" s="3601"/>
      <c r="AC90" s="3601"/>
      <c r="AD90" s="3601"/>
      <c r="AE90" s="3601"/>
      <c r="AF90" s="3601"/>
      <c r="AG90" s="3601"/>
      <c r="AH90" s="3601"/>
      <c r="AI90" s="3601"/>
      <c r="AJ90" s="3601"/>
      <c r="AK90" s="3601"/>
      <c r="AL90" s="3601"/>
      <c r="AM90" s="3601"/>
      <c r="AN90" s="3601"/>
      <c r="AO90" s="3601"/>
      <c r="AP90" s="3601"/>
      <c r="AQ90" s="3601"/>
      <c r="AR90" s="3601"/>
      <c r="AS90" s="3601"/>
      <c r="AT90" s="3601"/>
      <c r="AU90" s="3601"/>
      <c r="AV90" s="3601"/>
      <c r="AW90" s="3601"/>
      <c r="AX90" s="3601"/>
      <c r="AY90" s="3601"/>
      <c r="AZ90" s="3601"/>
      <c r="BA90" s="3601"/>
      <c r="BB90" s="3601"/>
      <c r="BC90" s="3601"/>
      <c r="BD90" s="3601"/>
      <c r="BE90" s="3601"/>
      <c r="BF90" s="3601"/>
      <c r="BG90" s="3601"/>
      <c r="BH90" s="3601"/>
      <c r="BI90" s="3601"/>
      <c r="BJ90" s="3601"/>
      <c r="BK90" s="3601"/>
      <c r="BL90" s="3601"/>
      <c r="BM90" s="3601"/>
      <c r="BN90" s="3601"/>
      <c r="BO90" s="3601"/>
      <c r="BP90" s="3601"/>
      <c r="BQ90" s="3601"/>
      <c r="BR90" s="3601"/>
      <c r="BS90" s="3601"/>
      <c r="BT90" s="3601"/>
      <c r="BU90" s="3601"/>
      <c r="BV90" s="3601"/>
      <c r="BW90" s="3601"/>
      <c r="BX90" s="3601"/>
      <c r="BY90" s="3601"/>
      <c r="BZ90" s="3601"/>
      <c r="CA90" s="3601"/>
      <c r="CB90" s="3601"/>
      <c r="CC90" s="3601"/>
      <c r="CD90" s="3601"/>
      <c r="CE90" s="3601"/>
      <c r="CF90" s="3601"/>
      <c r="CG90" s="3601"/>
      <c r="CH90" s="3601"/>
      <c r="CI90" s="3601"/>
      <c r="CJ90" s="3601"/>
      <c r="CK90" s="3601"/>
      <c r="CL90" s="3601"/>
      <c r="CM90" s="3601"/>
      <c r="CN90" s="3601"/>
      <c r="CO90" s="3601"/>
      <c r="CP90" s="3601"/>
      <c r="CQ90" s="3601"/>
      <c r="CR90" s="3601"/>
      <c r="CS90" s="3601"/>
      <c r="CT90" s="3601"/>
      <c r="CU90" s="3601"/>
      <c r="CV90" s="3601"/>
      <c r="CW90" s="3601"/>
      <c r="CX90" s="3601"/>
      <c r="CY90" s="3601"/>
      <c r="CZ90" s="3601"/>
      <c r="DA90" s="3601"/>
      <c r="DB90" s="3601"/>
      <c r="DC90" s="3601"/>
      <c r="DD90" s="3601"/>
      <c r="DE90" s="3601"/>
      <c r="DF90" s="3601"/>
      <c r="DG90" s="3601"/>
      <c r="DH90" s="3611"/>
      <c r="DI90" s="3790"/>
      <c r="DJ90" s="3790" t="str">
        <f>IF(T90="","",T90)</f>
        <v>Добавить источник для дифференциации</v>
      </c>
      <c r="DK90" s="3790"/>
      <c r="DL90" s="3790"/>
    </row>
    <row s="4415" customFormat="1" customHeight="1" ht="0.75">
      <c r="A91" s="4011"/>
      <c r="B91" s="4011"/>
      <c r="C91" s="4011"/>
      <c r="D91" s="4011"/>
      <c r="E91" s="3779"/>
      <c r="F91" s="3780" t="s">
        <v>89</v>
      </c>
      <c r="G91" s="4011"/>
      <c r="H91" s="4011"/>
      <c r="I91" s="4011"/>
      <c r="J91" s="4011"/>
      <c r="K91" s="4011"/>
      <c r="L91" s="4012"/>
      <c r="M91" s="4019"/>
      <c r="N91" s="4019"/>
      <c r="O91" s="3611"/>
      <c r="P91" s="4014"/>
      <c r="Q91" s="4015"/>
      <c r="R91" s="4014"/>
      <c r="S91" s="4020"/>
      <c r="T91" s="4021" t="s">
        <v>192</v>
      </c>
      <c r="U91" s="3602"/>
      <c r="V91" s="3602"/>
      <c r="W91" s="3602"/>
      <c r="X91" s="3602"/>
      <c r="Y91" s="3602"/>
      <c r="Z91" s="3602"/>
      <c r="AA91" s="3602"/>
      <c r="AB91" s="3602"/>
      <c r="AC91" s="3602"/>
      <c r="AD91" s="3602"/>
      <c r="AE91" s="3602"/>
      <c r="AF91" s="3602"/>
      <c r="AG91" s="3602"/>
      <c r="AH91" s="3602"/>
      <c r="AI91" s="3602"/>
      <c r="AJ91" s="3602"/>
      <c r="AK91" s="3602"/>
      <c r="AL91" s="3602"/>
      <c r="AM91" s="3602"/>
      <c r="AN91" s="3602"/>
      <c r="AO91" s="3602"/>
      <c r="AP91" s="3602"/>
      <c r="AQ91" s="3602"/>
      <c r="AR91" s="3602"/>
      <c r="AS91" s="3602"/>
      <c r="AT91" s="3602"/>
      <c r="AU91" s="3602"/>
      <c r="AV91" s="3602"/>
      <c r="AW91" s="3602"/>
      <c r="AX91" s="3602"/>
      <c r="AY91" s="3602"/>
      <c r="AZ91" s="3602"/>
      <c r="BA91" s="3602"/>
      <c r="BB91" s="3602"/>
      <c r="BC91" s="3602"/>
      <c r="BD91" s="3602"/>
      <c r="BE91" s="3602"/>
      <c r="BF91" s="3602"/>
      <c r="BG91" s="3602"/>
      <c r="BH91" s="3602"/>
      <c r="BI91" s="3602"/>
      <c r="BJ91" s="3602"/>
      <c r="BK91" s="3602"/>
      <c r="BL91" s="3602"/>
      <c r="BM91" s="3602"/>
      <c r="BN91" s="3602"/>
      <c r="BO91" s="3602"/>
      <c r="BP91" s="3602"/>
      <c r="BQ91" s="3602"/>
      <c r="BR91" s="3602"/>
      <c r="BS91" s="3602"/>
      <c r="BT91" s="3602"/>
      <c r="BU91" s="3602"/>
      <c r="BV91" s="3602"/>
      <c r="BW91" s="3602"/>
      <c r="BX91" s="3602"/>
      <c r="BY91" s="3602"/>
      <c r="BZ91" s="3602"/>
      <c r="CA91" s="3602"/>
      <c r="CB91" s="3602"/>
      <c r="CC91" s="3602"/>
      <c r="CD91" s="3602"/>
      <c r="CE91" s="3602"/>
      <c r="CF91" s="3602"/>
      <c r="CG91" s="3602"/>
      <c r="CH91" s="3602"/>
      <c r="CI91" s="3602"/>
      <c r="CJ91" s="3602"/>
      <c r="CK91" s="3602"/>
      <c r="CL91" s="3602"/>
      <c r="CM91" s="3602"/>
      <c r="CN91" s="3602"/>
      <c r="CO91" s="3602"/>
      <c r="CP91" s="3602"/>
      <c r="CQ91" s="3602"/>
      <c r="CR91" s="3602"/>
      <c r="CS91" s="3602"/>
      <c r="CT91" s="3602"/>
      <c r="CU91" s="3602"/>
      <c r="CV91" s="3602"/>
      <c r="CW91" s="3602"/>
      <c r="CX91" s="3602"/>
      <c r="CY91" s="3602"/>
      <c r="CZ91" s="3602"/>
      <c r="DA91" s="3602"/>
      <c r="DB91" s="3602"/>
      <c r="DC91" s="3602"/>
      <c r="DD91" s="3602"/>
      <c r="DE91" s="3602"/>
      <c r="DF91" s="3602"/>
      <c r="DG91" s="3602"/>
      <c r="DH91" s="3611"/>
      <c r="DI91" s="3790"/>
      <c r="DJ91" s="3790" t="str">
        <f>IF(T91="","",T91)</f>
        <v>Добавить централизованную систему для дифференциации</v>
      </c>
      <c r="DK91" s="3790"/>
      <c r="DL91" s="3790"/>
    </row>
    <row s="4416" customFormat="1" customHeight="1" ht="21">
      <c r="A92" s="3778"/>
      <c r="B92" s="3778" t="s">
        <v>206</v>
      </c>
      <c r="C92" s="3778"/>
      <c r="D92" s="3778"/>
      <c r="E92" s="3779"/>
      <c r="F92" s="3780" t="s">
        <v>116</v>
      </c>
      <c r="G92" s="3778"/>
      <c r="H92" s="3778"/>
      <c r="I92" s="3778"/>
      <c r="J92" s="3778"/>
      <c r="K92" s="3778"/>
      <c r="L92" s="3781"/>
      <c r="M92" s="3782"/>
      <c r="N92" s="3782"/>
      <c r="O92" s="3782"/>
      <c r="P92" s="3783"/>
      <c r="Q92" s="3784"/>
      <c r="R92" s="3785"/>
      <c r="S92" s="3786" t="str">
        <f>INDEX(PT_DIFFERENTIATION_NUM_TER,MATCH(B92,PT_DIFFERENTIATION_TER_ID,0))</f>
        <v>1.5</v>
      </c>
      <c r="T92" s="3787" t="s">
        <v>444</v>
      </c>
      <c r="U92" s="3788"/>
      <c r="V92" s="3430"/>
      <c r="W92" s="3431"/>
      <c r="X92" s="3431"/>
      <c r="Y92" s="3431"/>
      <c r="Z92" s="3431"/>
      <c r="AA92" s="3431"/>
      <c r="AB92" s="3431"/>
      <c r="AC92" s="3432"/>
      <c r="AD92" s="3430" t="str">
        <f>INDEX(PT_DIFFERENTIATION_TER,MATCH(B92,PT_DIFFERENTIATION_TER_ID,0))</f>
        <v>Территория 5</v>
      </c>
      <c r="AE92" s="3431"/>
      <c r="AF92" s="3431"/>
      <c r="AG92" s="3431"/>
      <c r="AH92" s="3431"/>
      <c r="AI92" s="3431"/>
      <c r="AJ92" s="3431"/>
      <c r="AK92" s="3431"/>
      <c r="AL92" s="3430"/>
      <c r="AM92" s="3431"/>
      <c r="AN92" s="3431"/>
      <c r="AO92" s="3431"/>
      <c r="AP92" s="3431"/>
      <c r="AQ92" s="3431"/>
      <c r="AR92" s="3431"/>
      <c r="AS92" s="3432"/>
      <c r="AT92" s="3430"/>
      <c r="AU92" s="3431"/>
      <c r="AV92" s="3431"/>
      <c r="AW92" s="3431"/>
      <c r="AX92" s="3431"/>
      <c r="AY92" s="3431"/>
      <c r="AZ92" s="3431"/>
      <c r="BA92" s="3432"/>
      <c r="BB92" s="3430"/>
      <c r="BC92" s="3431"/>
      <c r="BD92" s="3431"/>
      <c r="BE92" s="3431"/>
      <c r="BF92" s="3431"/>
      <c r="BG92" s="3431"/>
      <c r="BH92" s="3431"/>
      <c r="BI92" s="3432"/>
      <c r="BJ92" s="3430"/>
      <c r="BK92" s="3431"/>
      <c r="BL92" s="3431"/>
      <c r="BM92" s="3431"/>
      <c r="BN92" s="3431"/>
      <c r="BO92" s="3431"/>
      <c r="BP92" s="3431"/>
      <c r="BQ92" s="3432"/>
      <c r="BR92" s="3430"/>
      <c r="BS92" s="3431"/>
      <c r="BT92" s="3431"/>
      <c r="BU92" s="3431"/>
      <c r="BV92" s="3431"/>
      <c r="BW92" s="3431"/>
      <c r="BX92" s="3431"/>
      <c r="BY92" s="3432"/>
      <c r="BZ92" s="3430"/>
      <c r="CA92" s="3431"/>
      <c r="CB92" s="3431"/>
      <c r="CC92" s="3431"/>
      <c r="CD92" s="3431"/>
      <c r="CE92" s="3431"/>
      <c r="CF92" s="3431"/>
      <c r="CG92" s="3432"/>
      <c r="CH92" s="3430"/>
      <c r="CI92" s="3431"/>
      <c r="CJ92" s="3431"/>
      <c r="CK92" s="3431"/>
      <c r="CL92" s="3431"/>
      <c r="CM92" s="3431"/>
      <c r="CN92" s="3431"/>
      <c r="CO92" s="3432"/>
      <c r="CP92" s="3430"/>
      <c r="CQ92" s="3431"/>
      <c r="CR92" s="3431"/>
      <c r="CS92" s="3431"/>
      <c r="CT92" s="3431"/>
      <c r="CU92" s="3431"/>
      <c r="CV92" s="3431"/>
      <c r="CW92" s="3432"/>
      <c r="CX92" s="3430"/>
      <c r="CY92" s="3431"/>
      <c r="CZ92" s="3431"/>
      <c r="DA92" s="3431"/>
      <c r="DB92" s="3431"/>
      <c r="DC92" s="3431"/>
      <c r="DD92" s="3431"/>
      <c r="DE92" s="3432"/>
      <c r="DF92" s="3432"/>
      <c r="DG92" s="3789" t="s">
        <v>445</v>
      </c>
      <c r="DH92" s="3611"/>
      <c r="DI92" s="3790"/>
      <c r="DJ92" s="3790" t="str">
        <f>IF(T92="","",T92)</f>
        <v>Территория действия тарифа</v>
      </c>
      <c r="DK92" s="3790"/>
      <c r="DL92" s="3790"/>
    </row>
    <row s="4417" customFormat="1" customHeight="1" ht="23.25">
      <c r="A93" s="3778"/>
      <c r="B93" s="3778"/>
      <c r="C93" s="3778" t="s">
        <v>207</v>
      </c>
      <c r="D93" s="3778"/>
      <c r="E93" s="3779"/>
      <c r="F93" s="3779" t="s">
        <v>90</v>
      </c>
      <c r="G93" s="3780">
        <v>1</v>
      </c>
      <c r="H93" s="3778"/>
      <c r="I93" s="3778"/>
      <c r="J93" s="3778"/>
      <c r="K93" s="3778"/>
      <c r="L93" s="3781"/>
      <c r="M93" s="3782"/>
      <c r="N93" s="3782"/>
      <c r="O93" s="3782"/>
      <c r="P93" s="3792"/>
      <c r="Q93" s="3784"/>
      <c r="R93" s="3785"/>
      <c r="S93" s="3786" t="str">
        <f>INDEX(PT_DIFFERENTIATION_NUM_CS,MATCH(C93,PT_DIFFERENTIATION_CS_ID,0))</f>
        <v>1.5.1</v>
      </c>
      <c r="T93" s="3793" t="s">
        <v>446</v>
      </c>
      <c r="U93" s="3788"/>
      <c r="V93" s="3430"/>
      <c r="W93" s="3431"/>
      <c r="X93" s="3431"/>
      <c r="Y93" s="3431"/>
      <c r="Z93" s="3431"/>
      <c r="AA93" s="3431"/>
      <c r="AB93" s="3431"/>
      <c r="AC93" s="3432"/>
      <c r="AD93" s="3430" t="str">
        <f>INDEX(PT_DIFFERENTIATION_CS,MATCH(C93,PT_DIFFERENTIATION_CS_ID,0))</f>
        <v>без дифференциации</v>
      </c>
      <c r="AE93" s="3431"/>
      <c r="AF93" s="3431"/>
      <c r="AG93" s="3431"/>
      <c r="AH93" s="3431"/>
      <c r="AI93" s="3431"/>
      <c r="AJ93" s="3431"/>
      <c r="AK93" s="3431"/>
      <c r="AL93" s="3430"/>
      <c r="AM93" s="3431"/>
      <c r="AN93" s="3431"/>
      <c r="AO93" s="3431"/>
      <c r="AP93" s="3431"/>
      <c r="AQ93" s="3431"/>
      <c r="AR93" s="3431"/>
      <c r="AS93" s="3432"/>
      <c r="AT93" s="3430"/>
      <c r="AU93" s="3431"/>
      <c r="AV93" s="3431"/>
      <c r="AW93" s="3431"/>
      <c r="AX93" s="3431"/>
      <c r="AY93" s="3431"/>
      <c r="AZ93" s="3431"/>
      <c r="BA93" s="3432"/>
      <c r="BB93" s="3430"/>
      <c r="BC93" s="3431"/>
      <c r="BD93" s="3431"/>
      <c r="BE93" s="3431"/>
      <c r="BF93" s="3431"/>
      <c r="BG93" s="3431"/>
      <c r="BH93" s="3431"/>
      <c r="BI93" s="3432"/>
      <c r="BJ93" s="3430"/>
      <c r="BK93" s="3431"/>
      <c r="BL93" s="3431"/>
      <c r="BM93" s="3431"/>
      <c r="BN93" s="3431"/>
      <c r="BO93" s="3431"/>
      <c r="BP93" s="3431"/>
      <c r="BQ93" s="3432"/>
      <c r="BR93" s="3430"/>
      <c r="BS93" s="3431"/>
      <c r="BT93" s="3431"/>
      <c r="BU93" s="3431"/>
      <c r="BV93" s="3431"/>
      <c r="BW93" s="3431"/>
      <c r="BX93" s="3431"/>
      <c r="BY93" s="3432"/>
      <c r="BZ93" s="3430"/>
      <c r="CA93" s="3431"/>
      <c r="CB93" s="3431"/>
      <c r="CC93" s="3431"/>
      <c r="CD93" s="3431"/>
      <c r="CE93" s="3431"/>
      <c r="CF93" s="3431"/>
      <c r="CG93" s="3432"/>
      <c r="CH93" s="3430"/>
      <c r="CI93" s="3431"/>
      <c r="CJ93" s="3431"/>
      <c r="CK93" s="3431"/>
      <c r="CL93" s="3431"/>
      <c r="CM93" s="3431"/>
      <c r="CN93" s="3431"/>
      <c r="CO93" s="3432"/>
      <c r="CP93" s="3430"/>
      <c r="CQ93" s="3431"/>
      <c r="CR93" s="3431"/>
      <c r="CS93" s="3431"/>
      <c r="CT93" s="3431"/>
      <c r="CU93" s="3431"/>
      <c r="CV93" s="3431"/>
      <c r="CW93" s="3432"/>
      <c r="CX93" s="3430"/>
      <c r="CY93" s="3431"/>
      <c r="CZ93" s="3431"/>
      <c r="DA93" s="3431"/>
      <c r="DB93" s="3431"/>
      <c r="DC93" s="3431"/>
      <c r="DD93" s="3431"/>
      <c r="DE93" s="3432"/>
      <c r="DF93" s="3432"/>
      <c r="DG93" s="3789" t="s">
        <v>447</v>
      </c>
      <c r="DH93" s="3611"/>
      <c r="DI93" s="3790"/>
      <c r="DJ93" s="3790" t="str">
        <f>IF(T93="","",T93)</f>
        <v>Наименование системы теплоснабжения </v>
      </c>
      <c r="DK93" s="3790"/>
      <c r="DL93" s="3790"/>
    </row>
    <row s="4418" customFormat="1" customHeight="1" ht="21">
      <c r="A94" s="3778"/>
      <c r="B94" s="3778"/>
      <c r="C94" s="3778"/>
      <c r="D94" s="3778" t="s">
        <v>208</v>
      </c>
      <c r="E94" s="3779"/>
      <c r="F94" s="3779" t="s">
        <v>90</v>
      </c>
      <c r="G94" s="3779"/>
      <c r="H94" s="3780">
        <v>1</v>
      </c>
      <c r="I94" s="3778"/>
      <c r="J94" s="3778"/>
      <c r="K94" s="3778"/>
      <c r="L94" s="3781"/>
      <c r="M94" s="3782"/>
      <c r="N94" s="3782"/>
      <c r="O94" s="3782"/>
      <c r="P94" s="3792"/>
      <c r="Q94" s="3784"/>
      <c r="R94" s="3785"/>
      <c r="S94" s="3786" t="str">
        <f>INDEX(PT_DIFFERENTIATION_NUM_IST_TE,MATCH(D94,PT_DIFFERENTIATION_IST_TE_ID,0))</f>
        <v>1.5.1.1</v>
      </c>
      <c r="T94" s="3795" t="s">
        <v>448</v>
      </c>
      <c r="U94" s="3788"/>
      <c r="V94" s="3430"/>
      <c r="W94" s="3431"/>
      <c r="X94" s="3431"/>
      <c r="Y94" s="3431"/>
      <c r="Z94" s="3431"/>
      <c r="AA94" s="3431"/>
      <c r="AB94" s="3431"/>
      <c r="AC94" s="3432"/>
      <c r="AD94" s="3430" t="str">
        <f>INDEX(PT_DIFFERENTIATION_IST_TE,MATCH(D94,PT_DIFFERENTIATION_IST_TE_ID,0))</f>
        <v>город Кандалакша (кроме микрорайона Нива-3)</v>
      </c>
      <c r="AE94" s="3431"/>
      <c r="AF94" s="3431"/>
      <c r="AG94" s="3431"/>
      <c r="AH94" s="3431"/>
      <c r="AI94" s="3431"/>
      <c r="AJ94" s="3431"/>
      <c r="AK94" s="3431"/>
      <c r="AL94" s="3430"/>
      <c r="AM94" s="3431"/>
      <c r="AN94" s="3431"/>
      <c r="AO94" s="3431"/>
      <c r="AP94" s="3431"/>
      <c r="AQ94" s="3431"/>
      <c r="AR94" s="3431"/>
      <c r="AS94" s="3432"/>
      <c r="AT94" s="3430"/>
      <c r="AU94" s="3431"/>
      <c r="AV94" s="3431"/>
      <c r="AW94" s="3431"/>
      <c r="AX94" s="3431"/>
      <c r="AY94" s="3431"/>
      <c r="AZ94" s="3431"/>
      <c r="BA94" s="3432"/>
      <c r="BB94" s="3430"/>
      <c r="BC94" s="3431"/>
      <c r="BD94" s="3431"/>
      <c r="BE94" s="3431"/>
      <c r="BF94" s="3431"/>
      <c r="BG94" s="3431"/>
      <c r="BH94" s="3431"/>
      <c r="BI94" s="3432"/>
      <c r="BJ94" s="3430"/>
      <c r="BK94" s="3431"/>
      <c r="BL94" s="3431"/>
      <c r="BM94" s="3431"/>
      <c r="BN94" s="3431"/>
      <c r="BO94" s="3431"/>
      <c r="BP94" s="3431"/>
      <c r="BQ94" s="3432"/>
      <c r="BR94" s="3430"/>
      <c r="BS94" s="3431"/>
      <c r="BT94" s="3431"/>
      <c r="BU94" s="3431"/>
      <c r="BV94" s="3431"/>
      <c r="BW94" s="3431"/>
      <c r="BX94" s="3431"/>
      <c r="BY94" s="3432"/>
      <c r="BZ94" s="3430"/>
      <c r="CA94" s="3431"/>
      <c r="CB94" s="3431"/>
      <c r="CC94" s="3431"/>
      <c r="CD94" s="3431"/>
      <c r="CE94" s="3431"/>
      <c r="CF94" s="3431"/>
      <c r="CG94" s="3432"/>
      <c r="CH94" s="3430"/>
      <c r="CI94" s="3431"/>
      <c r="CJ94" s="3431"/>
      <c r="CK94" s="3431"/>
      <c r="CL94" s="3431"/>
      <c r="CM94" s="3431"/>
      <c r="CN94" s="3431"/>
      <c r="CO94" s="3432"/>
      <c r="CP94" s="3430"/>
      <c r="CQ94" s="3431"/>
      <c r="CR94" s="3431"/>
      <c r="CS94" s="3431"/>
      <c r="CT94" s="3431"/>
      <c r="CU94" s="3431"/>
      <c r="CV94" s="3431"/>
      <c r="CW94" s="3432"/>
      <c r="CX94" s="3430"/>
      <c r="CY94" s="3431"/>
      <c r="CZ94" s="3431"/>
      <c r="DA94" s="3431"/>
      <c r="DB94" s="3431"/>
      <c r="DC94" s="3431"/>
      <c r="DD94" s="3431"/>
      <c r="DE94" s="3432"/>
      <c r="DF94" s="3432"/>
      <c r="DG94" s="3789" t="s">
        <v>449</v>
      </c>
      <c r="DH94" s="3611"/>
      <c r="DI94" s="3790"/>
      <c r="DJ94" s="3790" t="str">
        <f>IF(T94="","",T94)</f>
        <v>Источник тепловой энергии  </v>
      </c>
      <c r="DK94" s="3790"/>
      <c r="DL94" s="3790"/>
    </row>
    <row s="4419" customFormat="1" customHeight="1" ht="14.25">
      <c r="A95" s="3778"/>
      <c r="B95" s="3778"/>
      <c r="C95" s="3778"/>
      <c r="D95" s="3778"/>
      <c r="E95" s="3779"/>
      <c r="F95" s="3779" t="s">
        <v>90</v>
      </c>
      <c r="G95" s="3779"/>
      <c r="H95" s="3779"/>
      <c r="I95" s="3797" t="str">
        <f>S94&amp;".1"</f>
        <v>1.5.1.1.1</v>
      </c>
      <c r="J95" s="3778"/>
      <c r="K95" s="3778"/>
      <c r="L95" s="3781" t="s">
        <v>450</v>
      </c>
      <c r="M95" s="3603"/>
      <c r="N95" s="3798"/>
      <c r="O95" s="3798"/>
      <c r="P95" s="3799">
        <v>1</v>
      </c>
      <c r="Q95" s="3799"/>
      <c r="R95" s="3800"/>
      <c r="S95" s="3801"/>
      <c r="T95" s="3802"/>
      <c r="U95" s="3803"/>
      <c r="V95" s="3439"/>
      <c r="W95" s="3440"/>
      <c r="X95" s="3440"/>
      <c r="Y95" s="3440"/>
      <c r="Z95" s="3440"/>
      <c r="AA95" s="3440"/>
      <c r="AB95" s="3440"/>
      <c r="AC95" s="3441"/>
      <c r="AD95" s="3439"/>
      <c r="AE95" s="3440"/>
      <c r="AF95" s="3440"/>
      <c r="AG95" s="3440"/>
      <c r="AH95" s="3440"/>
      <c r="AI95" s="3440"/>
      <c r="AJ95" s="3440"/>
      <c r="AK95" s="3440"/>
      <c r="AL95" s="3439"/>
      <c r="AM95" s="3440"/>
      <c r="AN95" s="3440"/>
      <c r="AO95" s="3440"/>
      <c r="AP95" s="3440"/>
      <c r="AQ95" s="3440"/>
      <c r="AR95" s="3440"/>
      <c r="AS95" s="3441"/>
      <c r="AT95" s="3439"/>
      <c r="AU95" s="3440"/>
      <c r="AV95" s="3440"/>
      <c r="AW95" s="3440"/>
      <c r="AX95" s="3440"/>
      <c r="AY95" s="3440"/>
      <c r="AZ95" s="3440"/>
      <c r="BA95" s="3441"/>
      <c r="BB95" s="3439"/>
      <c r="BC95" s="3440"/>
      <c r="BD95" s="3440"/>
      <c r="BE95" s="3440"/>
      <c r="BF95" s="3440"/>
      <c r="BG95" s="3440"/>
      <c r="BH95" s="3440"/>
      <c r="BI95" s="3441"/>
      <c r="BJ95" s="3439"/>
      <c r="BK95" s="3440"/>
      <c r="BL95" s="3440"/>
      <c r="BM95" s="3440"/>
      <c r="BN95" s="3440"/>
      <c r="BO95" s="3440"/>
      <c r="BP95" s="3440"/>
      <c r="BQ95" s="3441"/>
      <c r="BR95" s="3439"/>
      <c r="BS95" s="3440"/>
      <c r="BT95" s="3440"/>
      <c r="BU95" s="3440"/>
      <c r="BV95" s="3440"/>
      <c r="BW95" s="3440"/>
      <c r="BX95" s="3440"/>
      <c r="BY95" s="3441"/>
      <c r="BZ95" s="3439"/>
      <c r="CA95" s="3440"/>
      <c r="CB95" s="3440"/>
      <c r="CC95" s="3440"/>
      <c r="CD95" s="3440"/>
      <c r="CE95" s="3440"/>
      <c r="CF95" s="3440"/>
      <c r="CG95" s="3441"/>
      <c r="CH95" s="3439"/>
      <c r="CI95" s="3440"/>
      <c r="CJ95" s="3440"/>
      <c r="CK95" s="3440"/>
      <c r="CL95" s="3440"/>
      <c r="CM95" s="3440"/>
      <c r="CN95" s="3440"/>
      <c r="CO95" s="3441"/>
      <c r="CP95" s="3439"/>
      <c r="CQ95" s="3440"/>
      <c r="CR95" s="3440"/>
      <c r="CS95" s="3440"/>
      <c r="CT95" s="3440"/>
      <c r="CU95" s="3440"/>
      <c r="CV95" s="3440"/>
      <c r="CW95" s="3441"/>
      <c r="CX95" s="3439"/>
      <c r="CY95" s="3440"/>
      <c r="CZ95" s="3440"/>
      <c r="DA95" s="3440"/>
      <c r="DB95" s="3440"/>
      <c r="DC95" s="3440"/>
      <c r="DD95" s="3440"/>
      <c r="DE95" s="3441"/>
      <c r="DF95" s="3441"/>
      <c r="DG95" s="3804"/>
      <c r="DH95" s="3611"/>
      <c r="DI95" s="3790"/>
      <c r="DJ95" s="3790" t="str">
        <f>IF(T95="","",T95)</f>
        <v/>
      </c>
      <c r="DK95" s="3790"/>
      <c r="DL95" s="3790"/>
    </row>
    <row s="4420" customFormat="1" customHeight="1" ht="21">
      <c r="A96" s="3778"/>
      <c r="B96" s="3778"/>
      <c r="C96" s="3778"/>
      <c r="D96" s="3778"/>
      <c r="E96" s="3779"/>
      <c r="F96" s="3779" t="s">
        <v>90</v>
      </c>
      <c r="G96" s="3779"/>
      <c r="H96" s="3779"/>
      <c r="I96" s="3806"/>
      <c r="J96" s="3797" t="str">
        <f>I95&amp;".1"</f>
        <v>1.5.1.1.1.1</v>
      </c>
      <c r="K96" s="3778"/>
      <c r="L96" s="3781" t="s">
        <v>453</v>
      </c>
      <c r="M96" s="3603"/>
      <c r="N96" s="3603"/>
      <c r="O96" s="3798"/>
      <c r="P96" s="3799"/>
      <c r="Q96" s="3799">
        <v>1</v>
      </c>
      <c r="R96" s="3807"/>
      <c r="S96" s="3786" t="str">
        <f>$J96</f>
        <v>1.5.1.1.1.1</v>
      </c>
      <c r="T96" s="3808" t="s">
        <v>454</v>
      </c>
      <c r="U96" s="3788"/>
      <c r="V96" s="3443"/>
      <c r="W96" s="3444"/>
      <c r="X96" s="3444"/>
      <c r="Y96" s="3444"/>
      <c r="Z96" s="3444"/>
      <c r="AA96" s="3444"/>
      <c r="AB96" s="3444"/>
      <c r="AC96" s="3445"/>
      <c r="AD96" s="3443" t="s">
        <v>494</v>
      </c>
      <c r="AE96" s="3444"/>
      <c r="AF96" s="3444"/>
      <c r="AG96" s="3444"/>
      <c r="AH96" s="3444"/>
      <c r="AI96" s="3444"/>
      <c r="AJ96" s="3444"/>
      <c r="AK96" s="3444"/>
      <c r="AL96" s="3443"/>
      <c r="AM96" s="3444"/>
      <c r="AN96" s="3444"/>
      <c r="AO96" s="3444"/>
      <c r="AP96" s="3444"/>
      <c r="AQ96" s="3444"/>
      <c r="AR96" s="3444"/>
      <c r="AS96" s="3445"/>
      <c r="AT96" s="3443"/>
      <c r="AU96" s="3444"/>
      <c r="AV96" s="3444"/>
      <c r="AW96" s="3444"/>
      <c r="AX96" s="3444"/>
      <c r="AY96" s="3444"/>
      <c r="AZ96" s="3444"/>
      <c r="BA96" s="3445"/>
      <c r="BB96" s="3443"/>
      <c r="BC96" s="3444"/>
      <c r="BD96" s="3444"/>
      <c r="BE96" s="3444"/>
      <c r="BF96" s="3444"/>
      <c r="BG96" s="3444"/>
      <c r="BH96" s="3444"/>
      <c r="BI96" s="3445"/>
      <c r="BJ96" s="3443"/>
      <c r="BK96" s="3444"/>
      <c r="BL96" s="3444"/>
      <c r="BM96" s="3444"/>
      <c r="BN96" s="3444"/>
      <c r="BO96" s="3444"/>
      <c r="BP96" s="3444"/>
      <c r="BQ96" s="3445"/>
      <c r="BR96" s="3443"/>
      <c r="BS96" s="3444"/>
      <c r="BT96" s="3444"/>
      <c r="BU96" s="3444"/>
      <c r="BV96" s="3444"/>
      <c r="BW96" s="3444"/>
      <c r="BX96" s="3444"/>
      <c r="BY96" s="3445"/>
      <c r="BZ96" s="3443"/>
      <c r="CA96" s="3444"/>
      <c r="CB96" s="3444"/>
      <c r="CC96" s="3444"/>
      <c r="CD96" s="3444"/>
      <c r="CE96" s="3444"/>
      <c r="CF96" s="3444"/>
      <c r="CG96" s="3445"/>
      <c r="CH96" s="3443"/>
      <c r="CI96" s="3444"/>
      <c r="CJ96" s="3444"/>
      <c r="CK96" s="3444"/>
      <c r="CL96" s="3444"/>
      <c r="CM96" s="3444"/>
      <c r="CN96" s="3444"/>
      <c r="CO96" s="3445"/>
      <c r="CP96" s="3443"/>
      <c r="CQ96" s="3444"/>
      <c r="CR96" s="3444"/>
      <c r="CS96" s="3444"/>
      <c r="CT96" s="3444"/>
      <c r="CU96" s="3444"/>
      <c r="CV96" s="3444"/>
      <c r="CW96" s="3445"/>
      <c r="CX96" s="3443"/>
      <c r="CY96" s="3444"/>
      <c r="CZ96" s="3444"/>
      <c r="DA96" s="3444"/>
      <c r="DB96" s="3444"/>
      <c r="DC96" s="3444"/>
      <c r="DD96" s="3444"/>
      <c r="DE96" s="3445"/>
      <c r="DF96" s="3445"/>
      <c r="DG96" s="3789" t="s">
        <v>455</v>
      </c>
      <c r="DH96" s="3611"/>
      <c r="DI96" s="3790"/>
      <c r="DJ96" s="3790" t="str">
        <f>IF(T96="","",T96)</f>
        <v>Группа потребителей</v>
      </c>
      <c r="DK96" s="3790"/>
      <c r="DL96" s="3790"/>
    </row>
    <row s="4421" customFormat="1" customHeight="1" ht="21">
      <c r="A97" s="3778"/>
      <c r="B97" s="3778"/>
      <c r="C97" s="3778"/>
      <c r="D97" s="3778"/>
      <c r="E97" s="3779"/>
      <c r="F97" s="3779" t="s">
        <v>90</v>
      </c>
      <c r="G97" s="3779"/>
      <c r="H97" s="3779"/>
      <c r="I97" s="3806"/>
      <c r="J97" s="3806"/>
      <c r="K97" s="3797" t="str">
        <f>J96&amp;".1"</f>
        <v>1.5.1.1.1.1.1</v>
      </c>
      <c r="L97" s="3781" t="s">
        <v>456</v>
      </c>
      <c r="M97" s="3603"/>
      <c r="N97" s="3603"/>
      <c r="O97" s="3603"/>
      <c r="P97" s="3799"/>
      <c r="Q97" s="3799"/>
      <c r="R97" s="3807">
        <v>1</v>
      </c>
      <c r="S97" s="3786" t="str">
        <f>$K97</f>
        <v>1.5.1.1.1.1.1</v>
      </c>
      <c r="T97" s="3810" t="s">
        <v>495</v>
      </c>
      <c r="U97" s="3788"/>
      <c r="V97" s="3446"/>
      <c r="W97" s="3447"/>
      <c r="X97" s="3446"/>
      <c r="Y97" s="3448"/>
      <c r="Z97" s="3449"/>
      <c r="AA97" s="2872" t="s">
        <v>61</v>
      </c>
      <c r="AB97" s="3449"/>
      <c r="AC97" s="2872" t="s">
        <v>61</v>
      </c>
      <c r="AD97" s="3446">
        <v>43.01</v>
      </c>
      <c r="AE97" s="3447"/>
      <c r="AF97" s="3446"/>
      <c r="AG97" s="3448"/>
      <c r="AH97" s="3449">
        <v>45292</v>
      </c>
      <c r="AI97" s="2872" t="s">
        <v>61</v>
      </c>
      <c r="AJ97" s="3449">
        <v>45473</v>
      </c>
      <c r="AK97" s="2872" t="s">
        <v>61</v>
      </c>
      <c r="AL97" s="3446">
        <v>51.74</v>
      </c>
      <c r="AM97" s="3447"/>
      <c r="AN97" s="3446"/>
      <c r="AO97" s="3448"/>
      <c r="AP97" s="3449">
        <v>45474</v>
      </c>
      <c r="AQ97" s="2872" t="s">
        <v>61</v>
      </c>
      <c r="AR97" s="3449">
        <v>45657</v>
      </c>
      <c r="AS97" s="2872" t="s">
        <v>61</v>
      </c>
      <c r="AT97" s="3446">
        <v>48.75</v>
      </c>
      <c r="AU97" s="3447"/>
      <c r="AV97" s="3446"/>
      <c r="AW97" s="3448"/>
      <c r="AX97" s="3449">
        <v>45658</v>
      </c>
      <c r="AY97" s="2872" t="s">
        <v>61</v>
      </c>
      <c r="AZ97" s="3449">
        <v>45838</v>
      </c>
      <c r="BA97" s="2872" t="s">
        <v>61</v>
      </c>
      <c r="BB97" s="3446">
        <v>48.75</v>
      </c>
      <c r="BC97" s="3447"/>
      <c r="BD97" s="3446"/>
      <c r="BE97" s="3448"/>
      <c r="BF97" s="3449">
        <v>45839</v>
      </c>
      <c r="BG97" s="2872" t="s">
        <v>61</v>
      </c>
      <c r="BH97" s="3449">
        <v>46022</v>
      </c>
      <c r="BI97" s="2872" t="s">
        <v>61</v>
      </c>
      <c r="BJ97" s="3446">
        <v>48.75</v>
      </c>
      <c r="BK97" s="3447"/>
      <c r="BL97" s="3446"/>
      <c r="BM97" s="3448"/>
      <c r="BN97" s="3449">
        <v>46023</v>
      </c>
      <c r="BO97" s="2872" t="s">
        <v>61</v>
      </c>
      <c r="BP97" s="3449">
        <v>46203</v>
      </c>
      <c r="BQ97" s="2872" t="s">
        <v>61</v>
      </c>
      <c r="BR97" s="3446">
        <v>51.7</v>
      </c>
      <c r="BS97" s="3447"/>
      <c r="BT97" s="3446"/>
      <c r="BU97" s="3448"/>
      <c r="BV97" s="3449">
        <v>46204</v>
      </c>
      <c r="BW97" s="2872" t="s">
        <v>61</v>
      </c>
      <c r="BX97" s="3449">
        <v>46387</v>
      </c>
      <c r="BY97" s="2872" t="s">
        <v>61</v>
      </c>
      <c r="BZ97" s="3446">
        <v>51.7</v>
      </c>
      <c r="CA97" s="3447"/>
      <c r="CB97" s="3446"/>
      <c r="CC97" s="3448"/>
      <c r="CD97" s="3449">
        <v>46388</v>
      </c>
      <c r="CE97" s="2872" t="s">
        <v>61</v>
      </c>
      <c r="CF97" s="3449">
        <v>46568</v>
      </c>
      <c r="CG97" s="2872" t="s">
        <v>61</v>
      </c>
      <c r="CH97" s="3446">
        <v>53.77</v>
      </c>
      <c r="CI97" s="3447"/>
      <c r="CJ97" s="3446"/>
      <c r="CK97" s="3448"/>
      <c r="CL97" s="3449">
        <v>46569</v>
      </c>
      <c r="CM97" s="2872" t="s">
        <v>61</v>
      </c>
      <c r="CN97" s="3449">
        <v>46752</v>
      </c>
      <c r="CO97" s="2872" t="s">
        <v>61</v>
      </c>
      <c r="CP97" s="3446">
        <v>53.77</v>
      </c>
      <c r="CQ97" s="3447"/>
      <c r="CR97" s="3446"/>
      <c r="CS97" s="3448"/>
      <c r="CT97" s="3449">
        <v>46753</v>
      </c>
      <c r="CU97" s="2872" t="s">
        <v>61</v>
      </c>
      <c r="CV97" s="3449">
        <v>46934</v>
      </c>
      <c r="CW97" s="2872" t="s">
        <v>61</v>
      </c>
      <c r="CX97" s="3446">
        <v>55.92</v>
      </c>
      <c r="CY97" s="3447"/>
      <c r="CZ97" s="3446"/>
      <c r="DA97" s="3448"/>
      <c r="DB97" s="3449">
        <v>46935</v>
      </c>
      <c r="DC97" s="2872" t="s">
        <v>61</v>
      </c>
      <c r="DD97" s="3449">
        <v>47118</v>
      </c>
      <c r="DE97" s="2872" t="s">
        <v>61</v>
      </c>
      <c r="DF97" s="3447"/>
      <c r="DG97" s="3811" t="s">
        <v>457</v>
      </c>
      <c r="DH97" s="3611">
        <f>STRCHECKDATE(V98:DF98)</f>
      </c>
      <c r="DI97" s="3790"/>
      <c r="DJ97" s="3790" t="str">
        <f>IF(T97="","",T97)</f>
        <v>вода</v>
      </c>
      <c r="DK97" s="3790"/>
      <c r="DL97" s="3790"/>
    </row>
    <row s="4422" customFormat="1" customHeight="1" ht="0.75">
      <c r="A98" s="3778"/>
      <c r="B98" s="3778"/>
      <c r="C98" s="3778"/>
      <c r="D98" s="3778"/>
      <c r="E98" s="3779"/>
      <c r="F98" s="3779" t="s">
        <v>90</v>
      </c>
      <c r="G98" s="3779"/>
      <c r="H98" s="3779"/>
      <c r="I98" s="3806"/>
      <c r="J98" s="3806"/>
      <c r="K98" s="3797"/>
      <c r="L98" s="3781"/>
      <c r="M98" s="3603"/>
      <c r="N98" s="3603"/>
      <c r="O98" s="3603"/>
      <c r="P98" s="3799"/>
      <c r="Q98" s="3799"/>
      <c r="R98" s="3807"/>
      <c r="S98" s="3813"/>
      <c r="T98" s="3788"/>
      <c r="U98" s="3788"/>
      <c r="V98" s="3447"/>
      <c r="W98" s="3447"/>
      <c r="X98" s="3447"/>
      <c r="Y98" s="3450" t="str">
        <f>Z97&amp;"-"&amp;AB97</f>
        <v>-</v>
      </c>
      <c r="Z98" s="3451"/>
      <c r="AA98" s="2872"/>
      <c r="AB98" s="3451"/>
      <c r="AC98" s="2872"/>
      <c r="AD98" s="3447"/>
      <c r="AE98" s="3447"/>
      <c r="AF98" s="3447"/>
      <c r="AG98" s="3450" t="str">
        <f>AH97&amp;"-"&amp;AJ97</f>
        <v>45292-45473</v>
      </c>
      <c r="AH98" s="3451"/>
      <c r="AI98" s="2872"/>
      <c r="AJ98" s="3451"/>
      <c r="AK98" s="2872"/>
      <c r="AL98" s="3447"/>
      <c r="AM98" s="3447"/>
      <c r="AN98" s="3447"/>
      <c r="AO98" s="3450" t="str">
        <f>AP97&amp;"-"&amp;AR97</f>
        <v>45474-45657</v>
      </c>
      <c r="AP98" s="3451"/>
      <c r="AQ98" s="2872"/>
      <c r="AR98" s="3451"/>
      <c r="AS98" s="2872"/>
      <c r="AT98" s="3447"/>
      <c r="AU98" s="3447"/>
      <c r="AV98" s="3447"/>
      <c r="AW98" s="3450" t="str">
        <f>AX97&amp;"-"&amp;AZ97</f>
        <v>45658-45838</v>
      </c>
      <c r="AX98" s="3451"/>
      <c r="AY98" s="2872"/>
      <c r="AZ98" s="3451"/>
      <c r="BA98" s="2872"/>
      <c r="BB98" s="3447"/>
      <c r="BC98" s="3447"/>
      <c r="BD98" s="3447"/>
      <c r="BE98" s="3450" t="str">
        <f>BF97&amp;"-"&amp;BH97</f>
        <v>45839-46022</v>
      </c>
      <c r="BF98" s="3451"/>
      <c r="BG98" s="2872"/>
      <c r="BH98" s="3451"/>
      <c r="BI98" s="2872"/>
      <c r="BJ98" s="3447"/>
      <c r="BK98" s="3447"/>
      <c r="BL98" s="3447"/>
      <c r="BM98" s="3450" t="str">
        <f>BN97&amp;"-"&amp;BP97</f>
        <v>46023-46203</v>
      </c>
      <c r="BN98" s="3451"/>
      <c r="BO98" s="2872"/>
      <c r="BP98" s="3451"/>
      <c r="BQ98" s="2872"/>
      <c r="BR98" s="3447"/>
      <c r="BS98" s="3447"/>
      <c r="BT98" s="3447"/>
      <c r="BU98" s="3450" t="str">
        <f>BV97&amp;"-"&amp;BX97</f>
        <v>46204-46387</v>
      </c>
      <c r="BV98" s="3451"/>
      <c r="BW98" s="2872"/>
      <c r="BX98" s="3451"/>
      <c r="BY98" s="2872"/>
      <c r="BZ98" s="3447"/>
      <c r="CA98" s="3447"/>
      <c r="CB98" s="3447"/>
      <c r="CC98" s="3450" t="str">
        <f>CD97&amp;"-"&amp;CF97</f>
        <v>46388-46568</v>
      </c>
      <c r="CD98" s="3451"/>
      <c r="CE98" s="2872"/>
      <c r="CF98" s="3451"/>
      <c r="CG98" s="2872"/>
      <c r="CH98" s="3447"/>
      <c r="CI98" s="3447"/>
      <c r="CJ98" s="3447"/>
      <c r="CK98" s="3450" t="str">
        <f>CL97&amp;"-"&amp;CN97</f>
        <v>46569-46752</v>
      </c>
      <c r="CL98" s="3451"/>
      <c r="CM98" s="2872"/>
      <c r="CN98" s="3451"/>
      <c r="CO98" s="2872"/>
      <c r="CP98" s="3447"/>
      <c r="CQ98" s="3447"/>
      <c r="CR98" s="3447"/>
      <c r="CS98" s="3450" t="str">
        <f>CT97&amp;"-"&amp;CV97</f>
        <v>46753-46934</v>
      </c>
      <c r="CT98" s="3451"/>
      <c r="CU98" s="2872"/>
      <c r="CV98" s="3451"/>
      <c r="CW98" s="2872"/>
      <c r="CX98" s="3447"/>
      <c r="CY98" s="3447"/>
      <c r="CZ98" s="3447"/>
      <c r="DA98" s="3450" t="str">
        <f>DB97&amp;"-"&amp;DD97</f>
        <v>46935-47118</v>
      </c>
      <c r="DB98" s="3451"/>
      <c r="DC98" s="2872"/>
      <c r="DD98" s="3451"/>
      <c r="DE98" s="2872"/>
      <c r="DF98" s="3447"/>
      <c r="DG98" s="3814"/>
      <c r="DH98" s="3611"/>
      <c r="DI98" s="3790"/>
      <c r="DJ98" s="3790" t="str">
        <f>IF(T98="","",T98)</f>
        <v/>
      </c>
      <c r="DK98" s="3790"/>
      <c r="DL98" s="3790"/>
    </row>
    <row s="4423" customFormat="1" customHeight="1" ht="15">
      <c r="A99" s="3778"/>
      <c r="B99" s="3778"/>
      <c r="C99" s="3778"/>
      <c r="D99" s="3778"/>
      <c r="E99" s="3779"/>
      <c r="F99" s="3779" t="s">
        <v>90</v>
      </c>
      <c r="G99" s="3779"/>
      <c r="H99" s="3779"/>
      <c r="I99" s="3806"/>
      <c r="J99" s="3797"/>
      <c r="K99" s="3778"/>
      <c r="L99" s="3781"/>
      <c r="M99" s="3603"/>
      <c r="N99" s="3603"/>
      <c r="O99" s="3798"/>
      <c r="P99" s="3799"/>
      <c r="Q99" s="3799"/>
      <c r="R99" s="3800"/>
      <c r="S99" s="4424"/>
      <c r="T99" s="4425" t="s">
        <v>458</v>
      </c>
      <c r="U99" s="4426"/>
      <c r="V99" s="4427"/>
      <c r="W99" s="4428"/>
      <c r="X99" s="4429"/>
      <c r="Y99" s="4430"/>
      <c r="Z99" s="4431"/>
      <c r="AA99" s="4432"/>
      <c r="AB99" s="4433"/>
      <c r="AC99" s="4434"/>
      <c r="AD99" s="4435"/>
      <c r="AE99" s="4436"/>
      <c r="AF99" s="4437"/>
      <c r="AG99" s="4438"/>
      <c r="AH99" s="4439"/>
      <c r="AI99" s="4440"/>
      <c r="AJ99" s="4441"/>
      <c r="AK99" s="4442"/>
      <c r="AL99" s="4443"/>
      <c r="AM99" s="4444"/>
      <c r="AN99" s="4445"/>
      <c r="AO99" s="4446"/>
      <c r="AP99" s="4447"/>
      <c r="AQ99" s="4448"/>
      <c r="AR99" s="4449"/>
      <c r="AS99" s="4450"/>
      <c r="AT99" s="4451"/>
      <c r="AU99" s="4452"/>
      <c r="AV99" s="4453"/>
      <c r="AW99" s="4454"/>
      <c r="AX99" s="4455"/>
      <c r="AY99" s="4456"/>
      <c r="AZ99" s="4457"/>
      <c r="BA99" s="4458"/>
      <c r="BB99" s="4459"/>
      <c r="BC99" s="4460"/>
      <c r="BD99" s="4461"/>
      <c r="BE99" s="4462"/>
      <c r="BF99" s="4463"/>
      <c r="BG99" s="4464"/>
      <c r="BH99" s="4465"/>
      <c r="BI99" s="4466"/>
      <c r="BJ99" s="4467"/>
      <c r="BK99" s="4468"/>
      <c r="BL99" s="4469"/>
      <c r="BM99" s="4470"/>
      <c r="BN99" s="4471"/>
      <c r="BO99" s="4472"/>
      <c r="BP99" s="4473"/>
      <c r="BQ99" s="4474"/>
      <c r="BR99" s="4475"/>
      <c r="BS99" s="4476"/>
      <c r="BT99" s="4477"/>
      <c r="BU99" s="4478"/>
      <c r="BV99" s="4479"/>
      <c r="BW99" s="4480"/>
      <c r="BX99" s="4481"/>
      <c r="BY99" s="4482"/>
      <c r="BZ99" s="4483"/>
      <c r="CA99" s="4484"/>
      <c r="CB99" s="4485"/>
      <c r="CC99" s="4486"/>
      <c r="CD99" s="4487"/>
      <c r="CE99" s="4488"/>
      <c r="CF99" s="4489"/>
      <c r="CG99" s="4490"/>
      <c r="CH99" s="4491"/>
      <c r="CI99" s="4492"/>
      <c r="CJ99" s="4493"/>
      <c r="CK99" s="4494"/>
      <c r="CL99" s="4495"/>
      <c r="CM99" s="4496"/>
      <c r="CN99" s="4497"/>
      <c r="CO99" s="4498"/>
      <c r="CP99" s="4499"/>
      <c r="CQ99" s="4500"/>
      <c r="CR99" s="4501"/>
      <c r="CS99" s="4502"/>
      <c r="CT99" s="4503"/>
      <c r="CU99" s="4504"/>
      <c r="CV99" s="4505"/>
      <c r="CW99" s="4506"/>
      <c r="CX99" s="4507"/>
      <c r="CY99" s="4508"/>
      <c r="CZ99" s="4509"/>
      <c r="DA99" s="4510"/>
      <c r="DB99" s="4511"/>
      <c r="DC99" s="4512"/>
      <c r="DD99" s="4513"/>
      <c r="DE99" s="4514"/>
      <c r="DF99" s="4515"/>
      <c r="DG99" s="3908"/>
      <c r="DH99" s="3611"/>
      <c r="DI99" s="3790"/>
      <c r="DJ99" s="3790" t="str">
        <f>IF(T99="","",T99)</f>
        <v>Добавить вид теплоносителя (параметры теплоносителя)</v>
      </c>
      <c r="DK99" s="3790"/>
      <c r="DL99" s="3790"/>
    </row>
    <row s="4516" customFormat="1" customHeight="1" ht="15">
      <c r="A100" s="3778"/>
      <c r="B100" s="3778"/>
      <c r="C100" s="3778"/>
      <c r="D100" s="3778"/>
      <c r="E100" s="3779"/>
      <c r="F100" s="3779" t="s">
        <v>90</v>
      </c>
      <c r="G100" s="3779"/>
      <c r="H100" s="3779"/>
      <c r="I100" s="3797"/>
      <c r="J100" s="3778"/>
      <c r="K100" s="3778"/>
      <c r="L100" s="3781"/>
      <c r="M100" s="3603"/>
      <c r="N100" s="3798"/>
      <c r="O100" s="3798"/>
      <c r="P100" s="3799"/>
      <c r="Q100" s="3799"/>
      <c r="R100" s="3800"/>
      <c r="S100" s="4517"/>
      <c r="T100" s="4518" t="s">
        <v>459</v>
      </c>
      <c r="U100" s="4519"/>
      <c r="V100" s="4520"/>
      <c r="W100" s="4521"/>
      <c r="X100" s="4522"/>
      <c r="Y100" s="4523"/>
      <c r="Z100" s="4524"/>
      <c r="AA100" s="4525"/>
      <c r="AB100" s="4526"/>
      <c r="AC100" s="4527"/>
      <c r="AD100" s="4528"/>
      <c r="AE100" s="4529"/>
      <c r="AF100" s="4530"/>
      <c r="AG100" s="4531"/>
      <c r="AH100" s="4532"/>
      <c r="AI100" s="4533"/>
      <c r="AJ100" s="4534"/>
      <c r="AK100" s="4535"/>
      <c r="AL100" s="4536"/>
      <c r="AM100" s="4537"/>
      <c r="AN100" s="4538"/>
      <c r="AO100" s="4539"/>
      <c r="AP100" s="4540"/>
      <c r="AQ100" s="4541"/>
      <c r="AR100" s="4542"/>
      <c r="AS100" s="4543"/>
      <c r="AT100" s="4544"/>
      <c r="AU100" s="4545"/>
      <c r="AV100" s="4546"/>
      <c r="AW100" s="4547"/>
      <c r="AX100" s="4548"/>
      <c r="AY100" s="4549"/>
      <c r="AZ100" s="4550"/>
      <c r="BA100" s="4551"/>
      <c r="BB100" s="4552"/>
      <c r="BC100" s="4553"/>
      <c r="BD100" s="4554"/>
      <c r="BE100" s="4555"/>
      <c r="BF100" s="4556"/>
      <c r="BG100" s="4557"/>
      <c r="BH100" s="4558"/>
      <c r="BI100" s="4559"/>
      <c r="BJ100" s="4560"/>
      <c r="BK100" s="4561"/>
      <c r="BL100" s="4562"/>
      <c r="BM100" s="4563"/>
      <c r="BN100" s="4564"/>
      <c r="BO100" s="4565"/>
      <c r="BP100" s="4566"/>
      <c r="BQ100" s="4567"/>
      <c r="BR100" s="4568"/>
      <c r="BS100" s="4569"/>
      <c r="BT100" s="4570"/>
      <c r="BU100" s="4571"/>
      <c r="BV100" s="4572"/>
      <c r="BW100" s="4573"/>
      <c r="BX100" s="4574"/>
      <c r="BY100" s="4575"/>
      <c r="BZ100" s="4576"/>
      <c r="CA100" s="4577"/>
      <c r="CB100" s="4578"/>
      <c r="CC100" s="4579"/>
      <c r="CD100" s="4580"/>
      <c r="CE100" s="4581"/>
      <c r="CF100" s="4582"/>
      <c r="CG100" s="4583"/>
      <c r="CH100" s="4584"/>
      <c r="CI100" s="4585"/>
      <c r="CJ100" s="4586"/>
      <c r="CK100" s="4587"/>
      <c r="CL100" s="4588"/>
      <c r="CM100" s="4589"/>
      <c r="CN100" s="4590"/>
      <c r="CO100" s="4591"/>
      <c r="CP100" s="4592"/>
      <c r="CQ100" s="4593"/>
      <c r="CR100" s="4594"/>
      <c r="CS100" s="4595"/>
      <c r="CT100" s="4596"/>
      <c r="CU100" s="4597"/>
      <c r="CV100" s="4598"/>
      <c r="CW100" s="4599"/>
      <c r="CX100" s="4600"/>
      <c r="CY100" s="4601"/>
      <c r="CZ100" s="4602"/>
      <c r="DA100" s="4603"/>
      <c r="DB100" s="4604"/>
      <c r="DC100" s="4605"/>
      <c r="DD100" s="4606"/>
      <c r="DE100" s="4607"/>
      <c r="DF100" s="4608"/>
      <c r="DG100" s="4609"/>
      <c r="DH100" s="3611"/>
      <c r="DI100" s="3790"/>
      <c r="DJ100" s="3790" t="str">
        <f>IF(T100="","",T100)</f>
        <v>Добавить группу потребителей</v>
      </c>
      <c r="DK100" s="3790"/>
      <c r="DL100" s="3790"/>
    </row>
    <row s="4610" customFormat="1" customHeight="1" ht="14.25">
      <c r="A101" s="3778"/>
      <c r="B101" s="3778"/>
      <c r="C101" s="3778"/>
      <c r="D101" s="3778"/>
      <c r="E101" s="3779"/>
      <c r="F101" s="3779" t="s">
        <v>90</v>
      </c>
      <c r="G101" s="3779"/>
      <c r="H101" s="3780"/>
      <c r="I101" s="3778"/>
      <c r="J101" s="3778"/>
      <c r="K101" s="3778"/>
      <c r="L101" s="3781"/>
      <c r="M101" s="3782"/>
      <c r="N101" s="3782"/>
      <c r="O101" s="3603"/>
      <c r="P101" s="4004"/>
      <c r="Q101" s="4005"/>
      <c r="R101" s="4006"/>
      <c r="S101" s="4007"/>
      <c r="T101" s="4008"/>
      <c r="U101" s="3599"/>
      <c r="V101" s="3599"/>
      <c r="W101" s="3599"/>
      <c r="X101" s="3599"/>
      <c r="Y101" s="3599"/>
      <c r="Z101" s="3599"/>
      <c r="AA101" s="3599"/>
      <c r="AB101" s="3599"/>
      <c r="AC101" s="3599"/>
      <c r="AD101" s="3599"/>
      <c r="AE101" s="3599"/>
      <c r="AF101" s="3599"/>
      <c r="AG101" s="3599"/>
      <c r="AH101" s="3599"/>
      <c r="AI101" s="3599"/>
      <c r="AJ101" s="3599"/>
      <c r="AK101" s="3599"/>
      <c r="AL101" s="3599"/>
      <c r="AM101" s="3599"/>
      <c r="AN101" s="3599"/>
      <c r="AO101" s="3599"/>
      <c r="AP101" s="3599"/>
      <c r="AQ101" s="3599"/>
      <c r="AR101" s="3599"/>
      <c r="AS101" s="3599"/>
      <c r="AT101" s="3599"/>
      <c r="AU101" s="3599"/>
      <c r="AV101" s="3599"/>
      <c r="AW101" s="3599"/>
      <c r="AX101" s="3599"/>
      <c r="AY101" s="3599"/>
      <c r="AZ101" s="3599"/>
      <c r="BA101" s="3599"/>
      <c r="BB101" s="3599"/>
      <c r="BC101" s="3599"/>
      <c r="BD101" s="3599"/>
      <c r="BE101" s="3599"/>
      <c r="BF101" s="3599"/>
      <c r="BG101" s="3599"/>
      <c r="BH101" s="3599"/>
      <c r="BI101" s="3599"/>
      <c r="BJ101" s="3599"/>
      <c r="BK101" s="3599"/>
      <c r="BL101" s="3599"/>
      <c r="BM101" s="3599"/>
      <c r="BN101" s="3599"/>
      <c r="BO101" s="3599"/>
      <c r="BP101" s="3599"/>
      <c r="BQ101" s="3599"/>
      <c r="BR101" s="3599"/>
      <c r="BS101" s="3599"/>
      <c r="BT101" s="3599"/>
      <c r="BU101" s="3599"/>
      <c r="BV101" s="3599"/>
      <c r="BW101" s="3599"/>
      <c r="BX101" s="3599"/>
      <c r="BY101" s="3599"/>
      <c r="BZ101" s="3599"/>
      <c r="CA101" s="3599"/>
      <c r="CB101" s="3599"/>
      <c r="CC101" s="3599"/>
      <c r="CD101" s="3599"/>
      <c r="CE101" s="3599"/>
      <c r="CF101" s="3599"/>
      <c r="CG101" s="3599"/>
      <c r="CH101" s="3599"/>
      <c r="CI101" s="3599"/>
      <c r="CJ101" s="3599"/>
      <c r="CK101" s="3599"/>
      <c r="CL101" s="3599"/>
      <c r="CM101" s="3599"/>
      <c r="CN101" s="3599"/>
      <c r="CO101" s="3599"/>
      <c r="CP101" s="3599"/>
      <c r="CQ101" s="3599"/>
      <c r="CR101" s="3599"/>
      <c r="CS101" s="3599"/>
      <c r="CT101" s="3599"/>
      <c r="CU101" s="3599"/>
      <c r="CV101" s="3599"/>
      <c r="CW101" s="3599"/>
      <c r="CX101" s="3599"/>
      <c r="CY101" s="3599"/>
      <c r="CZ101" s="3599"/>
      <c r="DA101" s="3599"/>
      <c r="DB101" s="3599"/>
      <c r="DC101" s="3599"/>
      <c r="DD101" s="3599"/>
      <c r="DE101" s="3599"/>
      <c r="DF101" s="3599"/>
      <c r="DG101" s="4009"/>
      <c r="DH101" s="3611"/>
      <c r="DI101" s="3790"/>
      <c r="DJ101" s="3790" t="str">
        <f>IF(T101="","",T101)</f>
        <v/>
      </c>
      <c r="DK101" s="3790"/>
      <c r="DL101" s="3790"/>
    </row>
    <row s="4611" customFormat="1" customHeight="1" ht="21">
      <c r="A102" s="3778"/>
      <c r="B102" s="3778"/>
      <c r="C102" s="3778"/>
      <c r="D102" s="3778" t="s">
        <v>210</v>
      </c>
      <c r="E102" s="3779"/>
      <c r="F102" s="3779"/>
      <c r="G102" s="3779"/>
      <c r="H102" s="3780" t="s">
        <v>102</v>
      </c>
      <c r="I102" s="3778"/>
      <c r="J102" s="3778"/>
      <c r="K102" s="3778"/>
      <c r="L102" s="3781"/>
      <c r="M102" s="3782"/>
      <c r="N102" s="3782"/>
      <c r="O102" s="3782"/>
      <c r="P102" s="3792"/>
      <c r="Q102" s="3784"/>
      <c r="R102" s="3785"/>
      <c r="S102" s="3786" t="str">
        <f>INDEX(PT_DIFFERENTIATION_NUM_IST_TE,MATCH(D102,PT_DIFFERENTIATION_IST_TE_ID,0))</f>
        <v>1.5.1.2</v>
      </c>
      <c r="T102" s="3795" t="s">
        <v>448</v>
      </c>
      <c r="U102" s="3788"/>
      <c r="V102" s="3430"/>
      <c r="W102" s="3431"/>
      <c r="X102" s="3431"/>
      <c r="Y102" s="3431"/>
      <c r="Z102" s="3431"/>
      <c r="AA102" s="3431"/>
      <c r="AB102" s="3431"/>
      <c r="AC102" s="3432"/>
      <c r="AD102" s="3430" t="str">
        <f>INDEX(PT_DIFFERENTIATION_IST_TE,MATCH(D102,PT_DIFFERENTIATION_IST_TE_ID,0))</f>
        <v>город Кандалакша (микрорайон Нива-3)</v>
      </c>
      <c r="AE102" s="3431"/>
      <c r="AF102" s="3431"/>
      <c r="AG102" s="3431"/>
      <c r="AH102" s="3431"/>
      <c r="AI102" s="3431"/>
      <c r="AJ102" s="3431"/>
      <c r="AK102" s="3431"/>
      <c r="AL102" s="3430"/>
      <c r="AM102" s="3431"/>
      <c r="AN102" s="3431"/>
      <c r="AO102" s="3431"/>
      <c r="AP102" s="3431"/>
      <c r="AQ102" s="3431"/>
      <c r="AR102" s="3431"/>
      <c r="AS102" s="3432"/>
      <c r="AT102" s="3430"/>
      <c r="AU102" s="3431"/>
      <c r="AV102" s="3431"/>
      <c r="AW102" s="3431"/>
      <c r="AX102" s="3431"/>
      <c r="AY102" s="3431"/>
      <c r="AZ102" s="3431"/>
      <c r="BA102" s="3432"/>
      <c r="BB102" s="3430"/>
      <c r="BC102" s="3431"/>
      <c r="BD102" s="3431"/>
      <c r="BE102" s="3431"/>
      <c r="BF102" s="3431"/>
      <c r="BG102" s="3431"/>
      <c r="BH102" s="3431"/>
      <c r="BI102" s="3432"/>
      <c r="BJ102" s="3430"/>
      <c r="BK102" s="3431"/>
      <c r="BL102" s="3431"/>
      <c r="BM102" s="3431"/>
      <c r="BN102" s="3431"/>
      <c r="BO102" s="3431"/>
      <c r="BP102" s="3431"/>
      <c r="BQ102" s="3432"/>
      <c r="BR102" s="3430"/>
      <c r="BS102" s="3431"/>
      <c r="BT102" s="3431"/>
      <c r="BU102" s="3431"/>
      <c r="BV102" s="3431"/>
      <c r="BW102" s="3431"/>
      <c r="BX102" s="3431"/>
      <c r="BY102" s="3432"/>
      <c r="BZ102" s="3430"/>
      <c r="CA102" s="3431"/>
      <c r="CB102" s="3431"/>
      <c r="CC102" s="3431"/>
      <c r="CD102" s="3431"/>
      <c r="CE102" s="3431"/>
      <c r="CF102" s="3431"/>
      <c r="CG102" s="3432"/>
      <c r="CH102" s="3430"/>
      <c r="CI102" s="3431"/>
      <c r="CJ102" s="3431"/>
      <c r="CK102" s="3431"/>
      <c r="CL102" s="3431"/>
      <c r="CM102" s="3431"/>
      <c r="CN102" s="3431"/>
      <c r="CO102" s="3432"/>
      <c r="CP102" s="3430"/>
      <c r="CQ102" s="3431"/>
      <c r="CR102" s="3431"/>
      <c r="CS102" s="3431"/>
      <c r="CT102" s="3431"/>
      <c r="CU102" s="3431"/>
      <c r="CV102" s="3431"/>
      <c r="CW102" s="3432"/>
      <c r="CX102" s="3430"/>
      <c r="CY102" s="3431"/>
      <c r="CZ102" s="3431"/>
      <c r="DA102" s="3431"/>
      <c r="DB102" s="3431"/>
      <c r="DC102" s="3431"/>
      <c r="DD102" s="3431"/>
      <c r="DE102" s="3432"/>
      <c r="DF102" s="3432"/>
      <c r="DG102" s="3789" t="s">
        <v>449</v>
      </c>
      <c r="DH102" s="3611"/>
      <c r="DI102" s="3790"/>
      <c r="DJ102" s="3790" t="str">
        <f>IF(T102="","",T102)</f>
        <v>Источник тепловой энергии  </v>
      </c>
      <c r="DK102" s="3790"/>
      <c r="DL102" s="3790"/>
    </row>
    <row s="4612" customFormat="1" customHeight="1" ht="14.25">
      <c r="A103" s="3778"/>
      <c r="B103" s="3778"/>
      <c r="C103" s="3778"/>
      <c r="D103" s="3778"/>
      <c r="E103" s="3779"/>
      <c r="F103" s="3779"/>
      <c r="G103" s="3779"/>
      <c r="H103" s="3779">
        <v>1</v>
      </c>
      <c r="I103" s="3797" t="str">
        <f>S102&amp;".1"</f>
        <v>1.5.1.2.1</v>
      </c>
      <c r="J103" s="3778"/>
      <c r="K103" s="3778"/>
      <c r="L103" s="3781" t="s">
        <v>450</v>
      </c>
      <c r="M103" s="3603"/>
      <c r="N103" s="3798"/>
      <c r="O103" s="3798"/>
      <c r="P103" s="3799">
        <v>1</v>
      </c>
      <c r="Q103" s="3799"/>
      <c r="R103" s="3800"/>
      <c r="S103" s="3801"/>
      <c r="T103" s="3802"/>
      <c r="U103" s="3803"/>
      <c r="V103" s="3439"/>
      <c r="W103" s="3440"/>
      <c r="X103" s="3440"/>
      <c r="Y103" s="3440"/>
      <c r="Z103" s="3440"/>
      <c r="AA103" s="3440"/>
      <c r="AB103" s="3440"/>
      <c r="AC103" s="3441"/>
      <c r="AD103" s="3439"/>
      <c r="AE103" s="3440"/>
      <c r="AF103" s="3440"/>
      <c r="AG103" s="3440"/>
      <c r="AH103" s="3440"/>
      <c r="AI103" s="3440"/>
      <c r="AJ103" s="3440"/>
      <c r="AK103" s="3440"/>
      <c r="AL103" s="3439"/>
      <c r="AM103" s="3440"/>
      <c r="AN103" s="3440"/>
      <c r="AO103" s="3440"/>
      <c r="AP103" s="3440"/>
      <c r="AQ103" s="3440"/>
      <c r="AR103" s="3440"/>
      <c r="AS103" s="3441"/>
      <c r="AT103" s="3439"/>
      <c r="AU103" s="3440"/>
      <c r="AV103" s="3440"/>
      <c r="AW103" s="3440"/>
      <c r="AX103" s="3440"/>
      <c r="AY103" s="3440"/>
      <c r="AZ103" s="3440"/>
      <c r="BA103" s="3441"/>
      <c r="BB103" s="3439"/>
      <c r="BC103" s="3440"/>
      <c r="BD103" s="3440"/>
      <c r="BE103" s="3440"/>
      <c r="BF103" s="3440"/>
      <c r="BG103" s="3440"/>
      <c r="BH103" s="3440"/>
      <c r="BI103" s="3441"/>
      <c r="BJ103" s="3439"/>
      <c r="BK103" s="3440"/>
      <c r="BL103" s="3440"/>
      <c r="BM103" s="3440"/>
      <c r="BN103" s="3440"/>
      <c r="BO103" s="3440"/>
      <c r="BP103" s="3440"/>
      <c r="BQ103" s="3441"/>
      <c r="BR103" s="3439"/>
      <c r="BS103" s="3440"/>
      <c r="BT103" s="3440"/>
      <c r="BU103" s="3440"/>
      <c r="BV103" s="3440"/>
      <c r="BW103" s="3440"/>
      <c r="BX103" s="3440"/>
      <c r="BY103" s="3441"/>
      <c r="BZ103" s="3439"/>
      <c r="CA103" s="3440"/>
      <c r="CB103" s="3440"/>
      <c r="CC103" s="3440"/>
      <c r="CD103" s="3440"/>
      <c r="CE103" s="3440"/>
      <c r="CF103" s="3440"/>
      <c r="CG103" s="3441"/>
      <c r="CH103" s="3439"/>
      <c r="CI103" s="3440"/>
      <c r="CJ103" s="3440"/>
      <c r="CK103" s="3440"/>
      <c r="CL103" s="3440"/>
      <c r="CM103" s="3440"/>
      <c r="CN103" s="3440"/>
      <c r="CO103" s="3441"/>
      <c r="CP103" s="3439"/>
      <c r="CQ103" s="3440"/>
      <c r="CR103" s="3440"/>
      <c r="CS103" s="3440"/>
      <c r="CT103" s="3440"/>
      <c r="CU103" s="3440"/>
      <c r="CV103" s="3440"/>
      <c r="CW103" s="3441"/>
      <c r="CX103" s="3439"/>
      <c r="CY103" s="3440"/>
      <c r="CZ103" s="3440"/>
      <c r="DA103" s="3440"/>
      <c r="DB103" s="3440"/>
      <c r="DC103" s="3440"/>
      <c r="DD103" s="3440"/>
      <c r="DE103" s="3441"/>
      <c r="DF103" s="3441"/>
      <c r="DG103" s="3804"/>
      <c r="DH103" s="3611"/>
      <c r="DI103" s="3790"/>
      <c r="DJ103" s="3790" t="str">
        <f>IF(T103="","",T103)</f>
        <v/>
      </c>
      <c r="DK103" s="3790"/>
      <c r="DL103" s="3790"/>
    </row>
    <row s="4613" customFormat="1" customHeight="1" ht="21">
      <c r="A104" s="3778"/>
      <c r="B104" s="3778"/>
      <c r="C104" s="3778"/>
      <c r="D104" s="3778"/>
      <c r="E104" s="3779"/>
      <c r="F104" s="3779"/>
      <c r="G104" s="3779"/>
      <c r="H104" s="3779">
        <v>1</v>
      </c>
      <c r="I104" s="3806"/>
      <c r="J104" s="3797" t="str">
        <f>I103&amp;".1"</f>
        <v>1.5.1.2.1.1</v>
      </c>
      <c r="K104" s="3778"/>
      <c r="L104" s="3781" t="s">
        <v>453</v>
      </c>
      <c r="M104" s="3603"/>
      <c r="N104" s="3603"/>
      <c r="O104" s="3798"/>
      <c r="P104" s="3799"/>
      <c r="Q104" s="3799">
        <v>1</v>
      </c>
      <c r="R104" s="3807"/>
      <c r="S104" s="3786" t="str">
        <f>$J104</f>
        <v>1.5.1.2.1.1</v>
      </c>
      <c r="T104" s="3808" t="s">
        <v>454</v>
      </c>
      <c r="U104" s="3788"/>
      <c r="V104" s="3443"/>
      <c r="W104" s="3444"/>
      <c r="X104" s="3444"/>
      <c r="Y104" s="3444"/>
      <c r="Z104" s="3444"/>
      <c r="AA104" s="3444"/>
      <c r="AB104" s="3444"/>
      <c r="AC104" s="3445"/>
      <c r="AD104" s="3443" t="s">
        <v>494</v>
      </c>
      <c r="AE104" s="3444"/>
      <c r="AF104" s="3444"/>
      <c r="AG104" s="3444"/>
      <c r="AH104" s="3444"/>
      <c r="AI104" s="3444"/>
      <c r="AJ104" s="3444"/>
      <c r="AK104" s="3444"/>
      <c r="AL104" s="3443"/>
      <c r="AM104" s="3444"/>
      <c r="AN104" s="3444"/>
      <c r="AO104" s="3444"/>
      <c r="AP104" s="3444"/>
      <c r="AQ104" s="3444"/>
      <c r="AR104" s="3444"/>
      <c r="AS104" s="3445"/>
      <c r="AT104" s="3443"/>
      <c r="AU104" s="3444"/>
      <c r="AV104" s="3444"/>
      <c r="AW104" s="3444"/>
      <c r="AX104" s="3444"/>
      <c r="AY104" s="3444"/>
      <c r="AZ104" s="3444"/>
      <c r="BA104" s="3445"/>
      <c r="BB104" s="3443"/>
      <c r="BC104" s="3444"/>
      <c r="BD104" s="3444"/>
      <c r="BE104" s="3444"/>
      <c r="BF104" s="3444"/>
      <c r="BG104" s="3444"/>
      <c r="BH104" s="3444"/>
      <c r="BI104" s="3445"/>
      <c r="BJ104" s="3443"/>
      <c r="BK104" s="3444"/>
      <c r="BL104" s="3444"/>
      <c r="BM104" s="3444"/>
      <c r="BN104" s="3444"/>
      <c r="BO104" s="3444"/>
      <c r="BP104" s="3444"/>
      <c r="BQ104" s="3445"/>
      <c r="BR104" s="3443"/>
      <c r="BS104" s="3444"/>
      <c r="BT104" s="3444"/>
      <c r="BU104" s="3444"/>
      <c r="BV104" s="3444"/>
      <c r="BW104" s="3444"/>
      <c r="BX104" s="3444"/>
      <c r="BY104" s="3445"/>
      <c r="BZ104" s="3443"/>
      <c r="CA104" s="3444"/>
      <c r="CB104" s="3444"/>
      <c r="CC104" s="3444"/>
      <c r="CD104" s="3444"/>
      <c r="CE104" s="3444"/>
      <c r="CF104" s="3444"/>
      <c r="CG104" s="3445"/>
      <c r="CH104" s="3443"/>
      <c r="CI104" s="3444"/>
      <c r="CJ104" s="3444"/>
      <c r="CK104" s="3444"/>
      <c r="CL104" s="3444"/>
      <c r="CM104" s="3444"/>
      <c r="CN104" s="3444"/>
      <c r="CO104" s="3445"/>
      <c r="CP104" s="3443"/>
      <c r="CQ104" s="3444"/>
      <c r="CR104" s="3444"/>
      <c r="CS104" s="3444"/>
      <c r="CT104" s="3444"/>
      <c r="CU104" s="3444"/>
      <c r="CV104" s="3444"/>
      <c r="CW104" s="3445"/>
      <c r="CX104" s="3443"/>
      <c r="CY104" s="3444"/>
      <c r="CZ104" s="3444"/>
      <c r="DA104" s="3444"/>
      <c r="DB104" s="3444"/>
      <c r="DC104" s="3444"/>
      <c r="DD104" s="3444"/>
      <c r="DE104" s="3445"/>
      <c r="DF104" s="3445"/>
      <c r="DG104" s="3789" t="s">
        <v>455</v>
      </c>
      <c r="DH104" s="3611"/>
      <c r="DI104" s="3790"/>
      <c r="DJ104" s="3790" t="str">
        <f>IF(T104="","",T104)</f>
        <v>Группа потребителей</v>
      </c>
      <c r="DK104" s="3790"/>
      <c r="DL104" s="3790"/>
    </row>
    <row s="4614" customFormat="1" customHeight="1" ht="21">
      <c r="A105" s="3778"/>
      <c r="B105" s="3778"/>
      <c r="C105" s="3778"/>
      <c r="D105" s="3778"/>
      <c r="E105" s="3779"/>
      <c r="F105" s="3779"/>
      <c r="G105" s="3779"/>
      <c r="H105" s="3779">
        <v>1</v>
      </c>
      <c r="I105" s="3806"/>
      <c r="J105" s="3806"/>
      <c r="K105" s="3797" t="str">
        <f>J104&amp;".1"</f>
        <v>1.5.1.2.1.1.1</v>
      </c>
      <c r="L105" s="3781" t="s">
        <v>456</v>
      </c>
      <c r="M105" s="3603"/>
      <c r="N105" s="3603"/>
      <c r="O105" s="3603"/>
      <c r="P105" s="3799"/>
      <c r="Q105" s="3799"/>
      <c r="R105" s="3807">
        <v>1</v>
      </c>
      <c r="S105" s="3786" t="str">
        <f>$K105</f>
        <v>1.5.1.2.1.1.1</v>
      </c>
      <c r="T105" s="3810" t="s">
        <v>495</v>
      </c>
      <c r="U105" s="3788"/>
      <c r="V105" s="3446"/>
      <c r="W105" s="3447"/>
      <c r="X105" s="3446"/>
      <c r="Y105" s="3448"/>
      <c r="Z105" s="3449"/>
      <c r="AA105" s="2872" t="s">
        <v>61</v>
      </c>
      <c r="AB105" s="3449"/>
      <c r="AC105" s="2872" t="s">
        <v>61</v>
      </c>
      <c r="AD105" s="3446">
        <v>51.5</v>
      </c>
      <c r="AE105" s="3447"/>
      <c r="AF105" s="3446"/>
      <c r="AG105" s="3448"/>
      <c r="AH105" s="3449">
        <v>45292</v>
      </c>
      <c r="AI105" s="2872" t="s">
        <v>61</v>
      </c>
      <c r="AJ105" s="3449">
        <v>45473</v>
      </c>
      <c r="AK105" s="2872" t="s">
        <v>61</v>
      </c>
      <c r="AL105" s="3446">
        <v>56.58</v>
      </c>
      <c r="AM105" s="3447"/>
      <c r="AN105" s="3446"/>
      <c r="AO105" s="3448"/>
      <c r="AP105" s="3449">
        <v>45474</v>
      </c>
      <c r="AQ105" s="2872" t="s">
        <v>61</v>
      </c>
      <c r="AR105" s="3449">
        <v>45657</v>
      </c>
      <c r="AS105" s="2872" t="s">
        <v>61</v>
      </c>
      <c r="AT105" s="3446">
        <v>55.97</v>
      </c>
      <c r="AU105" s="3447"/>
      <c r="AV105" s="3446"/>
      <c r="AW105" s="3448"/>
      <c r="AX105" s="3449">
        <v>45658</v>
      </c>
      <c r="AY105" s="2872" t="s">
        <v>61</v>
      </c>
      <c r="AZ105" s="3449">
        <v>45838</v>
      </c>
      <c r="BA105" s="2872" t="s">
        <v>61</v>
      </c>
      <c r="BB105" s="3446">
        <v>55.97</v>
      </c>
      <c r="BC105" s="3447"/>
      <c r="BD105" s="3446"/>
      <c r="BE105" s="3448"/>
      <c r="BF105" s="3449">
        <v>45839</v>
      </c>
      <c r="BG105" s="2872" t="s">
        <v>61</v>
      </c>
      <c r="BH105" s="3449">
        <v>46022</v>
      </c>
      <c r="BI105" s="2872" t="s">
        <v>61</v>
      </c>
      <c r="BJ105" s="3446">
        <v>55.97</v>
      </c>
      <c r="BK105" s="3447"/>
      <c r="BL105" s="3446"/>
      <c r="BM105" s="3448"/>
      <c r="BN105" s="3449">
        <v>46023</v>
      </c>
      <c r="BO105" s="2872" t="s">
        <v>61</v>
      </c>
      <c r="BP105" s="3449">
        <v>46203</v>
      </c>
      <c r="BQ105" s="2872" t="s">
        <v>61</v>
      </c>
      <c r="BR105" s="3446">
        <v>59.27</v>
      </c>
      <c r="BS105" s="3447"/>
      <c r="BT105" s="3446"/>
      <c r="BU105" s="3448"/>
      <c r="BV105" s="3449">
        <v>46204</v>
      </c>
      <c r="BW105" s="2872" t="s">
        <v>61</v>
      </c>
      <c r="BX105" s="3449">
        <v>46387</v>
      </c>
      <c r="BY105" s="2872" t="s">
        <v>61</v>
      </c>
      <c r="BZ105" s="3446">
        <v>59.27</v>
      </c>
      <c r="CA105" s="3447"/>
      <c r="CB105" s="3446"/>
      <c r="CC105" s="3448"/>
      <c r="CD105" s="3449">
        <v>46388</v>
      </c>
      <c r="CE105" s="2872" t="s">
        <v>61</v>
      </c>
      <c r="CF105" s="3449">
        <v>46568</v>
      </c>
      <c r="CG105" s="2872" t="s">
        <v>61</v>
      </c>
      <c r="CH105" s="3446">
        <v>61.64</v>
      </c>
      <c r="CI105" s="3447"/>
      <c r="CJ105" s="3446"/>
      <c r="CK105" s="3448"/>
      <c r="CL105" s="3449">
        <v>46569</v>
      </c>
      <c r="CM105" s="2872" t="s">
        <v>61</v>
      </c>
      <c r="CN105" s="3449">
        <v>46752</v>
      </c>
      <c r="CO105" s="2872" t="s">
        <v>61</v>
      </c>
      <c r="CP105" s="3446">
        <v>61.64</v>
      </c>
      <c r="CQ105" s="3447"/>
      <c r="CR105" s="3446"/>
      <c r="CS105" s="3448"/>
      <c r="CT105" s="3449">
        <v>46753</v>
      </c>
      <c r="CU105" s="2872" t="s">
        <v>61</v>
      </c>
      <c r="CV105" s="3449">
        <v>46934</v>
      </c>
      <c r="CW105" s="2872" t="s">
        <v>61</v>
      </c>
      <c r="CX105" s="3446">
        <v>64.11</v>
      </c>
      <c r="CY105" s="3447"/>
      <c r="CZ105" s="3446"/>
      <c r="DA105" s="3448"/>
      <c r="DB105" s="3449">
        <v>46935</v>
      </c>
      <c r="DC105" s="2872" t="s">
        <v>61</v>
      </c>
      <c r="DD105" s="3449">
        <v>47118</v>
      </c>
      <c r="DE105" s="2872" t="s">
        <v>61</v>
      </c>
      <c r="DF105" s="3447"/>
      <c r="DG105" s="3811" t="s">
        <v>457</v>
      </c>
      <c r="DH105" s="3611">
        <f>STRCHECKDATE(V106:DF106)</f>
      </c>
      <c r="DI105" s="3790"/>
      <c r="DJ105" s="3790" t="str">
        <f>IF(T105="","",T105)</f>
        <v>вода</v>
      </c>
      <c r="DK105" s="3790"/>
      <c r="DL105" s="3790"/>
    </row>
    <row s="4615" customFormat="1" customHeight="1" ht="0.75">
      <c r="A106" s="3778"/>
      <c r="B106" s="3778"/>
      <c r="C106" s="3778"/>
      <c r="D106" s="3778"/>
      <c r="E106" s="3779"/>
      <c r="F106" s="3779"/>
      <c r="G106" s="3779"/>
      <c r="H106" s="3779">
        <v>1</v>
      </c>
      <c r="I106" s="3806"/>
      <c r="J106" s="3806"/>
      <c r="K106" s="3797"/>
      <c r="L106" s="3781"/>
      <c r="M106" s="3603"/>
      <c r="N106" s="3603"/>
      <c r="O106" s="3603"/>
      <c r="P106" s="3799"/>
      <c r="Q106" s="3799"/>
      <c r="R106" s="3807"/>
      <c r="S106" s="3813"/>
      <c r="T106" s="3788"/>
      <c r="U106" s="3788"/>
      <c r="V106" s="3447"/>
      <c r="W106" s="3447"/>
      <c r="X106" s="3447"/>
      <c r="Y106" s="3450" t="str">
        <f>Z105&amp;"-"&amp;AB105</f>
        <v>-</v>
      </c>
      <c r="Z106" s="3451"/>
      <c r="AA106" s="2872"/>
      <c r="AB106" s="3451"/>
      <c r="AC106" s="2872"/>
      <c r="AD106" s="3447"/>
      <c r="AE106" s="3447"/>
      <c r="AF106" s="3447"/>
      <c r="AG106" s="3450" t="str">
        <f>AH105&amp;"-"&amp;AJ105</f>
        <v>45292-45473</v>
      </c>
      <c r="AH106" s="3451"/>
      <c r="AI106" s="2872"/>
      <c r="AJ106" s="3451"/>
      <c r="AK106" s="2872"/>
      <c r="AL106" s="3447"/>
      <c r="AM106" s="3447"/>
      <c r="AN106" s="3447"/>
      <c r="AO106" s="3450" t="str">
        <f>AP105&amp;"-"&amp;AR105</f>
        <v>45474-45657</v>
      </c>
      <c r="AP106" s="3451"/>
      <c r="AQ106" s="2872"/>
      <c r="AR106" s="3451"/>
      <c r="AS106" s="2872"/>
      <c r="AT106" s="3447"/>
      <c r="AU106" s="3447"/>
      <c r="AV106" s="3447"/>
      <c r="AW106" s="3450" t="str">
        <f>AX105&amp;"-"&amp;AZ105</f>
        <v>45658-45838</v>
      </c>
      <c r="AX106" s="3451"/>
      <c r="AY106" s="2872"/>
      <c r="AZ106" s="3451"/>
      <c r="BA106" s="2872"/>
      <c r="BB106" s="3447"/>
      <c r="BC106" s="3447"/>
      <c r="BD106" s="3447"/>
      <c r="BE106" s="3450" t="str">
        <f>BF105&amp;"-"&amp;BH105</f>
        <v>45839-46022</v>
      </c>
      <c r="BF106" s="3451"/>
      <c r="BG106" s="2872"/>
      <c r="BH106" s="3451"/>
      <c r="BI106" s="2872"/>
      <c r="BJ106" s="3447"/>
      <c r="BK106" s="3447"/>
      <c r="BL106" s="3447"/>
      <c r="BM106" s="3450" t="str">
        <f>BN105&amp;"-"&amp;BP105</f>
        <v>46023-46203</v>
      </c>
      <c r="BN106" s="3451"/>
      <c r="BO106" s="2872"/>
      <c r="BP106" s="3451"/>
      <c r="BQ106" s="2872"/>
      <c r="BR106" s="3447"/>
      <c r="BS106" s="3447"/>
      <c r="BT106" s="3447"/>
      <c r="BU106" s="3450" t="str">
        <f>BV105&amp;"-"&amp;BX105</f>
        <v>46204-46387</v>
      </c>
      <c r="BV106" s="3451"/>
      <c r="BW106" s="2872"/>
      <c r="BX106" s="3451"/>
      <c r="BY106" s="2872"/>
      <c r="BZ106" s="3447"/>
      <c r="CA106" s="3447"/>
      <c r="CB106" s="3447"/>
      <c r="CC106" s="3450" t="str">
        <f>CD105&amp;"-"&amp;CF105</f>
        <v>46388-46568</v>
      </c>
      <c r="CD106" s="3451"/>
      <c r="CE106" s="2872"/>
      <c r="CF106" s="3451"/>
      <c r="CG106" s="2872"/>
      <c r="CH106" s="3447"/>
      <c r="CI106" s="3447"/>
      <c r="CJ106" s="3447"/>
      <c r="CK106" s="3450" t="str">
        <f>CL105&amp;"-"&amp;CN105</f>
        <v>46569-46752</v>
      </c>
      <c r="CL106" s="3451"/>
      <c r="CM106" s="2872"/>
      <c r="CN106" s="3451"/>
      <c r="CO106" s="2872"/>
      <c r="CP106" s="3447"/>
      <c r="CQ106" s="3447"/>
      <c r="CR106" s="3447"/>
      <c r="CS106" s="3450" t="str">
        <f>CT105&amp;"-"&amp;CV105</f>
        <v>46753-46934</v>
      </c>
      <c r="CT106" s="3451"/>
      <c r="CU106" s="2872"/>
      <c r="CV106" s="3451"/>
      <c r="CW106" s="2872"/>
      <c r="CX106" s="3447"/>
      <c r="CY106" s="3447"/>
      <c r="CZ106" s="3447"/>
      <c r="DA106" s="3450" t="str">
        <f>DB105&amp;"-"&amp;DD105</f>
        <v>46935-47118</v>
      </c>
      <c r="DB106" s="3451"/>
      <c r="DC106" s="2872"/>
      <c r="DD106" s="3451"/>
      <c r="DE106" s="2872"/>
      <c r="DF106" s="3447"/>
      <c r="DG106" s="3814"/>
      <c r="DH106" s="3611"/>
      <c r="DI106" s="3790"/>
      <c r="DJ106" s="3790" t="str">
        <f>IF(T106="","",T106)</f>
        <v/>
      </c>
      <c r="DK106" s="3790"/>
      <c r="DL106" s="3790"/>
    </row>
    <row s="4616" customFormat="1" customHeight="1" ht="15">
      <c r="A107" s="3778"/>
      <c r="B107" s="3778"/>
      <c r="C107" s="3778"/>
      <c r="D107" s="3778"/>
      <c r="E107" s="3779"/>
      <c r="F107" s="3779"/>
      <c r="G107" s="3779"/>
      <c r="H107" s="3779">
        <v>1</v>
      </c>
      <c r="I107" s="3806"/>
      <c r="J107" s="3797"/>
      <c r="K107" s="3778"/>
      <c r="L107" s="3781"/>
      <c r="M107" s="3603"/>
      <c r="N107" s="3603"/>
      <c r="O107" s="3798"/>
      <c r="P107" s="3799"/>
      <c r="Q107" s="3799"/>
      <c r="R107" s="3800"/>
      <c r="S107" s="4617"/>
      <c r="T107" s="4618" t="s">
        <v>458</v>
      </c>
      <c r="U107" s="4619"/>
      <c r="V107" s="4620"/>
      <c r="W107" s="4621"/>
      <c r="X107" s="4622"/>
      <c r="Y107" s="4623"/>
      <c r="Z107" s="4624"/>
      <c r="AA107" s="4625"/>
      <c r="AB107" s="4626"/>
      <c r="AC107" s="4627"/>
      <c r="AD107" s="4628"/>
      <c r="AE107" s="4629"/>
      <c r="AF107" s="4630"/>
      <c r="AG107" s="4631"/>
      <c r="AH107" s="4632"/>
      <c r="AI107" s="4633"/>
      <c r="AJ107" s="4634"/>
      <c r="AK107" s="4635"/>
      <c r="AL107" s="4636"/>
      <c r="AM107" s="4637"/>
      <c r="AN107" s="4638"/>
      <c r="AO107" s="4639"/>
      <c r="AP107" s="4640"/>
      <c r="AQ107" s="4641"/>
      <c r="AR107" s="4642"/>
      <c r="AS107" s="4643"/>
      <c r="AT107" s="4644"/>
      <c r="AU107" s="4645"/>
      <c r="AV107" s="4646"/>
      <c r="AW107" s="4647"/>
      <c r="AX107" s="4648"/>
      <c r="AY107" s="4649"/>
      <c r="AZ107" s="4650"/>
      <c r="BA107" s="4651"/>
      <c r="BB107" s="4652"/>
      <c r="BC107" s="4653"/>
      <c r="BD107" s="4654"/>
      <c r="BE107" s="4655"/>
      <c r="BF107" s="4656"/>
      <c r="BG107" s="4657"/>
      <c r="BH107" s="4658"/>
      <c r="BI107" s="4659"/>
      <c r="BJ107" s="4660"/>
      <c r="BK107" s="4661"/>
      <c r="BL107" s="4662"/>
      <c r="BM107" s="4663"/>
      <c r="BN107" s="4664"/>
      <c r="BO107" s="4665"/>
      <c r="BP107" s="4666"/>
      <c r="BQ107" s="4667"/>
      <c r="BR107" s="4668"/>
      <c r="BS107" s="4669"/>
      <c r="BT107" s="4670"/>
      <c r="BU107" s="4671"/>
      <c r="BV107" s="4672"/>
      <c r="BW107" s="4673"/>
      <c r="BX107" s="4674"/>
      <c r="BY107" s="4675"/>
      <c r="BZ107" s="4676"/>
      <c r="CA107" s="4677"/>
      <c r="CB107" s="4678"/>
      <c r="CC107" s="4679"/>
      <c r="CD107" s="4680"/>
      <c r="CE107" s="4681"/>
      <c r="CF107" s="4682"/>
      <c r="CG107" s="4683"/>
      <c r="CH107" s="4684"/>
      <c r="CI107" s="4685"/>
      <c r="CJ107" s="4686"/>
      <c r="CK107" s="4687"/>
      <c r="CL107" s="4688"/>
      <c r="CM107" s="4689"/>
      <c r="CN107" s="4690"/>
      <c r="CO107" s="4691"/>
      <c r="CP107" s="4692"/>
      <c r="CQ107" s="4693"/>
      <c r="CR107" s="4694"/>
      <c r="CS107" s="4695"/>
      <c r="CT107" s="4696"/>
      <c r="CU107" s="4697"/>
      <c r="CV107" s="4698"/>
      <c r="CW107" s="4699"/>
      <c r="CX107" s="4700"/>
      <c r="CY107" s="4701"/>
      <c r="CZ107" s="4702"/>
      <c r="DA107" s="4703"/>
      <c r="DB107" s="4704"/>
      <c r="DC107" s="4705"/>
      <c r="DD107" s="4706"/>
      <c r="DE107" s="4707"/>
      <c r="DF107" s="4708"/>
      <c r="DG107" s="3908"/>
      <c r="DH107" s="3611"/>
      <c r="DI107" s="3790"/>
      <c r="DJ107" s="3790" t="str">
        <f>IF(T107="","",T107)</f>
        <v>Добавить вид теплоносителя (параметры теплоносителя)</v>
      </c>
      <c r="DK107" s="3790"/>
      <c r="DL107" s="3790"/>
    </row>
    <row s="4709" customFormat="1" customHeight="1" ht="15">
      <c r="A108" s="3778"/>
      <c r="B108" s="3778"/>
      <c r="C108" s="3778"/>
      <c r="D108" s="3778"/>
      <c r="E108" s="3779"/>
      <c r="F108" s="3779"/>
      <c r="G108" s="3779"/>
      <c r="H108" s="3779">
        <v>1</v>
      </c>
      <c r="I108" s="3797"/>
      <c r="J108" s="3778"/>
      <c r="K108" s="3778"/>
      <c r="L108" s="3781"/>
      <c r="M108" s="3603"/>
      <c r="N108" s="3798"/>
      <c r="O108" s="3798"/>
      <c r="P108" s="3799"/>
      <c r="Q108" s="3799"/>
      <c r="R108" s="3800"/>
      <c r="S108" s="4710"/>
      <c r="T108" s="4711" t="s">
        <v>459</v>
      </c>
      <c r="U108" s="4712"/>
      <c r="V108" s="4713"/>
      <c r="W108" s="4714"/>
      <c r="X108" s="4715"/>
      <c r="Y108" s="4716"/>
      <c r="Z108" s="4717"/>
      <c r="AA108" s="4718"/>
      <c r="AB108" s="4719"/>
      <c r="AC108" s="4720"/>
      <c r="AD108" s="4721"/>
      <c r="AE108" s="4722"/>
      <c r="AF108" s="4723"/>
      <c r="AG108" s="4724"/>
      <c r="AH108" s="4725"/>
      <c r="AI108" s="4726"/>
      <c r="AJ108" s="4727"/>
      <c r="AK108" s="4728"/>
      <c r="AL108" s="4729"/>
      <c r="AM108" s="4730"/>
      <c r="AN108" s="4731"/>
      <c r="AO108" s="4732"/>
      <c r="AP108" s="4733"/>
      <c r="AQ108" s="4734"/>
      <c r="AR108" s="4735"/>
      <c r="AS108" s="4736"/>
      <c r="AT108" s="4737"/>
      <c r="AU108" s="4738"/>
      <c r="AV108" s="4739"/>
      <c r="AW108" s="4740"/>
      <c r="AX108" s="4741"/>
      <c r="AY108" s="4742"/>
      <c r="AZ108" s="4743"/>
      <c r="BA108" s="4744"/>
      <c r="BB108" s="4745"/>
      <c r="BC108" s="4746"/>
      <c r="BD108" s="4747"/>
      <c r="BE108" s="4748"/>
      <c r="BF108" s="4749"/>
      <c r="BG108" s="4750"/>
      <c r="BH108" s="4751"/>
      <c r="BI108" s="4752"/>
      <c r="BJ108" s="4753"/>
      <c r="BK108" s="4754"/>
      <c r="BL108" s="4755"/>
      <c r="BM108" s="4756"/>
      <c r="BN108" s="4757"/>
      <c r="BO108" s="4758"/>
      <c r="BP108" s="4759"/>
      <c r="BQ108" s="4760"/>
      <c r="BR108" s="4761"/>
      <c r="BS108" s="4762"/>
      <c r="BT108" s="4763"/>
      <c r="BU108" s="4764"/>
      <c r="BV108" s="4765"/>
      <c r="BW108" s="4766"/>
      <c r="BX108" s="4767"/>
      <c r="BY108" s="4768"/>
      <c r="BZ108" s="4769"/>
      <c r="CA108" s="4770"/>
      <c r="CB108" s="4771"/>
      <c r="CC108" s="4772"/>
      <c r="CD108" s="4773"/>
      <c r="CE108" s="4774"/>
      <c r="CF108" s="4775"/>
      <c r="CG108" s="4776"/>
      <c r="CH108" s="4777"/>
      <c r="CI108" s="4778"/>
      <c r="CJ108" s="4779"/>
      <c r="CK108" s="4780"/>
      <c r="CL108" s="4781"/>
      <c r="CM108" s="4782"/>
      <c r="CN108" s="4783"/>
      <c r="CO108" s="4784"/>
      <c r="CP108" s="4785"/>
      <c r="CQ108" s="4786"/>
      <c r="CR108" s="4787"/>
      <c r="CS108" s="4788"/>
      <c r="CT108" s="4789"/>
      <c r="CU108" s="4790"/>
      <c r="CV108" s="4791"/>
      <c r="CW108" s="4792"/>
      <c r="CX108" s="4793"/>
      <c r="CY108" s="4794"/>
      <c r="CZ108" s="4795"/>
      <c r="DA108" s="4796"/>
      <c r="DB108" s="4797"/>
      <c r="DC108" s="4798"/>
      <c r="DD108" s="4799"/>
      <c r="DE108" s="4800"/>
      <c r="DF108" s="4801"/>
      <c r="DG108" s="4802"/>
      <c r="DH108" s="3611"/>
      <c r="DI108" s="3790"/>
      <c r="DJ108" s="3790" t="str">
        <f>IF(T108="","",T108)</f>
        <v>Добавить группу потребителей</v>
      </c>
      <c r="DK108" s="3790"/>
      <c r="DL108" s="3790"/>
    </row>
    <row s="4803" customFormat="1" customHeight="1" ht="14.25">
      <c r="A109" s="3778"/>
      <c r="B109" s="3778"/>
      <c r="C109" s="3778"/>
      <c r="D109" s="3778"/>
      <c r="E109" s="3779"/>
      <c r="F109" s="3779"/>
      <c r="G109" s="3779"/>
      <c r="H109" s="3780">
        <v>1</v>
      </c>
      <c r="I109" s="3778"/>
      <c r="J109" s="3778"/>
      <c r="K109" s="3778"/>
      <c r="L109" s="3781"/>
      <c r="M109" s="3782"/>
      <c r="N109" s="3782"/>
      <c r="O109" s="3603"/>
      <c r="P109" s="4004"/>
      <c r="Q109" s="4005"/>
      <c r="R109" s="4006"/>
      <c r="S109" s="4007"/>
      <c r="T109" s="4008"/>
      <c r="U109" s="3599"/>
      <c r="V109" s="3599"/>
      <c r="W109" s="3599"/>
      <c r="X109" s="3599"/>
      <c r="Y109" s="3599"/>
      <c r="Z109" s="3599"/>
      <c r="AA109" s="3599"/>
      <c r="AB109" s="3599"/>
      <c r="AC109" s="3599"/>
      <c r="AD109" s="3599"/>
      <c r="AE109" s="3599"/>
      <c r="AF109" s="3599"/>
      <c r="AG109" s="3599"/>
      <c r="AH109" s="3599"/>
      <c r="AI109" s="3599"/>
      <c r="AJ109" s="3599"/>
      <c r="AK109" s="3599"/>
      <c r="AL109" s="3599"/>
      <c r="AM109" s="3599"/>
      <c r="AN109" s="3599"/>
      <c r="AO109" s="3599"/>
      <c r="AP109" s="3599"/>
      <c r="AQ109" s="3599"/>
      <c r="AR109" s="3599"/>
      <c r="AS109" s="3599"/>
      <c r="AT109" s="3599"/>
      <c r="AU109" s="3599"/>
      <c r="AV109" s="3599"/>
      <c r="AW109" s="3599"/>
      <c r="AX109" s="3599"/>
      <c r="AY109" s="3599"/>
      <c r="AZ109" s="3599"/>
      <c r="BA109" s="3599"/>
      <c r="BB109" s="3599"/>
      <c r="BC109" s="3599"/>
      <c r="BD109" s="3599"/>
      <c r="BE109" s="3599"/>
      <c r="BF109" s="3599"/>
      <c r="BG109" s="3599"/>
      <c r="BH109" s="3599"/>
      <c r="BI109" s="3599"/>
      <c r="BJ109" s="3599"/>
      <c r="BK109" s="3599"/>
      <c r="BL109" s="3599"/>
      <c r="BM109" s="3599"/>
      <c r="BN109" s="3599"/>
      <c r="BO109" s="3599"/>
      <c r="BP109" s="3599"/>
      <c r="BQ109" s="3599"/>
      <c r="BR109" s="3599"/>
      <c r="BS109" s="3599"/>
      <c r="BT109" s="3599"/>
      <c r="BU109" s="3599"/>
      <c r="BV109" s="3599"/>
      <c r="BW109" s="3599"/>
      <c r="BX109" s="3599"/>
      <c r="BY109" s="3599"/>
      <c r="BZ109" s="3599"/>
      <c r="CA109" s="3599"/>
      <c r="CB109" s="3599"/>
      <c r="CC109" s="3599"/>
      <c r="CD109" s="3599"/>
      <c r="CE109" s="3599"/>
      <c r="CF109" s="3599"/>
      <c r="CG109" s="3599"/>
      <c r="CH109" s="3599"/>
      <c r="CI109" s="3599"/>
      <c r="CJ109" s="3599"/>
      <c r="CK109" s="3599"/>
      <c r="CL109" s="3599"/>
      <c r="CM109" s="3599"/>
      <c r="CN109" s="3599"/>
      <c r="CO109" s="3599"/>
      <c r="CP109" s="3599"/>
      <c r="CQ109" s="3599"/>
      <c r="CR109" s="3599"/>
      <c r="CS109" s="3599"/>
      <c r="CT109" s="3599"/>
      <c r="CU109" s="3599"/>
      <c r="CV109" s="3599"/>
      <c r="CW109" s="3599"/>
      <c r="CX109" s="3599"/>
      <c r="CY109" s="3599"/>
      <c r="CZ109" s="3599"/>
      <c r="DA109" s="3599"/>
      <c r="DB109" s="3599"/>
      <c r="DC109" s="3599"/>
      <c r="DD109" s="3599"/>
      <c r="DE109" s="3599"/>
      <c r="DF109" s="3599"/>
      <c r="DG109" s="4009"/>
      <c r="DH109" s="3611"/>
      <c r="DI109" s="3790"/>
      <c r="DJ109" s="3790" t="str">
        <f>IF(T109="","",T109)</f>
        <v/>
      </c>
      <c r="DK109" s="3790"/>
      <c r="DL109" s="3790"/>
    </row>
    <row s="4804" customFormat="1" customHeight="1" ht="0.75">
      <c r="A110" s="4011"/>
      <c r="B110" s="4011"/>
      <c r="C110" s="4011"/>
      <c r="D110" s="4011"/>
      <c r="E110" s="3779"/>
      <c r="F110" s="3779" t="s">
        <v>90</v>
      </c>
      <c r="G110" s="3780"/>
      <c r="H110" s="4011"/>
      <c r="I110" s="4011"/>
      <c r="J110" s="4011"/>
      <c r="K110" s="4011"/>
      <c r="L110" s="4012"/>
      <c r="M110" s="4013"/>
      <c r="N110" s="4013"/>
      <c r="O110" s="3611"/>
      <c r="P110" s="4014"/>
      <c r="Q110" s="4015"/>
      <c r="R110" s="4014"/>
      <c r="S110" s="4016"/>
      <c r="T110" s="4017" t="s">
        <v>191</v>
      </c>
      <c r="U110" s="3601"/>
      <c r="V110" s="3601"/>
      <c r="W110" s="3601"/>
      <c r="X110" s="3601"/>
      <c r="Y110" s="3601"/>
      <c r="Z110" s="3601"/>
      <c r="AA110" s="3601"/>
      <c r="AB110" s="3601"/>
      <c r="AC110" s="3601"/>
      <c r="AD110" s="3601"/>
      <c r="AE110" s="3601"/>
      <c r="AF110" s="3601"/>
      <c r="AG110" s="3601"/>
      <c r="AH110" s="3601"/>
      <c r="AI110" s="3601"/>
      <c r="AJ110" s="3601"/>
      <c r="AK110" s="3601"/>
      <c r="AL110" s="3601"/>
      <c r="AM110" s="3601"/>
      <c r="AN110" s="3601"/>
      <c r="AO110" s="3601"/>
      <c r="AP110" s="3601"/>
      <c r="AQ110" s="3601"/>
      <c r="AR110" s="3601"/>
      <c r="AS110" s="3601"/>
      <c r="AT110" s="3601"/>
      <c r="AU110" s="3601"/>
      <c r="AV110" s="3601"/>
      <c r="AW110" s="3601"/>
      <c r="AX110" s="3601"/>
      <c r="AY110" s="3601"/>
      <c r="AZ110" s="3601"/>
      <c r="BA110" s="3601"/>
      <c r="BB110" s="3601"/>
      <c r="BC110" s="3601"/>
      <c r="BD110" s="3601"/>
      <c r="BE110" s="3601"/>
      <c r="BF110" s="3601"/>
      <c r="BG110" s="3601"/>
      <c r="BH110" s="3601"/>
      <c r="BI110" s="3601"/>
      <c r="BJ110" s="3601"/>
      <c r="BK110" s="3601"/>
      <c r="BL110" s="3601"/>
      <c r="BM110" s="3601"/>
      <c r="BN110" s="3601"/>
      <c r="BO110" s="3601"/>
      <c r="BP110" s="3601"/>
      <c r="BQ110" s="3601"/>
      <c r="BR110" s="3601"/>
      <c r="BS110" s="3601"/>
      <c r="BT110" s="3601"/>
      <c r="BU110" s="3601"/>
      <c r="BV110" s="3601"/>
      <c r="BW110" s="3601"/>
      <c r="BX110" s="3601"/>
      <c r="BY110" s="3601"/>
      <c r="BZ110" s="3601"/>
      <c r="CA110" s="3601"/>
      <c r="CB110" s="3601"/>
      <c r="CC110" s="3601"/>
      <c r="CD110" s="3601"/>
      <c r="CE110" s="3601"/>
      <c r="CF110" s="3601"/>
      <c r="CG110" s="3601"/>
      <c r="CH110" s="3601"/>
      <c r="CI110" s="3601"/>
      <c r="CJ110" s="3601"/>
      <c r="CK110" s="3601"/>
      <c r="CL110" s="3601"/>
      <c r="CM110" s="3601"/>
      <c r="CN110" s="3601"/>
      <c r="CO110" s="3601"/>
      <c r="CP110" s="3601"/>
      <c r="CQ110" s="3601"/>
      <c r="CR110" s="3601"/>
      <c r="CS110" s="3601"/>
      <c r="CT110" s="3601"/>
      <c r="CU110" s="3601"/>
      <c r="CV110" s="3601"/>
      <c r="CW110" s="3601"/>
      <c r="CX110" s="3601"/>
      <c r="CY110" s="3601"/>
      <c r="CZ110" s="3601"/>
      <c r="DA110" s="3601"/>
      <c r="DB110" s="3601"/>
      <c r="DC110" s="3601"/>
      <c r="DD110" s="3601"/>
      <c r="DE110" s="3601"/>
      <c r="DF110" s="3601"/>
      <c r="DG110" s="3601"/>
      <c r="DH110" s="3611"/>
      <c r="DI110" s="3790"/>
      <c r="DJ110" s="3790" t="str">
        <f>IF(T110="","",T110)</f>
        <v>Добавить источник для дифференциации</v>
      </c>
      <c r="DK110" s="3790"/>
      <c r="DL110" s="3790"/>
    </row>
    <row s="4805" customFormat="1" customHeight="1" ht="0.75">
      <c r="A111" s="4011"/>
      <c r="B111" s="4011"/>
      <c r="C111" s="4011"/>
      <c r="D111" s="4011"/>
      <c r="E111" s="3779"/>
      <c r="F111" s="3780" t="s">
        <v>90</v>
      </c>
      <c r="G111" s="4011"/>
      <c r="H111" s="4011"/>
      <c r="I111" s="4011"/>
      <c r="J111" s="4011"/>
      <c r="K111" s="4011"/>
      <c r="L111" s="4012"/>
      <c r="M111" s="4019"/>
      <c r="N111" s="4019"/>
      <c r="O111" s="3611"/>
      <c r="P111" s="4014"/>
      <c r="Q111" s="4015"/>
      <c r="R111" s="4014"/>
      <c r="S111" s="4020"/>
      <c r="T111" s="4021" t="s">
        <v>192</v>
      </c>
      <c r="U111" s="3602"/>
      <c r="V111" s="3602"/>
      <c r="W111" s="3602"/>
      <c r="X111" s="3602"/>
      <c r="Y111" s="3602"/>
      <c r="Z111" s="3602"/>
      <c r="AA111" s="3602"/>
      <c r="AB111" s="3602"/>
      <c r="AC111" s="3602"/>
      <c r="AD111" s="3602"/>
      <c r="AE111" s="3602"/>
      <c r="AF111" s="3602"/>
      <c r="AG111" s="3602"/>
      <c r="AH111" s="3602"/>
      <c r="AI111" s="3602"/>
      <c r="AJ111" s="3602"/>
      <c r="AK111" s="3602"/>
      <c r="AL111" s="3602"/>
      <c r="AM111" s="3602"/>
      <c r="AN111" s="3602"/>
      <c r="AO111" s="3602"/>
      <c r="AP111" s="3602"/>
      <c r="AQ111" s="3602"/>
      <c r="AR111" s="3602"/>
      <c r="AS111" s="3602"/>
      <c r="AT111" s="3602"/>
      <c r="AU111" s="3602"/>
      <c r="AV111" s="3602"/>
      <c r="AW111" s="3602"/>
      <c r="AX111" s="3602"/>
      <c r="AY111" s="3602"/>
      <c r="AZ111" s="3602"/>
      <c r="BA111" s="3602"/>
      <c r="BB111" s="3602"/>
      <c r="BC111" s="3602"/>
      <c r="BD111" s="3602"/>
      <c r="BE111" s="3602"/>
      <c r="BF111" s="3602"/>
      <c r="BG111" s="3602"/>
      <c r="BH111" s="3602"/>
      <c r="BI111" s="3602"/>
      <c r="BJ111" s="3602"/>
      <c r="BK111" s="3602"/>
      <c r="BL111" s="3602"/>
      <c r="BM111" s="3602"/>
      <c r="BN111" s="3602"/>
      <c r="BO111" s="3602"/>
      <c r="BP111" s="3602"/>
      <c r="BQ111" s="3602"/>
      <c r="BR111" s="3602"/>
      <c r="BS111" s="3602"/>
      <c r="BT111" s="3602"/>
      <c r="BU111" s="3602"/>
      <c r="BV111" s="3602"/>
      <c r="BW111" s="3602"/>
      <c r="BX111" s="3602"/>
      <c r="BY111" s="3602"/>
      <c r="BZ111" s="3602"/>
      <c r="CA111" s="3602"/>
      <c r="CB111" s="3602"/>
      <c r="CC111" s="3602"/>
      <c r="CD111" s="3602"/>
      <c r="CE111" s="3602"/>
      <c r="CF111" s="3602"/>
      <c r="CG111" s="3602"/>
      <c r="CH111" s="3602"/>
      <c r="CI111" s="3602"/>
      <c r="CJ111" s="3602"/>
      <c r="CK111" s="3602"/>
      <c r="CL111" s="3602"/>
      <c r="CM111" s="3602"/>
      <c r="CN111" s="3602"/>
      <c r="CO111" s="3602"/>
      <c r="CP111" s="3602"/>
      <c r="CQ111" s="3602"/>
      <c r="CR111" s="3602"/>
      <c r="CS111" s="3602"/>
      <c r="CT111" s="3602"/>
      <c r="CU111" s="3602"/>
      <c r="CV111" s="3602"/>
      <c r="CW111" s="3602"/>
      <c r="CX111" s="3602"/>
      <c r="CY111" s="3602"/>
      <c r="CZ111" s="3602"/>
      <c r="DA111" s="3602"/>
      <c r="DB111" s="3602"/>
      <c r="DC111" s="3602"/>
      <c r="DD111" s="3602"/>
      <c r="DE111" s="3602"/>
      <c r="DF111" s="3602"/>
      <c r="DG111" s="3602"/>
      <c r="DH111" s="3611"/>
      <c r="DI111" s="3790"/>
      <c r="DJ111" s="3790" t="str">
        <f>IF(T111="","",T111)</f>
        <v>Добавить централизованную систему для дифференциации</v>
      </c>
      <c r="DK111" s="3790"/>
      <c r="DL111" s="3790"/>
    </row>
    <row s="2612" customFormat="1" customHeight="1" ht="0.75">
      <c r="A112" s="1373" t="s">
        <v>187</v>
      </c>
      <c r="B112" s="1373"/>
      <c r="C112" s="1373"/>
      <c r="D112" s="1373"/>
      <c r="E112" s="2107"/>
      <c r="F112" s="1373"/>
      <c r="G112" s="1373"/>
      <c r="H112" s="1373"/>
      <c r="I112" s="1373"/>
      <c r="J112" s="1373"/>
      <c r="K112" s="1373"/>
      <c r="L112" s="1376"/>
      <c r="M112" s="1351"/>
      <c r="N112" s="1351"/>
      <c r="O112" s="524"/>
      <c r="P112" s="385"/>
      <c r="Q112" s="1374"/>
      <c r="R112" s="385"/>
      <c r="S112" s="1352"/>
      <c r="T112" s="1355" t="s">
        <v>211</v>
      </c>
      <c r="U112" s="1354"/>
      <c r="V112" s="1354"/>
      <c r="W112" s="1354"/>
      <c r="X112" s="1354"/>
      <c r="Y112" s="1354"/>
      <c r="Z112" s="1354"/>
      <c r="AA112" s="1354"/>
      <c r="AB112" s="1354"/>
      <c r="AC112" s="1354"/>
      <c r="AD112" s="1354"/>
      <c r="AE112" s="1354"/>
      <c r="AF112" s="1354"/>
      <c r="AG112" s="1354"/>
      <c r="AH112" s="1354"/>
      <c r="AI112" s="1354"/>
      <c r="AJ112" s="1354"/>
      <c r="AK112" s="1354"/>
      <c r="AL112" s="3602"/>
      <c r="AM112" s="3602"/>
      <c r="AN112" s="3602"/>
      <c r="AO112" s="3602"/>
      <c r="AP112" s="3602"/>
      <c r="AQ112" s="3602"/>
      <c r="AR112" s="3602"/>
      <c r="AS112" s="3602"/>
      <c r="AT112" s="3602"/>
      <c r="AU112" s="3602"/>
      <c r="AV112" s="3602"/>
      <c r="AW112" s="3602"/>
      <c r="AX112" s="3602"/>
      <c r="AY112" s="3602"/>
      <c r="AZ112" s="3602"/>
      <c r="BA112" s="3602"/>
      <c r="BB112" s="3602"/>
      <c r="BC112" s="3602"/>
      <c r="BD112" s="3602"/>
      <c r="BE112" s="3602"/>
      <c r="BF112" s="3602"/>
      <c r="BG112" s="3602"/>
      <c r="BH112" s="3602"/>
      <c r="BI112" s="3602"/>
      <c r="BJ112" s="3602"/>
      <c r="BK112" s="3602"/>
      <c r="BL112" s="3602"/>
      <c r="BM112" s="3602"/>
      <c r="BN112" s="3602"/>
      <c r="BO112" s="3602"/>
      <c r="BP112" s="3602"/>
      <c r="BQ112" s="3602"/>
      <c r="BR112" s="3602"/>
      <c r="BS112" s="3602"/>
      <c r="BT112" s="3602"/>
      <c r="BU112" s="3602"/>
      <c r="BV112" s="3602"/>
      <c r="BW112" s="3602"/>
      <c r="BX112" s="3602"/>
      <c r="BY112" s="3602"/>
      <c r="BZ112" s="3602"/>
      <c r="CA112" s="3602"/>
      <c r="CB112" s="3602"/>
      <c r="CC112" s="3602"/>
      <c r="CD112" s="3602"/>
      <c r="CE112" s="3602"/>
      <c r="CF112" s="3602"/>
      <c r="CG112" s="3602"/>
      <c r="CH112" s="3602"/>
      <c r="CI112" s="3602"/>
      <c r="CJ112" s="3602"/>
      <c r="CK112" s="3602"/>
      <c r="CL112" s="3602"/>
      <c r="CM112" s="3602"/>
      <c r="CN112" s="3602"/>
      <c r="CO112" s="3602"/>
      <c r="CP112" s="3602"/>
      <c r="CQ112" s="3602"/>
      <c r="CR112" s="3602"/>
      <c r="CS112" s="3602"/>
      <c r="CT112" s="3602"/>
      <c r="CU112" s="3602"/>
      <c r="CV112" s="3602"/>
      <c r="CW112" s="3602"/>
      <c r="CX112" s="3602"/>
      <c r="CY112" s="3602"/>
      <c r="CZ112" s="3602"/>
      <c r="DA112" s="3602"/>
      <c r="DB112" s="3602"/>
      <c r="DC112" s="3602"/>
      <c r="DD112" s="3602"/>
      <c r="DE112" s="3602"/>
      <c r="DF112" s="1354"/>
      <c r="DG112" s="1354"/>
      <c r="DI112" s="506"/>
      <c r="DJ112" s="506" t="str">
        <f>IF(T112="","",T112)</f>
        <v>Добавить территорию для дифференциации</v>
      </c>
      <c r="DK112" s="506"/>
      <c r="DL112" s="506"/>
    </row>
    <row s="4806" customFormat="1" customHeight="1" ht="21">
      <c r="A113" s="3778" t="s">
        <v>213</v>
      </c>
      <c r="B113" s="3778"/>
      <c r="C113" s="3778"/>
      <c r="D113" s="3778"/>
      <c r="E113" s="3780" t="s">
        <v>102</v>
      </c>
      <c r="F113" s="3778"/>
      <c r="G113" s="3778"/>
      <c r="H113" s="3778"/>
      <c r="I113" s="3778"/>
      <c r="J113" s="3778"/>
      <c r="K113" s="3778"/>
      <c r="L113" s="3781"/>
      <c r="M113" s="3782"/>
      <c r="N113" s="3782"/>
      <c r="O113" s="3782"/>
      <c r="P113" s="4807"/>
      <c r="Q113" s="4004"/>
      <c r="R113" s="4006"/>
      <c r="S113" s="3786" t="str">
        <f>INDEX(PT_DIFFERENTIATION_NUM_NTAR,MATCH(A113,PT_DIFFERENTIATION_NTAR_ID,0))</f>
        <v>2</v>
      </c>
      <c r="T113" s="4808" t="s">
        <v>140</v>
      </c>
      <c r="U113" s="3788"/>
      <c r="V113" s="3430"/>
      <c r="W113" s="3431"/>
      <c r="X113" s="3431"/>
      <c r="Y113" s="3431"/>
      <c r="Z113" s="3431"/>
      <c r="AA113" s="3431"/>
      <c r="AB113" s="3431"/>
      <c r="AC113" s="3432"/>
      <c r="AD113" s="3430" t="str">
        <f>INDEX(PT_DIFFERENTIATION_NTAR,MATCH(A113,PT_DIFFERENTIATION_NTAR_ID,0))</f>
        <v>Тарифы на теплоноситель, поставляемый группе потребителей "население"</v>
      </c>
      <c r="AE113" s="3431"/>
      <c r="AF113" s="3431"/>
      <c r="AG113" s="3431"/>
      <c r="AH113" s="3431"/>
      <c r="AI113" s="3431"/>
      <c r="AJ113" s="3431"/>
      <c r="AK113" s="3431"/>
      <c r="AL113" s="3430"/>
      <c r="AM113" s="3431"/>
      <c r="AN113" s="3431"/>
      <c r="AO113" s="3431"/>
      <c r="AP113" s="3431"/>
      <c r="AQ113" s="3431"/>
      <c r="AR113" s="3431"/>
      <c r="AS113" s="3432"/>
      <c r="AT113" s="3430"/>
      <c r="AU113" s="3431"/>
      <c r="AV113" s="3431"/>
      <c r="AW113" s="3431"/>
      <c r="AX113" s="3431"/>
      <c r="AY113" s="3431"/>
      <c r="AZ113" s="3431"/>
      <c r="BA113" s="3432"/>
      <c r="BB113" s="3430"/>
      <c r="BC113" s="3431"/>
      <c r="BD113" s="3431"/>
      <c r="BE113" s="3431"/>
      <c r="BF113" s="3431"/>
      <c r="BG113" s="3431"/>
      <c r="BH113" s="3431"/>
      <c r="BI113" s="3432"/>
      <c r="BJ113" s="3430"/>
      <c r="BK113" s="3431"/>
      <c r="BL113" s="3431"/>
      <c r="BM113" s="3431"/>
      <c r="BN113" s="3431"/>
      <c r="BO113" s="3431"/>
      <c r="BP113" s="3431"/>
      <c r="BQ113" s="3432"/>
      <c r="BR113" s="3430"/>
      <c r="BS113" s="3431"/>
      <c r="BT113" s="3431"/>
      <c r="BU113" s="3431"/>
      <c r="BV113" s="3431"/>
      <c r="BW113" s="3431"/>
      <c r="BX113" s="3431"/>
      <c r="BY113" s="3432"/>
      <c r="BZ113" s="3430"/>
      <c r="CA113" s="3431"/>
      <c r="CB113" s="3431"/>
      <c r="CC113" s="3431"/>
      <c r="CD113" s="3431"/>
      <c r="CE113" s="3431"/>
      <c r="CF113" s="3431"/>
      <c r="CG113" s="3432"/>
      <c r="CH113" s="3430"/>
      <c r="CI113" s="3431"/>
      <c r="CJ113" s="3431"/>
      <c r="CK113" s="3431"/>
      <c r="CL113" s="3431"/>
      <c r="CM113" s="3431"/>
      <c r="CN113" s="3431"/>
      <c r="CO113" s="3432"/>
      <c r="CP113" s="3430"/>
      <c r="CQ113" s="3431"/>
      <c r="CR113" s="3431"/>
      <c r="CS113" s="3431"/>
      <c r="CT113" s="3431"/>
      <c r="CU113" s="3431"/>
      <c r="CV113" s="3431"/>
      <c r="CW113" s="3432"/>
      <c r="CX113" s="3430"/>
      <c r="CY113" s="3431"/>
      <c r="CZ113" s="3431"/>
      <c r="DA113" s="3431"/>
      <c r="DB113" s="3431"/>
      <c r="DC113" s="3431"/>
      <c r="DD113" s="3431"/>
      <c r="DE113" s="3432"/>
      <c r="DF113" s="3432"/>
      <c r="DG113" s="3789" t="s">
        <v>443</v>
      </c>
      <c r="DH113" s="3611"/>
      <c r="DI113" s="3790"/>
      <c r="DJ113" s="3790" t="str">
        <f>IF(T113="","",T113)</f>
        <v>Наименование тарифа</v>
      </c>
      <c r="DK113" s="3790"/>
      <c r="DL113" s="3790"/>
    </row>
    <row s="4809" customFormat="1" customHeight="1" ht="21">
      <c r="A114" s="3778"/>
      <c r="B114" s="3778" t="s">
        <v>214</v>
      </c>
      <c r="C114" s="3778"/>
      <c r="D114" s="3778"/>
      <c r="E114" s="3779">
        <v>1</v>
      </c>
      <c r="F114" s="3780">
        <v>1</v>
      </c>
      <c r="G114" s="3778"/>
      <c r="H114" s="3778"/>
      <c r="I114" s="3778"/>
      <c r="J114" s="3778"/>
      <c r="K114" s="3778"/>
      <c r="L114" s="3781"/>
      <c r="M114" s="3782"/>
      <c r="N114" s="3782"/>
      <c r="O114" s="3782"/>
      <c r="P114" s="3783"/>
      <c r="Q114" s="3784"/>
      <c r="R114" s="3785"/>
      <c r="S114" s="3786" t="str">
        <f>INDEX(PT_DIFFERENTIATION_NUM_TER,MATCH(B114,PT_DIFFERENTIATION_TER_ID,0))</f>
        <v>2.1</v>
      </c>
      <c r="T114" s="3787" t="s">
        <v>444</v>
      </c>
      <c r="U114" s="3788"/>
      <c r="V114" s="3430"/>
      <c r="W114" s="3431"/>
      <c r="X114" s="3431"/>
      <c r="Y114" s="3431"/>
      <c r="Z114" s="3431"/>
      <c r="AA114" s="3431"/>
      <c r="AB114" s="3431"/>
      <c r="AC114" s="3432"/>
      <c r="AD114" s="3430" t="str">
        <f>INDEX(PT_DIFFERENTIATION_TER,MATCH(B114,PT_DIFFERENTIATION_TER_ID,0))</f>
        <v>Территория 1</v>
      </c>
      <c r="AE114" s="3431"/>
      <c r="AF114" s="3431"/>
      <c r="AG114" s="3431"/>
      <c r="AH114" s="3431"/>
      <c r="AI114" s="3431"/>
      <c r="AJ114" s="3431"/>
      <c r="AK114" s="3431"/>
      <c r="AL114" s="3430"/>
      <c r="AM114" s="3431"/>
      <c r="AN114" s="3431"/>
      <c r="AO114" s="3431"/>
      <c r="AP114" s="3431"/>
      <c r="AQ114" s="3431"/>
      <c r="AR114" s="3431"/>
      <c r="AS114" s="3432"/>
      <c r="AT114" s="3430"/>
      <c r="AU114" s="3431"/>
      <c r="AV114" s="3431"/>
      <c r="AW114" s="3431"/>
      <c r="AX114" s="3431"/>
      <c r="AY114" s="3431"/>
      <c r="AZ114" s="3431"/>
      <c r="BA114" s="3432"/>
      <c r="BB114" s="3430"/>
      <c r="BC114" s="3431"/>
      <c r="BD114" s="3431"/>
      <c r="BE114" s="3431"/>
      <c r="BF114" s="3431"/>
      <c r="BG114" s="3431"/>
      <c r="BH114" s="3431"/>
      <c r="BI114" s="3432"/>
      <c r="BJ114" s="3430"/>
      <c r="BK114" s="3431"/>
      <c r="BL114" s="3431"/>
      <c r="BM114" s="3431"/>
      <c r="BN114" s="3431"/>
      <c r="BO114" s="3431"/>
      <c r="BP114" s="3431"/>
      <c r="BQ114" s="3432"/>
      <c r="BR114" s="3430"/>
      <c r="BS114" s="3431"/>
      <c r="BT114" s="3431"/>
      <c r="BU114" s="3431"/>
      <c r="BV114" s="3431"/>
      <c r="BW114" s="3431"/>
      <c r="BX114" s="3431"/>
      <c r="BY114" s="3432"/>
      <c r="BZ114" s="3430"/>
      <c r="CA114" s="3431"/>
      <c r="CB114" s="3431"/>
      <c r="CC114" s="3431"/>
      <c r="CD114" s="3431"/>
      <c r="CE114" s="3431"/>
      <c r="CF114" s="3431"/>
      <c r="CG114" s="3432"/>
      <c r="CH114" s="3430"/>
      <c r="CI114" s="3431"/>
      <c r="CJ114" s="3431"/>
      <c r="CK114" s="3431"/>
      <c r="CL114" s="3431"/>
      <c r="CM114" s="3431"/>
      <c r="CN114" s="3431"/>
      <c r="CO114" s="3432"/>
      <c r="CP114" s="3430"/>
      <c r="CQ114" s="3431"/>
      <c r="CR114" s="3431"/>
      <c r="CS114" s="3431"/>
      <c r="CT114" s="3431"/>
      <c r="CU114" s="3431"/>
      <c r="CV114" s="3431"/>
      <c r="CW114" s="3432"/>
      <c r="CX114" s="3430"/>
      <c r="CY114" s="3431"/>
      <c r="CZ114" s="3431"/>
      <c r="DA114" s="3431"/>
      <c r="DB114" s="3431"/>
      <c r="DC114" s="3431"/>
      <c r="DD114" s="3431"/>
      <c r="DE114" s="3432"/>
      <c r="DF114" s="3432"/>
      <c r="DG114" s="3789" t="s">
        <v>445</v>
      </c>
      <c r="DH114" s="3611"/>
      <c r="DI114" s="3790"/>
      <c r="DJ114" s="3790" t="str">
        <f>IF(T114="","",T114)</f>
        <v>Территория действия тарифа</v>
      </c>
      <c r="DK114" s="3790"/>
      <c r="DL114" s="3790"/>
    </row>
    <row s="4810" customFormat="1" customHeight="1" ht="23.25">
      <c r="A115" s="3778"/>
      <c r="B115" s="3778"/>
      <c r="C115" s="3778" t="s">
        <v>215</v>
      </c>
      <c r="D115" s="3778"/>
      <c r="E115" s="3779">
        <v>1</v>
      </c>
      <c r="F115" s="3779"/>
      <c r="G115" s="3780">
        <v>1</v>
      </c>
      <c r="H115" s="3778"/>
      <c r="I115" s="3778"/>
      <c r="J115" s="3778"/>
      <c r="K115" s="3778"/>
      <c r="L115" s="3781"/>
      <c r="M115" s="3782"/>
      <c r="N115" s="3782"/>
      <c r="O115" s="3782"/>
      <c r="P115" s="3792"/>
      <c r="Q115" s="3784"/>
      <c r="R115" s="3785"/>
      <c r="S115" s="3786" t="str">
        <f>INDEX(PT_DIFFERENTIATION_NUM_CS,MATCH(C115,PT_DIFFERENTIATION_CS_ID,0))</f>
        <v>2.1.1</v>
      </c>
      <c r="T115" s="3793" t="s">
        <v>446</v>
      </c>
      <c r="U115" s="3788"/>
      <c r="V115" s="3430"/>
      <c r="W115" s="3431"/>
      <c r="X115" s="3431"/>
      <c r="Y115" s="3431"/>
      <c r="Z115" s="3431"/>
      <c r="AA115" s="3431"/>
      <c r="AB115" s="3431"/>
      <c r="AC115" s="3432"/>
      <c r="AD115" s="3430" t="str">
        <f>INDEX(PT_DIFFERENTIATION_CS,MATCH(C115,PT_DIFFERENTIATION_CS_ID,0))</f>
        <v>без дифференциации</v>
      </c>
      <c r="AE115" s="3431"/>
      <c r="AF115" s="3431"/>
      <c r="AG115" s="3431"/>
      <c r="AH115" s="3431"/>
      <c r="AI115" s="3431"/>
      <c r="AJ115" s="3431"/>
      <c r="AK115" s="3431"/>
      <c r="AL115" s="3430"/>
      <c r="AM115" s="3431"/>
      <c r="AN115" s="3431"/>
      <c r="AO115" s="3431"/>
      <c r="AP115" s="3431"/>
      <c r="AQ115" s="3431"/>
      <c r="AR115" s="3431"/>
      <c r="AS115" s="3432"/>
      <c r="AT115" s="3430"/>
      <c r="AU115" s="3431"/>
      <c r="AV115" s="3431"/>
      <c r="AW115" s="3431"/>
      <c r="AX115" s="3431"/>
      <c r="AY115" s="3431"/>
      <c r="AZ115" s="3431"/>
      <c r="BA115" s="3432"/>
      <c r="BB115" s="3430"/>
      <c r="BC115" s="3431"/>
      <c r="BD115" s="3431"/>
      <c r="BE115" s="3431"/>
      <c r="BF115" s="3431"/>
      <c r="BG115" s="3431"/>
      <c r="BH115" s="3431"/>
      <c r="BI115" s="3432"/>
      <c r="BJ115" s="3430"/>
      <c r="BK115" s="3431"/>
      <c r="BL115" s="3431"/>
      <c r="BM115" s="3431"/>
      <c r="BN115" s="3431"/>
      <c r="BO115" s="3431"/>
      <c r="BP115" s="3431"/>
      <c r="BQ115" s="3432"/>
      <c r="BR115" s="3430"/>
      <c r="BS115" s="3431"/>
      <c r="BT115" s="3431"/>
      <c r="BU115" s="3431"/>
      <c r="BV115" s="3431"/>
      <c r="BW115" s="3431"/>
      <c r="BX115" s="3431"/>
      <c r="BY115" s="3432"/>
      <c r="BZ115" s="3430"/>
      <c r="CA115" s="3431"/>
      <c r="CB115" s="3431"/>
      <c r="CC115" s="3431"/>
      <c r="CD115" s="3431"/>
      <c r="CE115" s="3431"/>
      <c r="CF115" s="3431"/>
      <c r="CG115" s="3432"/>
      <c r="CH115" s="3430"/>
      <c r="CI115" s="3431"/>
      <c r="CJ115" s="3431"/>
      <c r="CK115" s="3431"/>
      <c r="CL115" s="3431"/>
      <c r="CM115" s="3431"/>
      <c r="CN115" s="3431"/>
      <c r="CO115" s="3432"/>
      <c r="CP115" s="3430"/>
      <c r="CQ115" s="3431"/>
      <c r="CR115" s="3431"/>
      <c r="CS115" s="3431"/>
      <c r="CT115" s="3431"/>
      <c r="CU115" s="3431"/>
      <c r="CV115" s="3431"/>
      <c r="CW115" s="3432"/>
      <c r="CX115" s="3430"/>
      <c r="CY115" s="3431"/>
      <c r="CZ115" s="3431"/>
      <c r="DA115" s="3431"/>
      <c r="DB115" s="3431"/>
      <c r="DC115" s="3431"/>
      <c r="DD115" s="3431"/>
      <c r="DE115" s="3432"/>
      <c r="DF115" s="3432"/>
      <c r="DG115" s="3789" t="s">
        <v>447</v>
      </c>
      <c r="DH115" s="3611"/>
      <c r="DI115" s="3790"/>
      <c r="DJ115" s="3790" t="str">
        <f>IF(T115="","",T115)</f>
        <v>Наименование системы теплоснабжения </v>
      </c>
      <c r="DK115" s="3790"/>
      <c r="DL115" s="3790"/>
    </row>
    <row s="4811" customFormat="1" customHeight="1" ht="21">
      <c r="A116" s="3778"/>
      <c r="B116" s="3778"/>
      <c r="C116" s="3778"/>
      <c r="D116" s="3778" t="s">
        <v>216</v>
      </c>
      <c r="E116" s="3779">
        <v>1</v>
      </c>
      <c r="F116" s="3779"/>
      <c r="G116" s="3779"/>
      <c r="H116" s="3780">
        <v>1</v>
      </c>
      <c r="I116" s="3778"/>
      <c r="J116" s="3778"/>
      <c r="K116" s="3778"/>
      <c r="L116" s="3781"/>
      <c r="M116" s="3782"/>
      <c r="N116" s="3782"/>
      <c r="O116" s="3782"/>
      <c r="P116" s="3792"/>
      <c r="Q116" s="3784"/>
      <c r="R116" s="3785"/>
      <c r="S116" s="3786" t="str">
        <f>INDEX(PT_DIFFERENTIATION_NUM_IST_TE,MATCH(D116,PT_DIFFERENTIATION_IST_TE_ID,0))</f>
        <v>2.1.1.1</v>
      </c>
      <c r="T116" s="3795" t="s">
        <v>448</v>
      </c>
      <c r="U116" s="3788"/>
      <c r="V116" s="3430"/>
      <c r="W116" s="3431"/>
      <c r="X116" s="3431"/>
      <c r="Y116" s="3431"/>
      <c r="Z116" s="3431"/>
      <c r="AA116" s="3431"/>
      <c r="AB116" s="3431"/>
      <c r="AC116" s="3432"/>
      <c r="AD116" s="3430" t="str">
        <f>INDEX(PT_DIFFERENTIATION_IST_TE,MATCH(D116,PT_DIFFERENTIATION_IST_TE_ID,0))</f>
        <v>город-герой Мурманск (кроме р-на Росляково)</v>
      </c>
      <c r="AE116" s="3431"/>
      <c r="AF116" s="3431"/>
      <c r="AG116" s="3431"/>
      <c r="AH116" s="3431"/>
      <c r="AI116" s="3431"/>
      <c r="AJ116" s="3431"/>
      <c r="AK116" s="3431"/>
      <c r="AL116" s="3430"/>
      <c r="AM116" s="3431"/>
      <c r="AN116" s="3431"/>
      <c r="AO116" s="3431"/>
      <c r="AP116" s="3431"/>
      <c r="AQ116" s="3431"/>
      <c r="AR116" s="3431"/>
      <c r="AS116" s="3432"/>
      <c r="AT116" s="3430"/>
      <c r="AU116" s="3431"/>
      <c r="AV116" s="3431"/>
      <c r="AW116" s="3431"/>
      <c r="AX116" s="3431"/>
      <c r="AY116" s="3431"/>
      <c r="AZ116" s="3431"/>
      <c r="BA116" s="3432"/>
      <c r="BB116" s="3430"/>
      <c r="BC116" s="3431"/>
      <c r="BD116" s="3431"/>
      <c r="BE116" s="3431"/>
      <c r="BF116" s="3431"/>
      <c r="BG116" s="3431"/>
      <c r="BH116" s="3431"/>
      <c r="BI116" s="3432"/>
      <c r="BJ116" s="3430"/>
      <c r="BK116" s="3431"/>
      <c r="BL116" s="3431"/>
      <c r="BM116" s="3431"/>
      <c r="BN116" s="3431"/>
      <c r="BO116" s="3431"/>
      <c r="BP116" s="3431"/>
      <c r="BQ116" s="3432"/>
      <c r="BR116" s="3430"/>
      <c r="BS116" s="3431"/>
      <c r="BT116" s="3431"/>
      <c r="BU116" s="3431"/>
      <c r="BV116" s="3431"/>
      <c r="BW116" s="3431"/>
      <c r="BX116" s="3431"/>
      <c r="BY116" s="3432"/>
      <c r="BZ116" s="3430"/>
      <c r="CA116" s="3431"/>
      <c r="CB116" s="3431"/>
      <c r="CC116" s="3431"/>
      <c r="CD116" s="3431"/>
      <c r="CE116" s="3431"/>
      <c r="CF116" s="3431"/>
      <c r="CG116" s="3432"/>
      <c r="CH116" s="3430"/>
      <c r="CI116" s="3431"/>
      <c r="CJ116" s="3431"/>
      <c r="CK116" s="3431"/>
      <c r="CL116" s="3431"/>
      <c r="CM116" s="3431"/>
      <c r="CN116" s="3431"/>
      <c r="CO116" s="3432"/>
      <c r="CP116" s="3430"/>
      <c r="CQ116" s="3431"/>
      <c r="CR116" s="3431"/>
      <c r="CS116" s="3431"/>
      <c r="CT116" s="3431"/>
      <c r="CU116" s="3431"/>
      <c r="CV116" s="3431"/>
      <c r="CW116" s="3432"/>
      <c r="CX116" s="3430"/>
      <c r="CY116" s="3431"/>
      <c r="CZ116" s="3431"/>
      <c r="DA116" s="3431"/>
      <c r="DB116" s="3431"/>
      <c r="DC116" s="3431"/>
      <c r="DD116" s="3431"/>
      <c r="DE116" s="3432"/>
      <c r="DF116" s="3432"/>
      <c r="DG116" s="3789" t="s">
        <v>449</v>
      </c>
      <c r="DH116" s="3611"/>
      <c r="DI116" s="3790"/>
      <c r="DJ116" s="3790" t="str">
        <f>IF(T116="","",T116)</f>
        <v>Источник тепловой энергии  </v>
      </c>
      <c r="DK116" s="3790"/>
      <c r="DL116" s="3790"/>
    </row>
    <row s="4812" customFormat="1" customHeight="1" ht="14.25">
      <c r="A117" s="3778"/>
      <c r="B117" s="3778"/>
      <c r="C117" s="3778"/>
      <c r="D117" s="3778"/>
      <c r="E117" s="3779">
        <v>1</v>
      </c>
      <c r="F117" s="3779"/>
      <c r="G117" s="3779"/>
      <c r="H117" s="3779"/>
      <c r="I117" s="3797" t="str">
        <f>S116&amp;".1"</f>
        <v>2.1.1.1.1</v>
      </c>
      <c r="J117" s="3778"/>
      <c r="K117" s="3778"/>
      <c r="L117" s="3781" t="s">
        <v>450</v>
      </c>
      <c r="M117" s="3603"/>
      <c r="N117" s="3798"/>
      <c r="O117" s="3798"/>
      <c r="P117" s="3799">
        <v>1</v>
      </c>
      <c r="Q117" s="3799"/>
      <c r="R117" s="3800"/>
      <c r="S117" s="3801"/>
      <c r="T117" s="3802"/>
      <c r="U117" s="3803"/>
      <c r="V117" s="3439"/>
      <c r="W117" s="3440"/>
      <c r="X117" s="3440"/>
      <c r="Y117" s="3440"/>
      <c r="Z117" s="3440"/>
      <c r="AA117" s="3440"/>
      <c r="AB117" s="3440"/>
      <c r="AC117" s="3441"/>
      <c r="AD117" s="3439"/>
      <c r="AE117" s="3440"/>
      <c r="AF117" s="3440"/>
      <c r="AG117" s="3440"/>
      <c r="AH117" s="3440"/>
      <c r="AI117" s="3440"/>
      <c r="AJ117" s="3440"/>
      <c r="AK117" s="3440"/>
      <c r="AL117" s="3439"/>
      <c r="AM117" s="3440"/>
      <c r="AN117" s="3440"/>
      <c r="AO117" s="3440"/>
      <c r="AP117" s="3440"/>
      <c r="AQ117" s="3440"/>
      <c r="AR117" s="3440"/>
      <c r="AS117" s="3441"/>
      <c r="AT117" s="3439"/>
      <c r="AU117" s="3440"/>
      <c r="AV117" s="3440"/>
      <c r="AW117" s="3440"/>
      <c r="AX117" s="3440"/>
      <c r="AY117" s="3440"/>
      <c r="AZ117" s="3440"/>
      <c r="BA117" s="3441"/>
      <c r="BB117" s="3439"/>
      <c r="BC117" s="3440"/>
      <c r="BD117" s="3440"/>
      <c r="BE117" s="3440"/>
      <c r="BF117" s="3440"/>
      <c r="BG117" s="3440"/>
      <c r="BH117" s="3440"/>
      <c r="BI117" s="3441"/>
      <c r="BJ117" s="3439"/>
      <c r="BK117" s="3440"/>
      <c r="BL117" s="3440"/>
      <c r="BM117" s="3440"/>
      <c r="BN117" s="3440"/>
      <c r="BO117" s="3440"/>
      <c r="BP117" s="3440"/>
      <c r="BQ117" s="3441"/>
      <c r="BR117" s="3439"/>
      <c r="BS117" s="3440"/>
      <c r="BT117" s="3440"/>
      <c r="BU117" s="3440"/>
      <c r="BV117" s="3440"/>
      <c r="BW117" s="3440"/>
      <c r="BX117" s="3440"/>
      <c r="BY117" s="3441"/>
      <c r="BZ117" s="3439"/>
      <c r="CA117" s="3440"/>
      <c r="CB117" s="3440"/>
      <c r="CC117" s="3440"/>
      <c r="CD117" s="3440"/>
      <c r="CE117" s="3440"/>
      <c r="CF117" s="3440"/>
      <c r="CG117" s="3441"/>
      <c r="CH117" s="3439"/>
      <c r="CI117" s="3440"/>
      <c r="CJ117" s="3440"/>
      <c r="CK117" s="3440"/>
      <c r="CL117" s="3440"/>
      <c r="CM117" s="3440"/>
      <c r="CN117" s="3440"/>
      <c r="CO117" s="3441"/>
      <c r="CP117" s="3439"/>
      <c r="CQ117" s="3440"/>
      <c r="CR117" s="3440"/>
      <c r="CS117" s="3440"/>
      <c r="CT117" s="3440"/>
      <c r="CU117" s="3440"/>
      <c r="CV117" s="3440"/>
      <c r="CW117" s="3441"/>
      <c r="CX117" s="3439"/>
      <c r="CY117" s="3440"/>
      <c r="CZ117" s="3440"/>
      <c r="DA117" s="3440"/>
      <c r="DB117" s="3440"/>
      <c r="DC117" s="3440"/>
      <c r="DD117" s="3440"/>
      <c r="DE117" s="3441"/>
      <c r="DF117" s="3441"/>
      <c r="DG117" s="3804"/>
      <c r="DH117" s="3611"/>
      <c r="DI117" s="3790"/>
      <c r="DJ117" s="3790" t="str">
        <f>IF(T117="","",T117)</f>
        <v/>
      </c>
      <c r="DK117" s="3790"/>
      <c r="DL117" s="3790"/>
    </row>
    <row s="4813" customFormat="1" customHeight="1" ht="21">
      <c r="A118" s="3778"/>
      <c r="B118" s="3778"/>
      <c r="C118" s="3778"/>
      <c r="D118" s="3778"/>
      <c r="E118" s="3779">
        <v>1</v>
      </c>
      <c r="F118" s="3779"/>
      <c r="G118" s="3779"/>
      <c r="H118" s="3779"/>
      <c r="I118" s="3806"/>
      <c r="J118" s="3797" t="str">
        <f>I117&amp;".1"</f>
        <v>2.1.1.1.1.1</v>
      </c>
      <c r="K118" s="3778"/>
      <c r="L118" s="3781" t="s">
        <v>453</v>
      </c>
      <c r="M118" s="3603"/>
      <c r="N118" s="3603"/>
      <c r="O118" s="3798"/>
      <c r="P118" s="3799"/>
      <c r="Q118" s="3799">
        <v>1</v>
      </c>
      <c r="R118" s="3807"/>
      <c r="S118" s="3786" t="str">
        <f>$J118</f>
        <v>2.1.1.1.1.1</v>
      </c>
      <c r="T118" s="3808" t="s">
        <v>454</v>
      </c>
      <c r="U118" s="3788"/>
      <c r="V118" s="3443"/>
      <c r="W118" s="3444"/>
      <c r="X118" s="3444"/>
      <c r="Y118" s="3444"/>
      <c r="Z118" s="3444"/>
      <c r="AA118" s="3444"/>
      <c r="AB118" s="3444"/>
      <c r="AC118" s="3445"/>
      <c r="AD118" s="3443" t="s">
        <v>497</v>
      </c>
      <c r="AE118" s="3444"/>
      <c r="AF118" s="3444"/>
      <c r="AG118" s="3444"/>
      <c r="AH118" s="3444"/>
      <c r="AI118" s="3444"/>
      <c r="AJ118" s="3444"/>
      <c r="AK118" s="3444"/>
      <c r="AL118" s="3443"/>
      <c r="AM118" s="3444"/>
      <c r="AN118" s="3444"/>
      <c r="AO118" s="3444"/>
      <c r="AP118" s="3444"/>
      <c r="AQ118" s="3444"/>
      <c r="AR118" s="3444"/>
      <c r="AS118" s="3445"/>
      <c r="AT118" s="3443"/>
      <c r="AU118" s="3444"/>
      <c r="AV118" s="3444"/>
      <c r="AW118" s="3444"/>
      <c r="AX118" s="3444"/>
      <c r="AY118" s="3444"/>
      <c r="AZ118" s="3444"/>
      <c r="BA118" s="3445"/>
      <c r="BB118" s="3443"/>
      <c r="BC118" s="3444"/>
      <c r="BD118" s="3444"/>
      <c r="BE118" s="3444"/>
      <c r="BF118" s="3444"/>
      <c r="BG118" s="3444"/>
      <c r="BH118" s="3444"/>
      <c r="BI118" s="3445"/>
      <c r="BJ118" s="3443"/>
      <c r="BK118" s="3444"/>
      <c r="BL118" s="3444"/>
      <c r="BM118" s="3444"/>
      <c r="BN118" s="3444"/>
      <c r="BO118" s="3444"/>
      <c r="BP118" s="3444"/>
      <c r="BQ118" s="3445"/>
      <c r="BR118" s="3443"/>
      <c r="BS118" s="3444"/>
      <c r="BT118" s="3444"/>
      <c r="BU118" s="3444"/>
      <c r="BV118" s="3444"/>
      <c r="BW118" s="3444"/>
      <c r="BX118" s="3444"/>
      <c r="BY118" s="3445"/>
      <c r="BZ118" s="3443"/>
      <c r="CA118" s="3444"/>
      <c r="CB118" s="3444"/>
      <c r="CC118" s="3444"/>
      <c r="CD118" s="3444"/>
      <c r="CE118" s="3444"/>
      <c r="CF118" s="3444"/>
      <c r="CG118" s="3445"/>
      <c r="CH118" s="3443"/>
      <c r="CI118" s="3444"/>
      <c r="CJ118" s="3444"/>
      <c r="CK118" s="3444"/>
      <c r="CL118" s="3444"/>
      <c r="CM118" s="3444"/>
      <c r="CN118" s="3444"/>
      <c r="CO118" s="3445"/>
      <c r="CP118" s="3443"/>
      <c r="CQ118" s="3444"/>
      <c r="CR118" s="3444"/>
      <c r="CS118" s="3444"/>
      <c r="CT118" s="3444"/>
      <c r="CU118" s="3444"/>
      <c r="CV118" s="3444"/>
      <c r="CW118" s="3445"/>
      <c r="CX118" s="3443"/>
      <c r="CY118" s="3444"/>
      <c r="CZ118" s="3444"/>
      <c r="DA118" s="3444"/>
      <c r="DB118" s="3444"/>
      <c r="DC118" s="3444"/>
      <c r="DD118" s="3444"/>
      <c r="DE118" s="3445"/>
      <c r="DF118" s="3445"/>
      <c r="DG118" s="3789" t="s">
        <v>455</v>
      </c>
      <c r="DH118" s="3611"/>
      <c r="DI118" s="3790"/>
      <c r="DJ118" s="3790" t="str">
        <f>IF(T118="","",T118)</f>
        <v>Группа потребителей</v>
      </c>
      <c r="DK118" s="3790"/>
      <c r="DL118" s="3790"/>
    </row>
    <row s="4814" customFormat="1" customHeight="1" ht="21">
      <c r="A119" s="3778"/>
      <c r="B119" s="3778"/>
      <c r="C119" s="3778"/>
      <c r="D119" s="3778"/>
      <c r="E119" s="3779">
        <v>1</v>
      </c>
      <c r="F119" s="3779"/>
      <c r="G119" s="3779"/>
      <c r="H119" s="3779"/>
      <c r="I119" s="3806"/>
      <c r="J119" s="3806"/>
      <c r="K119" s="3797" t="str">
        <f>J118&amp;".1"</f>
        <v>2.1.1.1.1.1.1</v>
      </c>
      <c r="L119" s="3781" t="s">
        <v>456</v>
      </c>
      <c r="M119" s="3603"/>
      <c r="N119" s="3603"/>
      <c r="O119" s="3603"/>
      <c r="P119" s="3799"/>
      <c r="Q119" s="3799"/>
      <c r="R119" s="3807">
        <v>1</v>
      </c>
      <c r="S119" s="3786" t="str">
        <f>$K119</f>
        <v>2.1.1.1.1.1.1</v>
      </c>
      <c r="T119" s="3810" t="s">
        <v>495</v>
      </c>
      <c r="U119" s="3788"/>
      <c r="V119" s="3446"/>
      <c r="W119" s="3447"/>
      <c r="X119" s="3446"/>
      <c r="Y119" s="3448"/>
      <c r="Z119" s="3449"/>
      <c r="AA119" s="2872" t="s">
        <v>61</v>
      </c>
      <c r="AB119" s="3449"/>
      <c r="AC119" s="2872" t="s">
        <v>61</v>
      </c>
      <c r="AD119" s="3446">
        <v>41.45</v>
      </c>
      <c r="AE119" s="3447"/>
      <c r="AF119" s="3446"/>
      <c r="AG119" s="3448"/>
      <c r="AH119" s="3449">
        <v>45292</v>
      </c>
      <c r="AI119" s="2872" t="s">
        <v>61</v>
      </c>
      <c r="AJ119" s="3449">
        <v>45473</v>
      </c>
      <c r="AK119" s="2872" t="s">
        <v>61</v>
      </c>
      <c r="AL119" s="3446">
        <v>45.85</v>
      </c>
      <c r="AM119" s="3447"/>
      <c r="AN119" s="3446"/>
      <c r="AO119" s="3448"/>
      <c r="AP119" s="3449">
        <v>45474</v>
      </c>
      <c r="AQ119" s="2872" t="s">
        <v>61</v>
      </c>
      <c r="AR119" s="3449">
        <v>45657</v>
      </c>
      <c r="AS119" s="2872" t="s">
        <v>61</v>
      </c>
      <c r="AT119" s="3446">
        <v>43.39</v>
      </c>
      <c r="AU119" s="3447"/>
      <c r="AV119" s="3446"/>
      <c r="AW119" s="3448"/>
      <c r="AX119" s="3449">
        <v>45658</v>
      </c>
      <c r="AY119" s="2872" t="s">
        <v>61</v>
      </c>
      <c r="AZ119" s="3449">
        <v>45838</v>
      </c>
      <c r="BA119" s="2872" t="s">
        <v>61</v>
      </c>
      <c r="BB119" s="3446">
        <v>45.13</v>
      </c>
      <c r="BC119" s="3447"/>
      <c r="BD119" s="3446"/>
      <c r="BE119" s="3448"/>
      <c r="BF119" s="3449">
        <v>45839</v>
      </c>
      <c r="BG119" s="2872" t="s">
        <v>61</v>
      </c>
      <c r="BH119" s="3449">
        <v>46022</v>
      </c>
      <c r="BI119" s="2872" t="s">
        <v>61</v>
      </c>
      <c r="BJ119" s="3446">
        <v>45.13</v>
      </c>
      <c r="BK119" s="3447"/>
      <c r="BL119" s="3446"/>
      <c r="BM119" s="3448"/>
      <c r="BN119" s="3449">
        <v>46023</v>
      </c>
      <c r="BO119" s="2872" t="s">
        <v>61</v>
      </c>
      <c r="BP119" s="3449">
        <v>46203</v>
      </c>
      <c r="BQ119" s="2872" t="s">
        <v>61</v>
      </c>
      <c r="BR119" s="3446">
        <v>46.93</v>
      </c>
      <c r="BS119" s="3447"/>
      <c r="BT119" s="3446"/>
      <c r="BU119" s="3448"/>
      <c r="BV119" s="3449">
        <v>46204</v>
      </c>
      <c r="BW119" s="2872" t="s">
        <v>61</v>
      </c>
      <c r="BX119" s="3449">
        <v>46387</v>
      </c>
      <c r="BY119" s="2872" t="s">
        <v>61</v>
      </c>
      <c r="BZ119" s="3446">
        <v>46.93</v>
      </c>
      <c r="CA119" s="3447"/>
      <c r="CB119" s="3446"/>
      <c r="CC119" s="3448"/>
      <c r="CD119" s="3449">
        <v>46388</v>
      </c>
      <c r="CE119" s="2872" t="s">
        <v>61</v>
      </c>
      <c r="CF119" s="3449">
        <v>46568</v>
      </c>
      <c r="CG119" s="2872" t="s">
        <v>61</v>
      </c>
      <c r="CH119" s="3446">
        <v>48.34</v>
      </c>
      <c r="CI119" s="3447"/>
      <c r="CJ119" s="3446"/>
      <c r="CK119" s="3448"/>
      <c r="CL119" s="3449">
        <v>46569</v>
      </c>
      <c r="CM119" s="2872" t="s">
        <v>61</v>
      </c>
      <c r="CN119" s="3449">
        <v>46752</v>
      </c>
      <c r="CO119" s="2872" t="s">
        <v>61</v>
      </c>
      <c r="CP119" s="3446">
        <v>48.34</v>
      </c>
      <c r="CQ119" s="3447"/>
      <c r="CR119" s="3446"/>
      <c r="CS119" s="3448"/>
      <c r="CT119" s="3449">
        <v>46753</v>
      </c>
      <c r="CU119" s="2872" t="s">
        <v>61</v>
      </c>
      <c r="CV119" s="3449">
        <v>46934</v>
      </c>
      <c r="CW119" s="2872" t="s">
        <v>61</v>
      </c>
      <c r="CX119" s="3446">
        <v>50.27</v>
      </c>
      <c r="CY119" s="3447"/>
      <c r="CZ119" s="3446"/>
      <c r="DA119" s="3448"/>
      <c r="DB119" s="3449">
        <v>46935</v>
      </c>
      <c r="DC119" s="2872" t="s">
        <v>61</v>
      </c>
      <c r="DD119" s="3449">
        <v>47118</v>
      </c>
      <c r="DE119" s="2872" t="s">
        <v>61</v>
      </c>
      <c r="DF119" s="3447"/>
      <c r="DG119" s="3811" t="s">
        <v>457</v>
      </c>
      <c r="DH119" s="3611">
        <f>STRCHECKDATE(V120:DF120)</f>
      </c>
      <c r="DI119" s="3790"/>
      <c r="DJ119" s="3790" t="str">
        <f>IF(T119="","",T119)</f>
        <v>вода</v>
      </c>
      <c r="DK119" s="3790"/>
      <c r="DL119" s="3790"/>
    </row>
    <row s="4815" customFormat="1" customHeight="1" ht="0.75">
      <c r="A120" s="3778"/>
      <c r="B120" s="3778"/>
      <c r="C120" s="3778"/>
      <c r="D120" s="3778"/>
      <c r="E120" s="3779">
        <v>1</v>
      </c>
      <c r="F120" s="3779"/>
      <c r="G120" s="3779"/>
      <c r="H120" s="3779"/>
      <c r="I120" s="3806"/>
      <c r="J120" s="3806"/>
      <c r="K120" s="3797"/>
      <c r="L120" s="3781"/>
      <c r="M120" s="3603"/>
      <c r="N120" s="3603"/>
      <c r="O120" s="3603"/>
      <c r="P120" s="3799"/>
      <c r="Q120" s="3799"/>
      <c r="R120" s="3807"/>
      <c r="S120" s="3813"/>
      <c r="T120" s="3788"/>
      <c r="U120" s="3788"/>
      <c r="V120" s="3447"/>
      <c r="W120" s="3447"/>
      <c r="X120" s="3447"/>
      <c r="Y120" s="3450" t="str">
        <f>Z119&amp;"-"&amp;AB119</f>
        <v>-</v>
      </c>
      <c r="Z120" s="3451"/>
      <c r="AA120" s="2872"/>
      <c r="AB120" s="3451"/>
      <c r="AC120" s="2872"/>
      <c r="AD120" s="3447"/>
      <c r="AE120" s="3447"/>
      <c r="AF120" s="3447"/>
      <c r="AG120" s="3450" t="str">
        <f>AH119&amp;"-"&amp;AJ119</f>
        <v>45292-45473</v>
      </c>
      <c r="AH120" s="3451"/>
      <c r="AI120" s="2872"/>
      <c r="AJ120" s="3451"/>
      <c r="AK120" s="2872"/>
      <c r="AL120" s="3447"/>
      <c r="AM120" s="3447"/>
      <c r="AN120" s="3447"/>
      <c r="AO120" s="3450" t="str">
        <f>AP119&amp;"-"&amp;AR119</f>
        <v>45474-45657</v>
      </c>
      <c r="AP120" s="3451"/>
      <c r="AQ120" s="2872"/>
      <c r="AR120" s="3451"/>
      <c r="AS120" s="2872"/>
      <c r="AT120" s="3447"/>
      <c r="AU120" s="3447"/>
      <c r="AV120" s="3447"/>
      <c r="AW120" s="3450" t="str">
        <f>AX119&amp;"-"&amp;AZ119</f>
        <v>45658-45838</v>
      </c>
      <c r="AX120" s="3451"/>
      <c r="AY120" s="2872"/>
      <c r="AZ120" s="3451"/>
      <c r="BA120" s="2872"/>
      <c r="BB120" s="3447"/>
      <c r="BC120" s="3447"/>
      <c r="BD120" s="3447"/>
      <c r="BE120" s="3450" t="str">
        <f>BF119&amp;"-"&amp;BH119</f>
        <v>45839-46022</v>
      </c>
      <c r="BF120" s="3451"/>
      <c r="BG120" s="2872"/>
      <c r="BH120" s="3451"/>
      <c r="BI120" s="2872"/>
      <c r="BJ120" s="3447"/>
      <c r="BK120" s="3447"/>
      <c r="BL120" s="3447"/>
      <c r="BM120" s="3450" t="str">
        <f>BN119&amp;"-"&amp;BP119</f>
        <v>46023-46203</v>
      </c>
      <c r="BN120" s="3451"/>
      <c r="BO120" s="2872"/>
      <c r="BP120" s="3451"/>
      <c r="BQ120" s="2872"/>
      <c r="BR120" s="3447"/>
      <c r="BS120" s="3447"/>
      <c r="BT120" s="3447"/>
      <c r="BU120" s="3450" t="str">
        <f>BV119&amp;"-"&amp;BX119</f>
        <v>46204-46387</v>
      </c>
      <c r="BV120" s="3451"/>
      <c r="BW120" s="2872"/>
      <c r="BX120" s="3451"/>
      <c r="BY120" s="2872"/>
      <c r="BZ120" s="3447"/>
      <c r="CA120" s="3447"/>
      <c r="CB120" s="3447"/>
      <c r="CC120" s="3450" t="str">
        <f>CD119&amp;"-"&amp;CF119</f>
        <v>46388-46568</v>
      </c>
      <c r="CD120" s="3451"/>
      <c r="CE120" s="2872"/>
      <c r="CF120" s="3451"/>
      <c r="CG120" s="2872"/>
      <c r="CH120" s="3447"/>
      <c r="CI120" s="3447"/>
      <c r="CJ120" s="3447"/>
      <c r="CK120" s="3450" t="str">
        <f>CL119&amp;"-"&amp;CN119</f>
        <v>46569-46752</v>
      </c>
      <c r="CL120" s="3451"/>
      <c r="CM120" s="2872"/>
      <c r="CN120" s="3451"/>
      <c r="CO120" s="2872"/>
      <c r="CP120" s="3447"/>
      <c r="CQ120" s="3447"/>
      <c r="CR120" s="3447"/>
      <c r="CS120" s="3450" t="str">
        <f>CT119&amp;"-"&amp;CV119</f>
        <v>46753-46934</v>
      </c>
      <c r="CT120" s="3451"/>
      <c r="CU120" s="2872"/>
      <c r="CV120" s="3451"/>
      <c r="CW120" s="2872"/>
      <c r="CX120" s="3447"/>
      <c r="CY120" s="3447"/>
      <c r="CZ120" s="3447"/>
      <c r="DA120" s="3450" t="str">
        <f>DB119&amp;"-"&amp;DD119</f>
        <v>46935-47118</v>
      </c>
      <c r="DB120" s="3451"/>
      <c r="DC120" s="2872"/>
      <c r="DD120" s="3451"/>
      <c r="DE120" s="2872"/>
      <c r="DF120" s="3447"/>
      <c r="DG120" s="3814"/>
      <c r="DH120" s="3611"/>
      <c r="DI120" s="3790"/>
      <c r="DJ120" s="3790" t="str">
        <f>IF(T120="","",T120)</f>
        <v/>
      </c>
      <c r="DK120" s="3790"/>
      <c r="DL120" s="3790"/>
    </row>
    <row s="4816" customFormat="1" customHeight="1" ht="15">
      <c r="A121" s="3778"/>
      <c r="B121" s="3778"/>
      <c r="C121" s="3778"/>
      <c r="D121" s="3778"/>
      <c r="E121" s="3779">
        <v>1</v>
      </c>
      <c r="F121" s="3779"/>
      <c r="G121" s="3779"/>
      <c r="H121" s="3779"/>
      <c r="I121" s="3806"/>
      <c r="J121" s="3797"/>
      <c r="K121" s="3778"/>
      <c r="L121" s="3781"/>
      <c r="M121" s="3603"/>
      <c r="N121" s="3603"/>
      <c r="O121" s="3798"/>
      <c r="P121" s="3799"/>
      <c r="Q121" s="3799"/>
      <c r="R121" s="3800"/>
      <c r="S121" s="4817"/>
      <c r="T121" s="4818" t="s">
        <v>458</v>
      </c>
      <c r="U121" s="4819"/>
      <c r="V121" s="4820"/>
      <c r="W121" s="4821"/>
      <c r="X121" s="4822"/>
      <c r="Y121" s="4823"/>
      <c r="Z121" s="4824"/>
      <c r="AA121" s="4825"/>
      <c r="AB121" s="4826"/>
      <c r="AC121" s="4827"/>
      <c r="AD121" s="4828"/>
      <c r="AE121" s="4829"/>
      <c r="AF121" s="4830"/>
      <c r="AG121" s="4831"/>
      <c r="AH121" s="4832"/>
      <c r="AI121" s="4833"/>
      <c r="AJ121" s="4834"/>
      <c r="AK121" s="4835"/>
      <c r="AL121" s="4836"/>
      <c r="AM121" s="4837"/>
      <c r="AN121" s="4838"/>
      <c r="AO121" s="4839"/>
      <c r="AP121" s="4840"/>
      <c r="AQ121" s="4841"/>
      <c r="AR121" s="4842"/>
      <c r="AS121" s="4843"/>
      <c r="AT121" s="4844"/>
      <c r="AU121" s="4845"/>
      <c r="AV121" s="4846"/>
      <c r="AW121" s="4847"/>
      <c r="AX121" s="4848"/>
      <c r="AY121" s="4849"/>
      <c r="AZ121" s="4850"/>
      <c r="BA121" s="4851"/>
      <c r="BB121" s="4852"/>
      <c r="BC121" s="4853"/>
      <c r="BD121" s="4854"/>
      <c r="BE121" s="4855"/>
      <c r="BF121" s="4856"/>
      <c r="BG121" s="4857"/>
      <c r="BH121" s="4858"/>
      <c r="BI121" s="4859"/>
      <c r="BJ121" s="4860"/>
      <c r="BK121" s="4861"/>
      <c r="BL121" s="4862"/>
      <c r="BM121" s="4863"/>
      <c r="BN121" s="4864"/>
      <c r="BO121" s="4865"/>
      <c r="BP121" s="4866"/>
      <c r="BQ121" s="4867"/>
      <c r="BR121" s="4868"/>
      <c r="BS121" s="4869"/>
      <c r="BT121" s="4870"/>
      <c r="BU121" s="4871"/>
      <c r="BV121" s="4872"/>
      <c r="BW121" s="4873"/>
      <c r="BX121" s="4874"/>
      <c r="BY121" s="4875"/>
      <c r="BZ121" s="4876"/>
      <c r="CA121" s="4877"/>
      <c r="CB121" s="4878"/>
      <c r="CC121" s="4879"/>
      <c r="CD121" s="4880"/>
      <c r="CE121" s="4881"/>
      <c r="CF121" s="4882"/>
      <c r="CG121" s="4883"/>
      <c r="CH121" s="4884"/>
      <c r="CI121" s="4885"/>
      <c r="CJ121" s="4886"/>
      <c r="CK121" s="4887"/>
      <c r="CL121" s="4888"/>
      <c r="CM121" s="4889"/>
      <c r="CN121" s="4890"/>
      <c r="CO121" s="4891"/>
      <c r="CP121" s="4892"/>
      <c r="CQ121" s="4893"/>
      <c r="CR121" s="4894"/>
      <c r="CS121" s="4895"/>
      <c r="CT121" s="4896"/>
      <c r="CU121" s="4897"/>
      <c r="CV121" s="4898"/>
      <c r="CW121" s="4899"/>
      <c r="CX121" s="4900"/>
      <c r="CY121" s="4901"/>
      <c r="CZ121" s="4902"/>
      <c r="DA121" s="4903"/>
      <c r="DB121" s="4904"/>
      <c r="DC121" s="4905"/>
      <c r="DD121" s="4906"/>
      <c r="DE121" s="4907"/>
      <c r="DF121" s="4908"/>
      <c r="DG121" s="3908"/>
      <c r="DH121" s="3611"/>
      <c r="DI121" s="3790"/>
      <c r="DJ121" s="3790" t="str">
        <f>IF(T121="","",T121)</f>
        <v>Добавить вид теплоносителя (параметры теплоносителя)</v>
      </c>
      <c r="DK121" s="3790"/>
      <c r="DL121" s="3790"/>
    </row>
    <row s="4909" customFormat="1" customHeight="1" ht="15">
      <c r="A122" s="3778"/>
      <c r="B122" s="3778"/>
      <c r="C122" s="3778"/>
      <c r="D122" s="3778"/>
      <c r="E122" s="3779">
        <v>1</v>
      </c>
      <c r="F122" s="3779"/>
      <c r="G122" s="3779"/>
      <c r="H122" s="3779"/>
      <c r="I122" s="3797"/>
      <c r="J122" s="3778"/>
      <c r="K122" s="3778"/>
      <c r="L122" s="3781"/>
      <c r="M122" s="3603"/>
      <c r="N122" s="3798"/>
      <c r="O122" s="3798"/>
      <c r="P122" s="3799"/>
      <c r="Q122" s="3799"/>
      <c r="R122" s="3800"/>
      <c r="S122" s="4910"/>
      <c r="T122" s="4911" t="s">
        <v>459</v>
      </c>
      <c r="U122" s="4912"/>
      <c r="V122" s="4913"/>
      <c r="W122" s="4914"/>
      <c r="X122" s="4915"/>
      <c r="Y122" s="4916"/>
      <c r="Z122" s="4917"/>
      <c r="AA122" s="4918"/>
      <c r="AB122" s="4919"/>
      <c r="AC122" s="4920"/>
      <c r="AD122" s="4921"/>
      <c r="AE122" s="4922"/>
      <c r="AF122" s="4923"/>
      <c r="AG122" s="4924"/>
      <c r="AH122" s="4925"/>
      <c r="AI122" s="4926"/>
      <c r="AJ122" s="4927"/>
      <c r="AK122" s="4928"/>
      <c r="AL122" s="4929"/>
      <c r="AM122" s="4930"/>
      <c r="AN122" s="4931"/>
      <c r="AO122" s="4932"/>
      <c r="AP122" s="4933"/>
      <c r="AQ122" s="4934"/>
      <c r="AR122" s="4935"/>
      <c r="AS122" s="4936"/>
      <c r="AT122" s="4937"/>
      <c r="AU122" s="4938"/>
      <c r="AV122" s="4939"/>
      <c r="AW122" s="4940"/>
      <c r="AX122" s="4941"/>
      <c r="AY122" s="4942"/>
      <c r="AZ122" s="4943"/>
      <c r="BA122" s="4944"/>
      <c r="BB122" s="4945"/>
      <c r="BC122" s="4946"/>
      <c r="BD122" s="4947"/>
      <c r="BE122" s="4948"/>
      <c r="BF122" s="4949"/>
      <c r="BG122" s="4950"/>
      <c r="BH122" s="4951"/>
      <c r="BI122" s="4952"/>
      <c r="BJ122" s="4953"/>
      <c r="BK122" s="4954"/>
      <c r="BL122" s="4955"/>
      <c r="BM122" s="4956"/>
      <c r="BN122" s="4957"/>
      <c r="BO122" s="4958"/>
      <c r="BP122" s="4959"/>
      <c r="BQ122" s="4960"/>
      <c r="BR122" s="4961"/>
      <c r="BS122" s="4962"/>
      <c r="BT122" s="4963"/>
      <c r="BU122" s="4964"/>
      <c r="BV122" s="4965"/>
      <c r="BW122" s="4966"/>
      <c r="BX122" s="4967"/>
      <c r="BY122" s="4968"/>
      <c r="BZ122" s="4969"/>
      <c r="CA122" s="4970"/>
      <c r="CB122" s="4971"/>
      <c r="CC122" s="4972"/>
      <c r="CD122" s="4973"/>
      <c r="CE122" s="4974"/>
      <c r="CF122" s="4975"/>
      <c r="CG122" s="4976"/>
      <c r="CH122" s="4977"/>
      <c r="CI122" s="4978"/>
      <c r="CJ122" s="4979"/>
      <c r="CK122" s="4980"/>
      <c r="CL122" s="4981"/>
      <c r="CM122" s="4982"/>
      <c r="CN122" s="4983"/>
      <c r="CO122" s="4984"/>
      <c r="CP122" s="4985"/>
      <c r="CQ122" s="4986"/>
      <c r="CR122" s="4987"/>
      <c r="CS122" s="4988"/>
      <c r="CT122" s="4989"/>
      <c r="CU122" s="4990"/>
      <c r="CV122" s="4991"/>
      <c r="CW122" s="4992"/>
      <c r="CX122" s="4993"/>
      <c r="CY122" s="4994"/>
      <c r="CZ122" s="4995"/>
      <c r="DA122" s="4996"/>
      <c r="DB122" s="4997"/>
      <c r="DC122" s="4998"/>
      <c r="DD122" s="4999"/>
      <c r="DE122" s="5000"/>
      <c r="DF122" s="5001"/>
      <c r="DG122" s="5002"/>
      <c r="DH122" s="3611"/>
      <c r="DI122" s="3790"/>
      <c r="DJ122" s="3790" t="str">
        <f>IF(T122="","",T122)</f>
        <v>Добавить группу потребителей</v>
      </c>
      <c r="DK122" s="3790"/>
      <c r="DL122" s="3790"/>
    </row>
    <row s="5003" customFormat="1" customHeight="1" ht="14.25">
      <c r="A123" s="3778"/>
      <c r="B123" s="3778"/>
      <c r="C123" s="3778"/>
      <c r="D123" s="3778"/>
      <c r="E123" s="3779">
        <v>1</v>
      </c>
      <c r="F123" s="3779"/>
      <c r="G123" s="3779"/>
      <c r="H123" s="3780"/>
      <c r="I123" s="3778"/>
      <c r="J123" s="3778"/>
      <c r="K123" s="3778"/>
      <c r="L123" s="3781"/>
      <c r="M123" s="3782"/>
      <c r="N123" s="3782"/>
      <c r="O123" s="3603"/>
      <c r="P123" s="4004"/>
      <c r="Q123" s="4005"/>
      <c r="R123" s="4006"/>
      <c r="S123" s="4007"/>
      <c r="T123" s="4008"/>
      <c r="U123" s="3599"/>
      <c r="V123" s="3599"/>
      <c r="W123" s="3599"/>
      <c r="X123" s="3599"/>
      <c r="Y123" s="3599"/>
      <c r="Z123" s="3599"/>
      <c r="AA123" s="3599"/>
      <c r="AB123" s="3599"/>
      <c r="AC123" s="3599"/>
      <c r="AD123" s="3599"/>
      <c r="AE123" s="3599"/>
      <c r="AF123" s="3599"/>
      <c r="AG123" s="3599"/>
      <c r="AH123" s="3599"/>
      <c r="AI123" s="3599"/>
      <c r="AJ123" s="3599"/>
      <c r="AK123" s="3599"/>
      <c r="AL123" s="3599"/>
      <c r="AM123" s="3599"/>
      <c r="AN123" s="3599"/>
      <c r="AO123" s="3599"/>
      <c r="AP123" s="3599"/>
      <c r="AQ123" s="3599"/>
      <c r="AR123" s="3599"/>
      <c r="AS123" s="3599"/>
      <c r="AT123" s="3599"/>
      <c r="AU123" s="3599"/>
      <c r="AV123" s="3599"/>
      <c r="AW123" s="3599"/>
      <c r="AX123" s="3599"/>
      <c r="AY123" s="3599"/>
      <c r="AZ123" s="3599"/>
      <c r="BA123" s="3599"/>
      <c r="BB123" s="3599"/>
      <c r="BC123" s="3599"/>
      <c r="BD123" s="3599"/>
      <c r="BE123" s="3599"/>
      <c r="BF123" s="3599"/>
      <c r="BG123" s="3599"/>
      <c r="BH123" s="3599"/>
      <c r="BI123" s="3599"/>
      <c r="BJ123" s="3599"/>
      <c r="BK123" s="3599"/>
      <c r="BL123" s="3599"/>
      <c r="BM123" s="3599"/>
      <c r="BN123" s="3599"/>
      <c r="BO123" s="3599"/>
      <c r="BP123" s="3599"/>
      <c r="BQ123" s="3599"/>
      <c r="BR123" s="3599"/>
      <c r="BS123" s="3599"/>
      <c r="BT123" s="3599"/>
      <c r="BU123" s="3599"/>
      <c r="BV123" s="3599"/>
      <c r="BW123" s="3599"/>
      <c r="BX123" s="3599"/>
      <c r="BY123" s="3599"/>
      <c r="BZ123" s="3599"/>
      <c r="CA123" s="3599"/>
      <c r="CB123" s="3599"/>
      <c r="CC123" s="3599"/>
      <c r="CD123" s="3599"/>
      <c r="CE123" s="3599"/>
      <c r="CF123" s="3599"/>
      <c r="CG123" s="3599"/>
      <c r="CH123" s="3599"/>
      <c r="CI123" s="3599"/>
      <c r="CJ123" s="3599"/>
      <c r="CK123" s="3599"/>
      <c r="CL123" s="3599"/>
      <c r="CM123" s="3599"/>
      <c r="CN123" s="3599"/>
      <c r="CO123" s="3599"/>
      <c r="CP123" s="3599"/>
      <c r="CQ123" s="3599"/>
      <c r="CR123" s="3599"/>
      <c r="CS123" s="3599"/>
      <c r="CT123" s="3599"/>
      <c r="CU123" s="3599"/>
      <c r="CV123" s="3599"/>
      <c r="CW123" s="3599"/>
      <c r="CX123" s="3599"/>
      <c r="CY123" s="3599"/>
      <c r="CZ123" s="3599"/>
      <c r="DA123" s="3599"/>
      <c r="DB123" s="3599"/>
      <c r="DC123" s="3599"/>
      <c r="DD123" s="3599"/>
      <c r="DE123" s="3599"/>
      <c r="DF123" s="3599"/>
      <c r="DG123" s="4009"/>
      <c r="DH123" s="3611"/>
      <c r="DI123" s="3790"/>
      <c r="DJ123" s="3790" t="str">
        <f>IF(T123="","",T123)</f>
        <v/>
      </c>
      <c r="DK123" s="3790"/>
      <c r="DL123" s="3790"/>
    </row>
    <row s="5004" customFormat="1" customHeight="1" ht="0.75">
      <c r="A124" s="4011"/>
      <c r="B124" s="4011"/>
      <c r="C124" s="4011"/>
      <c r="D124" s="4011"/>
      <c r="E124" s="3779">
        <v>1</v>
      </c>
      <c r="F124" s="3779"/>
      <c r="G124" s="3780"/>
      <c r="H124" s="4011"/>
      <c r="I124" s="4011"/>
      <c r="J124" s="4011"/>
      <c r="K124" s="4011"/>
      <c r="L124" s="4012"/>
      <c r="M124" s="4013"/>
      <c r="N124" s="4013"/>
      <c r="O124" s="3611"/>
      <c r="P124" s="4014"/>
      <c r="Q124" s="4015"/>
      <c r="R124" s="4014"/>
      <c r="S124" s="4016"/>
      <c r="T124" s="4017" t="s">
        <v>191</v>
      </c>
      <c r="U124" s="3601"/>
      <c r="V124" s="3601"/>
      <c r="W124" s="3601"/>
      <c r="X124" s="3601"/>
      <c r="Y124" s="3601"/>
      <c r="Z124" s="3601"/>
      <c r="AA124" s="3601"/>
      <c r="AB124" s="3601"/>
      <c r="AC124" s="3601"/>
      <c r="AD124" s="3601"/>
      <c r="AE124" s="3601"/>
      <c r="AF124" s="3601"/>
      <c r="AG124" s="3601"/>
      <c r="AH124" s="3601"/>
      <c r="AI124" s="3601"/>
      <c r="AJ124" s="3601"/>
      <c r="AK124" s="3601"/>
      <c r="AL124" s="3601"/>
      <c r="AM124" s="3601"/>
      <c r="AN124" s="3601"/>
      <c r="AO124" s="3601"/>
      <c r="AP124" s="3601"/>
      <c r="AQ124" s="3601"/>
      <c r="AR124" s="3601"/>
      <c r="AS124" s="3601"/>
      <c r="AT124" s="3601"/>
      <c r="AU124" s="3601"/>
      <c r="AV124" s="3601"/>
      <c r="AW124" s="3601"/>
      <c r="AX124" s="3601"/>
      <c r="AY124" s="3601"/>
      <c r="AZ124" s="3601"/>
      <c r="BA124" s="3601"/>
      <c r="BB124" s="3601"/>
      <c r="BC124" s="3601"/>
      <c r="BD124" s="3601"/>
      <c r="BE124" s="3601"/>
      <c r="BF124" s="3601"/>
      <c r="BG124" s="3601"/>
      <c r="BH124" s="3601"/>
      <c r="BI124" s="3601"/>
      <c r="BJ124" s="3601"/>
      <c r="BK124" s="3601"/>
      <c r="BL124" s="3601"/>
      <c r="BM124" s="3601"/>
      <c r="BN124" s="3601"/>
      <c r="BO124" s="3601"/>
      <c r="BP124" s="3601"/>
      <c r="BQ124" s="3601"/>
      <c r="BR124" s="3601"/>
      <c r="BS124" s="3601"/>
      <c r="BT124" s="3601"/>
      <c r="BU124" s="3601"/>
      <c r="BV124" s="3601"/>
      <c r="BW124" s="3601"/>
      <c r="BX124" s="3601"/>
      <c r="BY124" s="3601"/>
      <c r="BZ124" s="3601"/>
      <c r="CA124" s="3601"/>
      <c r="CB124" s="3601"/>
      <c r="CC124" s="3601"/>
      <c r="CD124" s="3601"/>
      <c r="CE124" s="3601"/>
      <c r="CF124" s="3601"/>
      <c r="CG124" s="3601"/>
      <c r="CH124" s="3601"/>
      <c r="CI124" s="3601"/>
      <c r="CJ124" s="3601"/>
      <c r="CK124" s="3601"/>
      <c r="CL124" s="3601"/>
      <c r="CM124" s="3601"/>
      <c r="CN124" s="3601"/>
      <c r="CO124" s="3601"/>
      <c r="CP124" s="3601"/>
      <c r="CQ124" s="3601"/>
      <c r="CR124" s="3601"/>
      <c r="CS124" s="3601"/>
      <c r="CT124" s="3601"/>
      <c r="CU124" s="3601"/>
      <c r="CV124" s="3601"/>
      <c r="CW124" s="3601"/>
      <c r="CX124" s="3601"/>
      <c r="CY124" s="3601"/>
      <c r="CZ124" s="3601"/>
      <c r="DA124" s="3601"/>
      <c r="DB124" s="3601"/>
      <c r="DC124" s="3601"/>
      <c r="DD124" s="3601"/>
      <c r="DE124" s="3601"/>
      <c r="DF124" s="3601"/>
      <c r="DG124" s="3601"/>
      <c r="DH124" s="3611"/>
      <c r="DI124" s="3790"/>
      <c r="DJ124" s="3790" t="str">
        <f>IF(T124="","",T124)</f>
        <v>Добавить источник для дифференциации</v>
      </c>
      <c r="DK124" s="3790"/>
      <c r="DL124" s="3790"/>
    </row>
    <row s="5005" customFormat="1" customHeight="1" ht="0.75">
      <c r="A125" s="4011"/>
      <c r="B125" s="4011"/>
      <c r="C125" s="4011"/>
      <c r="D125" s="4011"/>
      <c r="E125" s="3779">
        <v>1</v>
      </c>
      <c r="F125" s="3780"/>
      <c r="G125" s="4011"/>
      <c r="H125" s="4011"/>
      <c r="I125" s="4011"/>
      <c r="J125" s="4011"/>
      <c r="K125" s="4011"/>
      <c r="L125" s="4012"/>
      <c r="M125" s="4019"/>
      <c r="N125" s="4019"/>
      <c r="O125" s="3611"/>
      <c r="P125" s="4014"/>
      <c r="Q125" s="4015"/>
      <c r="R125" s="4014"/>
      <c r="S125" s="4020"/>
      <c r="T125" s="4021" t="s">
        <v>192</v>
      </c>
      <c r="U125" s="3602"/>
      <c r="V125" s="3602"/>
      <c r="W125" s="3602"/>
      <c r="X125" s="3602"/>
      <c r="Y125" s="3602"/>
      <c r="Z125" s="3602"/>
      <c r="AA125" s="3602"/>
      <c r="AB125" s="3602"/>
      <c r="AC125" s="3602"/>
      <c r="AD125" s="3602"/>
      <c r="AE125" s="3602"/>
      <c r="AF125" s="3602"/>
      <c r="AG125" s="3602"/>
      <c r="AH125" s="3602"/>
      <c r="AI125" s="3602"/>
      <c r="AJ125" s="3602"/>
      <c r="AK125" s="3602"/>
      <c r="AL125" s="3602"/>
      <c r="AM125" s="3602"/>
      <c r="AN125" s="3602"/>
      <c r="AO125" s="3602"/>
      <c r="AP125" s="3602"/>
      <c r="AQ125" s="3602"/>
      <c r="AR125" s="3602"/>
      <c r="AS125" s="3602"/>
      <c r="AT125" s="3602"/>
      <c r="AU125" s="3602"/>
      <c r="AV125" s="3602"/>
      <c r="AW125" s="3602"/>
      <c r="AX125" s="3602"/>
      <c r="AY125" s="3602"/>
      <c r="AZ125" s="3602"/>
      <c r="BA125" s="3602"/>
      <c r="BB125" s="3602"/>
      <c r="BC125" s="3602"/>
      <c r="BD125" s="3602"/>
      <c r="BE125" s="3602"/>
      <c r="BF125" s="3602"/>
      <c r="BG125" s="3602"/>
      <c r="BH125" s="3602"/>
      <c r="BI125" s="3602"/>
      <c r="BJ125" s="3602"/>
      <c r="BK125" s="3602"/>
      <c r="BL125" s="3602"/>
      <c r="BM125" s="3602"/>
      <c r="BN125" s="3602"/>
      <c r="BO125" s="3602"/>
      <c r="BP125" s="3602"/>
      <c r="BQ125" s="3602"/>
      <c r="BR125" s="3602"/>
      <c r="BS125" s="3602"/>
      <c r="BT125" s="3602"/>
      <c r="BU125" s="3602"/>
      <c r="BV125" s="3602"/>
      <c r="BW125" s="3602"/>
      <c r="BX125" s="3602"/>
      <c r="BY125" s="3602"/>
      <c r="BZ125" s="3602"/>
      <c r="CA125" s="3602"/>
      <c r="CB125" s="3602"/>
      <c r="CC125" s="3602"/>
      <c r="CD125" s="3602"/>
      <c r="CE125" s="3602"/>
      <c r="CF125" s="3602"/>
      <c r="CG125" s="3602"/>
      <c r="CH125" s="3602"/>
      <c r="CI125" s="3602"/>
      <c r="CJ125" s="3602"/>
      <c r="CK125" s="3602"/>
      <c r="CL125" s="3602"/>
      <c r="CM125" s="3602"/>
      <c r="CN125" s="3602"/>
      <c r="CO125" s="3602"/>
      <c r="CP125" s="3602"/>
      <c r="CQ125" s="3602"/>
      <c r="CR125" s="3602"/>
      <c r="CS125" s="3602"/>
      <c r="CT125" s="3602"/>
      <c r="CU125" s="3602"/>
      <c r="CV125" s="3602"/>
      <c r="CW125" s="3602"/>
      <c r="CX125" s="3602"/>
      <c r="CY125" s="3602"/>
      <c r="CZ125" s="3602"/>
      <c r="DA125" s="3602"/>
      <c r="DB125" s="3602"/>
      <c r="DC125" s="3602"/>
      <c r="DD125" s="3602"/>
      <c r="DE125" s="3602"/>
      <c r="DF125" s="3602"/>
      <c r="DG125" s="3602"/>
      <c r="DH125" s="3611"/>
      <c r="DI125" s="3790"/>
      <c r="DJ125" s="3790" t="str">
        <f>IF(T125="","",T125)</f>
        <v>Добавить централизованную систему для дифференциации</v>
      </c>
      <c r="DK125" s="3790"/>
      <c r="DL125" s="3790"/>
    </row>
    <row s="5006" customFormat="1" customHeight="1" ht="21">
      <c r="A126" s="3778"/>
      <c r="B126" s="3778" t="s">
        <v>217</v>
      </c>
      <c r="C126" s="3778"/>
      <c r="D126" s="3778"/>
      <c r="E126" s="3779"/>
      <c r="F126" s="3780" t="s">
        <v>102</v>
      </c>
      <c r="G126" s="3778"/>
      <c r="H126" s="3778"/>
      <c r="I126" s="3778"/>
      <c r="J126" s="3778"/>
      <c r="K126" s="3778"/>
      <c r="L126" s="3781"/>
      <c r="M126" s="3782"/>
      <c r="N126" s="3782"/>
      <c r="O126" s="3782"/>
      <c r="P126" s="3783"/>
      <c r="Q126" s="3784"/>
      <c r="R126" s="3785"/>
      <c r="S126" s="3786" t="str">
        <f>INDEX(PT_DIFFERENTIATION_NUM_TER,MATCH(B126,PT_DIFFERENTIATION_TER_ID,0))</f>
        <v>2.2</v>
      </c>
      <c r="T126" s="3787" t="s">
        <v>444</v>
      </c>
      <c r="U126" s="3788"/>
      <c r="V126" s="3430"/>
      <c r="W126" s="3431"/>
      <c r="X126" s="3431"/>
      <c r="Y126" s="3431"/>
      <c r="Z126" s="3431"/>
      <c r="AA126" s="3431"/>
      <c r="AB126" s="3431"/>
      <c r="AC126" s="3432"/>
      <c r="AD126" s="3430" t="str">
        <f>INDEX(PT_DIFFERENTIATION_TER,MATCH(B126,PT_DIFFERENTIATION_TER_ID,0))</f>
        <v>Территория 2</v>
      </c>
      <c r="AE126" s="3431"/>
      <c r="AF126" s="3431"/>
      <c r="AG126" s="3431"/>
      <c r="AH126" s="3431"/>
      <c r="AI126" s="3431"/>
      <c r="AJ126" s="3431"/>
      <c r="AK126" s="3431"/>
      <c r="AL126" s="3430"/>
      <c r="AM126" s="3431"/>
      <c r="AN126" s="3431"/>
      <c r="AO126" s="3431"/>
      <c r="AP126" s="3431"/>
      <c r="AQ126" s="3431"/>
      <c r="AR126" s="3431"/>
      <c r="AS126" s="3432"/>
      <c r="AT126" s="3430"/>
      <c r="AU126" s="3431"/>
      <c r="AV126" s="3431"/>
      <c r="AW126" s="3431"/>
      <c r="AX126" s="3431"/>
      <c r="AY126" s="3431"/>
      <c r="AZ126" s="3431"/>
      <c r="BA126" s="3432"/>
      <c r="BB126" s="3430"/>
      <c r="BC126" s="3431"/>
      <c r="BD126" s="3431"/>
      <c r="BE126" s="3431"/>
      <c r="BF126" s="3431"/>
      <c r="BG126" s="3431"/>
      <c r="BH126" s="3431"/>
      <c r="BI126" s="3432"/>
      <c r="BJ126" s="3430"/>
      <c r="BK126" s="3431"/>
      <c r="BL126" s="3431"/>
      <c r="BM126" s="3431"/>
      <c r="BN126" s="3431"/>
      <c r="BO126" s="3431"/>
      <c r="BP126" s="3431"/>
      <c r="BQ126" s="3432"/>
      <c r="BR126" s="3430"/>
      <c r="BS126" s="3431"/>
      <c r="BT126" s="3431"/>
      <c r="BU126" s="3431"/>
      <c r="BV126" s="3431"/>
      <c r="BW126" s="3431"/>
      <c r="BX126" s="3431"/>
      <c r="BY126" s="3432"/>
      <c r="BZ126" s="3430"/>
      <c r="CA126" s="3431"/>
      <c r="CB126" s="3431"/>
      <c r="CC126" s="3431"/>
      <c r="CD126" s="3431"/>
      <c r="CE126" s="3431"/>
      <c r="CF126" s="3431"/>
      <c r="CG126" s="3432"/>
      <c r="CH126" s="3430"/>
      <c r="CI126" s="3431"/>
      <c r="CJ126" s="3431"/>
      <c r="CK126" s="3431"/>
      <c r="CL126" s="3431"/>
      <c r="CM126" s="3431"/>
      <c r="CN126" s="3431"/>
      <c r="CO126" s="3432"/>
      <c r="CP126" s="3430"/>
      <c r="CQ126" s="3431"/>
      <c r="CR126" s="3431"/>
      <c r="CS126" s="3431"/>
      <c r="CT126" s="3431"/>
      <c r="CU126" s="3431"/>
      <c r="CV126" s="3431"/>
      <c r="CW126" s="3432"/>
      <c r="CX126" s="3430"/>
      <c r="CY126" s="3431"/>
      <c r="CZ126" s="3431"/>
      <c r="DA126" s="3431"/>
      <c r="DB126" s="3431"/>
      <c r="DC126" s="3431"/>
      <c r="DD126" s="3431"/>
      <c r="DE126" s="3432"/>
      <c r="DF126" s="3432"/>
      <c r="DG126" s="3789" t="s">
        <v>445</v>
      </c>
      <c r="DH126" s="3611"/>
      <c r="DI126" s="3790"/>
      <c r="DJ126" s="3790" t="str">
        <f>IF(T126="","",T126)</f>
        <v>Территория действия тарифа</v>
      </c>
      <c r="DK126" s="3790"/>
      <c r="DL126" s="3790"/>
    </row>
    <row s="5007" customFormat="1" customHeight="1" ht="23.25">
      <c r="A127" s="3778"/>
      <c r="B127" s="3778"/>
      <c r="C127" s="3778" t="s">
        <v>218</v>
      </c>
      <c r="D127" s="3778"/>
      <c r="E127" s="3779"/>
      <c r="F127" s="3779">
        <v>1</v>
      </c>
      <c r="G127" s="3780">
        <v>1</v>
      </c>
      <c r="H127" s="3778"/>
      <c r="I127" s="3778"/>
      <c r="J127" s="3778"/>
      <c r="K127" s="3778"/>
      <c r="L127" s="3781"/>
      <c r="M127" s="3782"/>
      <c r="N127" s="3782"/>
      <c r="O127" s="3782"/>
      <c r="P127" s="3792"/>
      <c r="Q127" s="3784"/>
      <c r="R127" s="3785"/>
      <c r="S127" s="3786" t="str">
        <f>INDEX(PT_DIFFERENTIATION_NUM_CS,MATCH(C127,PT_DIFFERENTIATION_CS_ID,0))</f>
        <v>2.2.1</v>
      </c>
      <c r="T127" s="3793" t="s">
        <v>446</v>
      </c>
      <c r="U127" s="3788"/>
      <c r="V127" s="3430"/>
      <c r="W127" s="3431"/>
      <c r="X127" s="3431"/>
      <c r="Y127" s="3431"/>
      <c r="Z127" s="3431"/>
      <c r="AA127" s="3431"/>
      <c r="AB127" s="3431"/>
      <c r="AC127" s="3432"/>
      <c r="AD127" s="3430" t="str">
        <f>INDEX(PT_DIFFERENTIATION_CS,MATCH(C127,PT_DIFFERENTIATION_CS_ID,0))</f>
        <v>без дифференциации</v>
      </c>
      <c r="AE127" s="3431"/>
      <c r="AF127" s="3431"/>
      <c r="AG127" s="3431"/>
      <c r="AH127" s="3431"/>
      <c r="AI127" s="3431"/>
      <c r="AJ127" s="3431"/>
      <c r="AK127" s="3431"/>
      <c r="AL127" s="3430"/>
      <c r="AM127" s="3431"/>
      <c r="AN127" s="3431"/>
      <c r="AO127" s="3431"/>
      <c r="AP127" s="3431"/>
      <c r="AQ127" s="3431"/>
      <c r="AR127" s="3431"/>
      <c r="AS127" s="3432"/>
      <c r="AT127" s="3430"/>
      <c r="AU127" s="3431"/>
      <c r="AV127" s="3431"/>
      <c r="AW127" s="3431"/>
      <c r="AX127" s="3431"/>
      <c r="AY127" s="3431"/>
      <c r="AZ127" s="3431"/>
      <c r="BA127" s="3432"/>
      <c r="BB127" s="3430"/>
      <c r="BC127" s="3431"/>
      <c r="BD127" s="3431"/>
      <c r="BE127" s="3431"/>
      <c r="BF127" s="3431"/>
      <c r="BG127" s="3431"/>
      <c r="BH127" s="3431"/>
      <c r="BI127" s="3432"/>
      <c r="BJ127" s="3430"/>
      <c r="BK127" s="3431"/>
      <c r="BL127" s="3431"/>
      <c r="BM127" s="3431"/>
      <c r="BN127" s="3431"/>
      <c r="BO127" s="3431"/>
      <c r="BP127" s="3431"/>
      <c r="BQ127" s="3432"/>
      <c r="BR127" s="3430"/>
      <c r="BS127" s="3431"/>
      <c r="BT127" s="3431"/>
      <c r="BU127" s="3431"/>
      <c r="BV127" s="3431"/>
      <c r="BW127" s="3431"/>
      <c r="BX127" s="3431"/>
      <c r="BY127" s="3432"/>
      <c r="BZ127" s="3430"/>
      <c r="CA127" s="3431"/>
      <c r="CB127" s="3431"/>
      <c r="CC127" s="3431"/>
      <c r="CD127" s="3431"/>
      <c r="CE127" s="3431"/>
      <c r="CF127" s="3431"/>
      <c r="CG127" s="3432"/>
      <c r="CH127" s="3430"/>
      <c r="CI127" s="3431"/>
      <c r="CJ127" s="3431"/>
      <c r="CK127" s="3431"/>
      <c r="CL127" s="3431"/>
      <c r="CM127" s="3431"/>
      <c r="CN127" s="3431"/>
      <c r="CO127" s="3432"/>
      <c r="CP127" s="3430"/>
      <c r="CQ127" s="3431"/>
      <c r="CR127" s="3431"/>
      <c r="CS127" s="3431"/>
      <c r="CT127" s="3431"/>
      <c r="CU127" s="3431"/>
      <c r="CV127" s="3431"/>
      <c r="CW127" s="3432"/>
      <c r="CX127" s="3430"/>
      <c r="CY127" s="3431"/>
      <c r="CZ127" s="3431"/>
      <c r="DA127" s="3431"/>
      <c r="DB127" s="3431"/>
      <c r="DC127" s="3431"/>
      <c r="DD127" s="3431"/>
      <c r="DE127" s="3432"/>
      <c r="DF127" s="3432"/>
      <c r="DG127" s="3789" t="s">
        <v>447</v>
      </c>
      <c r="DH127" s="3611"/>
      <c r="DI127" s="3790"/>
      <c r="DJ127" s="3790" t="str">
        <f>IF(T127="","",T127)</f>
        <v>Наименование системы теплоснабжения </v>
      </c>
      <c r="DK127" s="3790"/>
      <c r="DL127" s="3790"/>
    </row>
    <row s="5008" customFormat="1" customHeight="1" ht="21">
      <c r="A128" s="3778"/>
      <c r="B128" s="3778"/>
      <c r="C128" s="3778"/>
      <c r="D128" s="3778" t="s">
        <v>219</v>
      </c>
      <c r="E128" s="3779"/>
      <c r="F128" s="3779">
        <v>1</v>
      </c>
      <c r="G128" s="3779"/>
      <c r="H128" s="3780">
        <v>1</v>
      </c>
      <c r="I128" s="3778"/>
      <c r="J128" s="3778"/>
      <c r="K128" s="3778"/>
      <c r="L128" s="3781"/>
      <c r="M128" s="3782"/>
      <c r="N128" s="3782"/>
      <c r="O128" s="3782"/>
      <c r="P128" s="3792"/>
      <c r="Q128" s="3784"/>
      <c r="R128" s="3785"/>
      <c r="S128" s="3786" t="str">
        <f>INDEX(PT_DIFFERENTIATION_NUM_IST_TE,MATCH(D128,PT_DIFFERENTIATION_IST_TE_ID,0))</f>
        <v>2.2.1.1</v>
      </c>
      <c r="T128" s="3795" t="s">
        <v>448</v>
      </c>
      <c r="U128" s="3788"/>
      <c r="V128" s="3430"/>
      <c r="W128" s="3431"/>
      <c r="X128" s="3431"/>
      <c r="Y128" s="3431"/>
      <c r="Z128" s="3431"/>
      <c r="AA128" s="3431"/>
      <c r="AB128" s="3431"/>
      <c r="AC128" s="3432"/>
      <c r="AD128" s="3430" t="str">
        <f>INDEX(PT_DIFFERENTIATION_IST_TE,MATCH(D128,PT_DIFFERENTIATION_IST_TE_ID,0))</f>
        <v>город Снежногорск</v>
      </c>
      <c r="AE128" s="3431"/>
      <c r="AF128" s="3431"/>
      <c r="AG128" s="3431"/>
      <c r="AH128" s="3431"/>
      <c r="AI128" s="3431"/>
      <c r="AJ128" s="3431"/>
      <c r="AK128" s="3431"/>
      <c r="AL128" s="3430"/>
      <c r="AM128" s="3431"/>
      <c r="AN128" s="3431"/>
      <c r="AO128" s="3431"/>
      <c r="AP128" s="3431"/>
      <c r="AQ128" s="3431"/>
      <c r="AR128" s="3431"/>
      <c r="AS128" s="3432"/>
      <c r="AT128" s="3430"/>
      <c r="AU128" s="3431"/>
      <c r="AV128" s="3431"/>
      <c r="AW128" s="3431"/>
      <c r="AX128" s="3431"/>
      <c r="AY128" s="3431"/>
      <c r="AZ128" s="3431"/>
      <c r="BA128" s="3432"/>
      <c r="BB128" s="3430"/>
      <c r="BC128" s="3431"/>
      <c r="BD128" s="3431"/>
      <c r="BE128" s="3431"/>
      <c r="BF128" s="3431"/>
      <c r="BG128" s="3431"/>
      <c r="BH128" s="3431"/>
      <c r="BI128" s="3432"/>
      <c r="BJ128" s="3430"/>
      <c r="BK128" s="3431"/>
      <c r="BL128" s="3431"/>
      <c r="BM128" s="3431"/>
      <c r="BN128" s="3431"/>
      <c r="BO128" s="3431"/>
      <c r="BP128" s="3431"/>
      <c r="BQ128" s="3432"/>
      <c r="BR128" s="3430"/>
      <c r="BS128" s="3431"/>
      <c r="BT128" s="3431"/>
      <c r="BU128" s="3431"/>
      <c r="BV128" s="3431"/>
      <c r="BW128" s="3431"/>
      <c r="BX128" s="3431"/>
      <c r="BY128" s="3432"/>
      <c r="BZ128" s="3430"/>
      <c r="CA128" s="3431"/>
      <c r="CB128" s="3431"/>
      <c r="CC128" s="3431"/>
      <c r="CD128" s="3431"/>
      <c r="CE128" s="3431"/>
      <c r="CF128" s="3431"/>
      <c r="CG128" s="3432"/>
      <c r="CH128" s="3430"/>
      <c r="CI128" s="3431"/>
      <c r="CJ128" s="3431"/>
      <c r="CK128" s="3431"/>
      <c r="CL128" s="3431"/>
      <c r="CM128" s="3431"/>
      <c r="CN128" s="3431"/>
      <c r="CO128" s="3432"/>
      <c r="CP128" s="3430"/>
      <c r="CQ128" s="3431"/>
      <c r="CR128" s="3431"/>
      <c r="CS128" s="3431"/>
      <c r="CT128" s="3431"/>
      <c r="CU128" s="3431"/>
      <c r="CV128" s="3431"/>
      <c r="CW128" s="3432"/>
      <c r="CX128" s="3430"/>
      <c r="CY128" s="3431"/>
      <c r="CZ128" s="3431"/>
      <c r="DA128" s="3431"/>
      <c r="DB128" s="3431"/>
      <c r="DC128" s="3431"/>
      <c r="DD128" s="3431"/>
      <c r="DE128" s="3432"/>
      <c r="DF128" s="3432"/>
      <c r="DG128" s="3789" t="s">
        <v>449</v>
      </c>
      <c r="DH128" s="3611"/>
      <c r="DI128" s="3790"/>
      <c r="DJ128" s="3790" t="str">
        <f>IF(T128="","",T128)</f>
        <v>Источник тепловой энергии  </v>
      </c>
      <c r="DK128" s="3790"/>
      <c r="DL128" s="3790"/>
    </row>
    <row s="5009" customFormat="1" customHeight="1" ht="14.25">
      <c r="A129" s="3778"/>
      <c r="B129" s="3778"/>
      <c r="C129" s="3778"/>
      <c r="D129" s="3778"/>
      <c r="E129" s="3779"/>
      <c r="F129" s="3779">
        <v>1</v>
      </c>
      <c r="G129" s="3779"/>
      <c r="H129" s="3779"/>
      <c r="I129" s="3797" t="str">
        <f>S128&amp;".1"</f>
        <v>2.2.1.1.1</v>
      </c>
      <c r="J129" s="3778"/>
      <c r="K129" s="3778"/>
      <c r="L129" s="3781" t="s">
        <v>450</v>
      </c>
      <c r="M129" s="3603"/>
      <c r="N129" s="3798"/>
      <c r="O129" s="3798"/>
      <c r="P129" s="3799">
        <v>1</v>
      </c>
      <c r="Q129" s="3799"/>
      <c r="R129" s="3800"/>
      <c r="S129" s="3801"/>
      <c r="T129" s="3802"/>
      <c r="U129" s="3803"/>
      <c r="V129" s="3439"/>
      <c r="W129" s="3440"/>
      <c r="X129" s="3440"/>
      <c r="Y129" s="3440"/>
      <c r="Z129" s="3440"/>
      <c r="AA129" s="3440"/>
      <c r="AB129" s="3440"/>
      <c r="AC129" s="3441"/>
      <c r="AD129" s="3439"/>
      <c r="AE129" s="3440"/>
      <c r="AF129" s="3440"/>
      <c r="AG129" s="3440"/>
      <c r="AH129" s="3440"/>
      <c r="AI129" s="3440"/>
      <c r="AJ129" s="3440"/>
      <c r="AK129" s="3440"/>
      <c r="AL129" s="3439"/>
      <c r="AM129" s="3440"/>
      <c r="AN129" s="3440"/>
      <c r="AO129" s="3440"/>
      <c r="AP129" s="3440"/>
      <c r="AQ129" s="3440"/>
      <c r="AR129" s="3440"/>
      <c r="AS129" s="3441"/>
      <c r="AT129" s="3439"/>
      <c r="AU129" s="3440"/>
      <c r="AV129" s="3440"/>
      <c r="AW129" s="3440"/>
      <c r="AX129" s="3440"/>
      <c r="AY129" s="3440"/>
      <c r="AZ129" s="3440"/>
      <c r="BA129" s="3441"/>
      <c r="BB129" s="3439"/>
      <c r="BC129" s="3440"/>
      <c r="BD129" s="3440"/>
      <c r="BE129" s="3440"/>
      <c r="BF129" s="3440"/>
      <c r="BG129" s="3440"/>
      <c r="BH129" s="3440"/>
      <c r="BI129" s="3441"/>
      <c r="BJ129" s="3439"/>
      <c r="BK129" s="3440"/>
      <c r="BL129" s="3440"/>
      <c r="BM129" s="3440"/>
      <c r="BN129" s="3440"/>
      <c r="BO129" s="3440"/>
      <c r="BP129" s="3440"/>
      <c r="BQ129" s="3441"/>
      <c r="BR129" s="3439"/>
      <c r="BS129" s="3440"/>
      <c r="BT129" s="3440"/>
      <c r="BU129" s="3440"/>
      <c r="BV129" s="3440"/>
      <c r="BW129" s="3440"/>
      <c r="BX129" s="3440"/>
      <c r="BY129" s="3441"/>
      <c r="BZ129" s="3439"/>
      <c r="CA129" s="3440"/>
      <c r="CB129" s="3440"/>
      <c r="CC129" s="3440"/>
      <c r="CD129" s="3440"/>
      <c r="CE129" s="3440"/>
      <c r="CF129" s="3440"/>
      <c r="CG129" s="3441"/>
      <c r="CH129" s="3439"/>
      <c r="CI129" s="3440"/>
      <c r="CJ129" s="3440"/>
      <c r="CK129" s="3440"/>
      <c r="CL129" s="3440"/>
      <c r="CM129" s="3440"/>
      <c r="CN129" s="3440"/>
      <c r="CO129" s="3441"/>
      <c r="CP129" s="3439"/>
      <c r="CQ129" s="3440"/>
      <c r="CR129" s="3440"/>
      <c r="CS129" s="3440"/>
      <c r="CT129" s="3440"/>
      <c r="CU129" s="3440"/>
      <c r="CV129" s="3440"/>
      <c r="CW129" s="3441"/>
      <c r="CX129" s="3439"/>
      <c r="CY129" s="3440"/>
      <c r="CZ129" s="3440"/>
      <c r="DA129" s="3440"/>
      <c r="DB129" s="3440"/>
      <c r="DC129" s="3440"/>
      <c r="DD129" s="3440"/>
      <c r="DE129" s="3441"/>
      <c r="DF129" s="3441"/>
      <c r="DG129" s="3804"/>
      <c r="DH129" s="3611"/>
      <c r="DI129" s="3790"/>
      <c r="DJ129" s="3790" t="str">
        <f>IF(T129="","",T129)</f>
        <v/>
      </c>
      <c r="DK129" s="3790"/>
      <c r="DL129" s="3790"/>
    </row>
    <row s="5010" customFormat="1" customHeight="1" ht="21">
      <c r="A130" s="3778"/>
      <c r="B130" s="3778"/>
      <c r="C130" s="3778"/>
      <c r="D130" s="3778"/>
      <c r="E130" s="3779"/>
      <c r="F130" s="3779">
        <v>1</v>
      </c>
      <c r="G130" s="3779"/>
      <c r="H130" s="3779"/>
      <c r="I130" s="3806"/>
      <c r="J130" s="3797" t="str">
        <f>I129&amp;".1"</f>
        <v>2.2.1.1.1.1</v>
      </c>
      <c r="K130" s="3778"/>
      <c r="L130" s="3781" t="s">
        <v>453</v>
      </c>
      <c r="M130" s="3603"/>
      <c r="N130" s="3603"/>
      <c r="O130" s="3798"/>
      <c r="P130" s="3799"/>
      <c r="Q130" s="3799">
        <v>1</v>
      </c>
      <c r="R130" s="3807"/>
      <c r="S130" s="3786" t="str">
        <f>$J130</f>
        <v>2.2.1.1.1.1</v>
      </c>
      <c r="T130" s="3808" t="s">
        <v>454</v>
      </c>
      <c r="U130" s="3788"/>
      <c r="V130" s="3443"/>
      <c r="W130" s="3444"/>
      <c r="X130" s="3444"/>
      <c r="Y130" s="3444"/>
      <c r="Z130" s="3444"/>
      <c r="AA130" s="3444"/>
      <c r="AB130" s="3444"/>
      <c r="AC130" s="3445"/>
      <c r="AD130" s="3443" t="s">
        <v>497</v>
      </c>
      <c r="AE130" s="3444"/>
      <c r="AF130" s="3444"/>
      <c r="AG130" s="3444"/>
      <c r="AH130" s="3444"/>
      <c r="AI130" s="3444"/>
      <c r="AJ130" s="3444"/>
      <c r="AK130" s="3444"/>
      <c r="AL130" s="3443"/>
      <c r="AM130" s="3444"/>
      <c r="AN130" s="3444"/>
      <c r="AO130" s="3444"/>
      <c r="AP130" s="3444"/>
      <c r="AQ130" s="3444"/>
      <c r="AR130" s="3444"/>
      <c r="AS130" s="3445"/>
      <c r="AT130" s="3443"/>
      <c r="AU130" s="3444"/>
      <c r="AV130" s="3444"/>
      <c r="AW130" s="3444"/>
      <c r="AX130" s="3444"/>
      <c r="AY130" s="3444"/>
      <c r="AZ130" s="3444"/>
      <c r="BA130" s="3445"/>
      <c r="BB130" s="3443"/>
      <c r="BC130" s="3444"/>
      <c r="BD130" s="3444"/>
      <c r="BE130" s="3444"/>
      <c r="BF130" s="3444"/>
      <c r="BG130" s="3444"/>
      <c r="BH130" s="3444"/>
      <c r="BI130" s="3445"/>
      <c r="BJ130" s="3443"/>
      <c r="BK130" s="3444"/>
      <c r="BL130" s="3444"/>
      <c r="BM130" s="3444"/>
      <c r="BN130" s="3444"/>
      <c r="BO130" s="3444"/>
      <c r="BP130" s="3444"/>
      <c r="BQ130" s="3445"/>
      <c r="BR130" s="3443"/>
      <c r="BS130" s="3444"/>
      <c r="BT130" s="3444"/>
      <c r="BU130" s="3444"/>
      <c r="BV130" s="3444"/>
      <c r="BW130" s="3444"/>
      <c r="BX130" s="3444"/>
      <c r="BY130" s="3445"/>
      <c r="BZ130" s="3443"/>
      <c r="CA130" s="3444"/>
      <c r="CB130" s="3444"/>
      <c r="CC130" s="3444"/>
      <c r="CD130" s="3444"/>
      <c r="CE130" s="3444"/>
      <c r="CF130" s="3444"/>
      <c r="CG130" s="3445"/>
      <c r="CH130" s="3443"/>
      <c r="CI130" s="3444"/>
      <c r="CJ130" s="3444"/>
      <c r="CK130" s="3444"/>
      <c r="CL130" s="3444"/>
      <c r="CM130" s="3444"/>
      <c r="CN130" s="3444"/>
      <c r="CO130" s="3445"/>
      <c r="CP130" s="3443"/>
      <c r="CQ130" s="3444"/>
      <c r="CR130" s="3444"/>
      <c r="CS130" s="3444"/>
      <c r="CT130" s="3444"/>
      <c r="CU130" s="3444"/>
      <c r="CV130" s="3444"/>
      <c r="CW130" s="3445"/>
      <c r="CX130" s="3443"/>
      <c r="CY130" s="3444"/>
      <c r="CZ130" s="3444"/>
      <c r="DA130" s="3444"/>
      <c r="DB130" s="3444"/>
      <c r="DC130" s="3444"/>
      <c r="DD130" s="3444"/>
      <c r="DE130" s="3445"/>
      <c r="DF130" s="3445"/>
      <c r="DG130" s="3789" t="s">
        <v>455</v>
      </c>
      <c r="DH130" s="3611"/>
      <c r="DI130" s="3790"/>
      <c r="DJ130" s="3790" t="str">
        <f>IF(T130="","",T130)</f>
        <v>Группа потребителей</v>
      </c>
      <c r="DK130" s="3790"/>
      <c r="DL130" s="3790"/>
    </row>
    <row s="5011" customFormat="1" customHeight="1" ht="21">
      <c r="A131" s="3778"/>
      <c r="B131" s="3778"/>
      <c r="C131" s="3778"/>
      <c r="D131" s="3778"/>
      <c r="E131" s="3779"/>
      <c r="F131" s="3779">
        <v>1</v>
      </c>
      <c r="G131" s="3779"/>
      <c r="H131" s="3779"/>
      <c r="I131" s="3806"/>
      <c r="J131" s="3806"/>
      <c r="K131" s="3797" t="str">
        <f>J130&amp;".1"</f>
        <v>2.2.1.1.1.1.1</v>
      </c>
      <c r="L131" s="3781" t="s">
        <v>456</v>
      </c>
      <c r="M131" s="3603"/>
      <c r="N131" s="3603"/>
      <c r="O131" s="3603"/>
      <c r="P131" s="3799"/>
      <c r="Q131" s="3799"/>
      <c r="R131" s="3807">
        <v>1</v>
      </c>
      <c r="S131" s="3786" t="str">
        <f>$K131</f>
        <v>2.2.1.1.1.1.1</v>
      </c>
      <c r="T131" s="3810" t="s">
        <v>495</v>
      </c>
      <c r="U131" s="3788"/>
      <c r="V131" s="3446"/>
      <c r="W131" s="3447"/>
      <c r="X131" s="3446"/>
      <c r="Y131" s="3448"/>
      <c r="Z131" s="3449"/>
      <c r="AA131" s="2872" t="s">
        <v>61</v>
      </c>
      <c r="AB131" s="3449"/>
      <c r="AC131" s="2872" t="s">
        <v>61</v>
      </c>
      <c r="AD131" s="3446">
        <v>29.31</v>
      </c>
      <c r="AE131" s="3447"/>
      <c r="AF131" s="3446"/>
      <c r="AG131" s="3448"/>
      <c r="AH131" s="3449">
        <v>45292</v>
      </c>
      <c r="AI131" s="2872" t="s">
        <v>61</v>
      </c>
      <c r="AJ131" s="3449">
        <v>45473</v>
      </c>
      <c r="AK131" s="2872" t="s">
        <v>61</v>
      </c>
      <c r="AL131" s="3446">
        <v>33.71</v>
      </c>
      <c r="AM131" s="3447"/>
      <c r="AN131" s="3446"/>
      <c r="AO131" s="3448"/>
      <c r="AP131" s="3449">
        <v>45474</v>
      </c>
      <c r="AQ131" s="2872" t="s">
        <v>61</v>
      </c>
      <c r="AR131" s="3449">
        <v>45657</v>
      </c>
      <c r="AS131" s="2872" t="s">
        <v>61</v>
      </c>
      <c r="AT131" s="3446">
        <v>32.54</v>
      </c>
      <c r="AU131" s="3447"/>
      <c r="AV131" s="3446"/>
      <c r="AW131" s="3448"/>
      <c r="AX131" s="3449">
        <v>45658</v>
      </c>
      <c r="AY131" s="2872" t="s">
        <v>61</v>
      </c>
      <c r="AZ131" s="3449">
        <v>45838</v>
      </c>
      <c r="BA131" s="2872" t="s">
        <v>61</v>
      </c>
      <c r="BB131" s="3446">
        <v>32.54</v>
      </c>
      <c r="BC131" s="3447"/>
      <c r="BD131" s="3446"/>
      <c r="BE131" s="3448"/>
      <c r="BF131" s="3449">
        <v>45839</v>
      </c>
      <c r="BG131" s="2872" t="s">
        <v>61</v>
      </c>
      <c r="BH131" s="3449">
        <v>46022</v>
      </c>
      <c r="BI131" s="2872" t="s">
        <v>61</v>
      </c>
      <c r="BJ131" s="3446">
        <v>32.54</v>
      </c>
      <c r="BK131" s="3447"/>
      <c r="BL131" s="3446"/>
      <c r="BM131" s="3448"/>
      <c r="BN131" s="3449">
        <v>46023</v>
      </c>
      <c r="BO131" s="2872" t="s">
        <v>61</v>
      </c>
      <c r="BP131" s="3449">
        <v>46203</v>
      </c>
      <c r="BQ131" s="2872" t="s">
        <v>61</v>
      </c>
      <c r="BR131" s="3446">
        <v>33.84</v>
      </c>
      <c r="BS131" s="3447"/>
      <c r="BT131" s="3446"/>
      <c r="BU131" s="3448"/>
      <c r="BV131" s="3449">
        <v>46204</v>
      </c>
      <c r="BW131" s="2872" t="s">
        <v>61</v>
      </c>
      <c r="BX131" s="3449">
        <v>46387</v>
      </c>
      <c r="BY131" s="2872" t="s">
        <v>61</v>
      </c>
      <c r="BZ131" s="3446">
        <v>33.84</v>
      </c>
      <c r="CA131" s="3447"/>
      <c r="CB131" s="3446"/>
      <c r="CC131" s="3448"/>
      <c r="CD131" s="3449">
        <v>46388</v>
      </c>
      <c r="CE131" s="2872" t="s">
        <v>61</v>
      </c>
      <c r="CF131" s="3449">
        <v>46568</v>
      </c>
      <c r="CG131" s="2872" t="s">
        <v>61</v>
      </c>
      <c r="CH131" s="3446">
        <v>35.2</v>
      </c>
      <c r="CI131" s="3447"/>
      <c r="CJ131" s="3446"/>
      <c r="CK131" s="3448"/>
      <c r="CL131" s="3449">
        <v>46569</v>
      </c>
      <c r="CM131" s="2872" t="s">
        <v>61</v>
      </c>
      <c r="CN131" s="3449">
        <v>46752</v>
      </c>
      <c r="CO131" s="2872" t="s">
        <v>61</v>
      </c>
      <c r="CP131" s="3446">
        <v>35.2</v>
      </c>
      <c r="CQ131" s="3447"/>
      <c r="CR131" s="3446"/>
      <c r="CS131" s="3448"/>
      <c r="CT131" s="3449">
        <v>46753</v>
      </c>
      <c r="CU131" s="2872" t="s">
        <v>61</v>
      </c>
      <c r="CV131" s="3449">
        <v>46934</v>
      </c>
      <c r="CW131" s="2872" t="s">
        <v>61</v>
      </c>
      <c r="CX131" s="3446">
        <v>36.6</v>
      </c>
      <c r="CY131" s="3447"/>
      <c r="CZ131" s="3446"/>
      <c r="DA131" s="3448"/>
      <c r="DB131" s="3449">
        <v>46935</v>
      </c>
      <c r="DC131" s="2872" t="s">
        <v>61</v>
      </c>
      <c r="DD131" s="3449">
        <v>47118</v>
      </c>
      <c r="DE131" s="2872" t="s">
        <v>61</v>
      </c>
      <c r="DF131" s="3447"/>
      <c r="DG131" s="3811" t="s">
        <v>457</v>
      </c>
      <c r="DH131" s="3611">
        <f>STRCHECKDATE(V132:DF132)</f>
      </c>
      <c r="DI131" s="3790"/>
      <c r="DJ131" s="3790" t="str">
        <f>IF(T131="","",T131)</f>
        <v>вода</v>
      </c>
      <c r="DK131" s="3790"/>
      <c r="DL131" s="3790"/>
    </row>
    <row s="5012" customFormat="1" customHeight="1" ht="0.75">
      <c r="A132" s="3778"/>
      <c r="B132" s="3778"/>
      <c r="C132" s="3778"/>
      <c r="D132" s="3778"/>
      <c r="E132" s="3779"/>
      <c r="F132" s="3779">
        <v>1</v>
      </c>
      <c r="G132" s="3779"/>
      <c r="H132" s="3779"/>
      <c r="I132" s="3806"/>
      <c r="J132" s="3806"/>
      <c r="K132" s="3797"/>
      <c r="L132" s="3781"/>
      <c r="M132" s="3603"/>
      <c r="N132" s="3603"/>
      <c r="O132" s="3603"/>
      <c r="P132" s="3799"/>
      <c r="Q132" s="3799"/>
      <c r="R132" s="3807"/>
      <c r="S132" s="3813"/>
      <c r="T132" s="3788"/>
      <c r="U132" s="3788"/>
      <c r="V132" s="3447"/>
      <c r="W132" s="3447"/>
      <c r="X132" s="3447"/>
      <c r="Y132" s="3450" t="str">
        <f>Z131&amp;"-"&amp;AB131</f>
        <v>-</v>
      </c>
      <c r="Z132" s="3451"/>
      <c r="AA132" s="2872"/>
      <c r="AB132" s="3451"/>
      <c r="AC132" s="2872"/>
      <c r="AD132" s="3447"/>
      <c r="AE132" s="3447"/>
      <c r="AF132" s="3447"/>
      <c r="AG132" s="3450" t="str">
        <f>AH131&amp;"-"&amp;AJ131</f>
        <v>45292-45473</v>
      </c>
      <c r="AH132" s="3451"/>
      <c r="AI132" s="2872"/>
      <c r="AJ132" s="3451"/>
      <c r="AK132" s="2872"/>
      <c r="AL132" s="3447"/>
      <c r="AM132" s="3447"/>
      <c r="AN132" s="3447"/>
      <c r="AO132" s="3450" t="str">
        <f>AP131&amp;"-"&amp;AR131</f>
        <v>45474-45657</v>
      </c>
      <c r="AP132" s="3451"/>
      <c r="AQ132" s="2872"/>
      <c r="AR132" s="3451"/>
      <c r="AS132" s="2872"/>
      <c r="AT132" s="3447"/>
      <c r="AU132" s="3447"/>
      <c r="AV132" s="3447"/>
      <c r="AW132" s="3450" t="str">
        <f>AX131&amp;"-"&amp;AZ131</f>
        <v>45658-45838</v>
      </c>
      <c r="AX132" s="3451"/>
      <c r="AY132" s="2872"/>
      <c r="AZ132" s="3451"/>
      <c r="BA132" s="2872"/>
      <c r="BB132" s="3447"/>
      <c r="BC132" s="3447"/>
      <c r="BD132" s="3447"/>
      <c r="BE132" s="3450" t="str">
        <f>BF131&amp;"-"&amp;BH131</f>
        <v>45839-46022</v>
      </c>
      <c r="BF132" s="3451"/>
      <c r="BG132" s="2872"/>
      <c r="BH132" s="3451"/>
      <c r="BI132" s="2872"/>
      <c r="BJ132" s="3447"/>
      <c r="BK132" s="3447"/>
      <c r="BL132" s="3447"/>
      <c r="BM132" s="3450" t="str">
        <f>BN131&amp;"-"&amp;BP131</f>
        <v>46023-46203</v>
      </c>
      <c r="BN132" s="3451"/>
      <c r="BO132" s="2872"/>
      <c r="BP132" s="3451"/>
      <c r="BQ132" s="2872"/>
      <c r="BR132" s="3447"/>
      <c r="BS132" s="3447"/>
      <c r="BT132" s="3447"/>
      <c r="BU132" s="3450" t="str">
        <f>BV131&amp;"-"&amp;BX131</f>
        <v>46204-46387</v>
      </c>
      <c r="BV132" s="3451"/>
      <c r="BW132" s="2872"/>
      <c r="BX132" s="3451"/>
      <c r="BY132" s="2872"/>
      <c r="BZ132" s="3447"/>
      <c r="CA132" s="3447"/>
      <c r="CB132" s="3447"/>
      <c r="CC132" s="3450" t="str">
        <f>CD131&amp;"-"&amp;CF131</f>
        <v>46388-46568</v>
      </c>
      <c r="CD132" s="3451"/>
      <c r="CE132" s="2872"/>
      <c r="CF132" s="3451"/>
      <c r="CG132" s="2872"/>
      <c r="CH132" s="3447"/>
      <c r="CI132" s="3447"/>
      <c r="CJ132" s="3447"/>
      <c r="CK132" s="3450" t="str">
        <f>CL131&amp;"-"&amp;CN131</f>
        <v>46569-46752</v>
      </c>
      <c r="CL132" s="3451"/>
      <c r="CM132" s="2872"/>
      <c r="CN132" s="3451"/>
      <c r="CO132" s="2872"/>
      <c r="CP132" s="3447"/>
      <c r="CQ132" s="3447"/>
      <c r="CR132" s="3447"/>
      <c r="CS132" s="3450" t="str">
        <f>CT131&amp;"-"&amp;CV131</f>
        <v>46753-46934</v>
      </c>
      <c r="CT132" s="3451"/>
      <c r="CU132" s="2872"/>
      <c r="CV132" s="3451"/>
      <c r="CW132" s="2872"/>
      <c r="CX132" s="3447"/>
      <c r="CY132" s="3447"/>
      <c r="CZ132" s="3447"/>
      <c r="DA132" s="3450" t="str">
        <f>DB131&amp;"-"&amp;DD131</f>
        <v>46935-47118</v>
      </c>
      <c r="DB132" s="3451"/>
      <c r="DC132" s="2872"/>
      <c r="DD132" s="3451"/>
      <c r="DE132" s="2872"/>
      <c r="DF132" s="3447"/>
      <c r="DG132" s="3814"/>
      <c r="DH132" s="3611"/>
      <c r="DI132" s="3790"/>
      <c r="DJ132" s="3790" t="str">
        <f>IF(T132="","",T132)</f>
        <v/>
      </c>
      <c r="DK132" s="3790"/>
      <c r="DL132" s="3790"/>
    </row>
    <row s="5013" customFormat="1" customHeight="1" ht="15">
      <c r="A133" s="3778"/>
      <c r="B133" s="3778"/>
      <c r="C133" s="3778"/>
      <c r="D133" s="3778"/>
      <c r="E133" s="3779"/>
      <c r="F133" s="3779">
        <v>1</v>
      </c>
      <c r="G133" s="3779"/>
      <c r="H133" s="3779"/>
      <c r="I133" s="3806"/>
      <c r="J133" s="3797"/>
      <c r="K133" s="3778"/>
      <c r="L133" s="3781"/>
      <c r="M133" s="3603"/>
      <c r="N133" s="3603"/>
      <c r="O133" s="3798"/>
      <c r="P133" s="3799"/>
      <c r="Q133" s="3799"/>
      <c r="R133" s="3800"/>
      <c r="S133" s="5014"/>
      <c r="T133" s="5015" t="s">
        <v>458</v>
      </c>
      <c r="U133" s="5016"/>
      <c r="V133" s="5017"/>
      <c r="W133" s="5018"/>
      <c r="X133" s="5019"/>
      <c r="Y133" s="5020"/>
      <c r="Z133" s="5021"/>
      <c r="AA133" s="5022"/>
      <c r="AB133" s="5023"/>
      <c r="AC133" s="5024"/>
      <c r="AD133" s="5025"/>
      <c r="AE133" s="5026"/>
      <c r="AF133" s="5027"/>
      <c r="AG133" s="5028"/>
      <c r="AH133" s="5029"/>
      <c r="AI133" s="5030"/>
      <c r="AJ133" s="5031"/>
      <c r="AK133" s="5032"/>
      <c r="AL133" s="5033"/>
      <c r="AM133" s="5034"/>
      <c r="AN133" s="5035"/>
      <c r="AO133" s="5036"/>
      <c r="AP133" s="5037"/>
      <c r="AQ133" s="5038"/>
      <c r="AR133" s="5039"/>
      <c r="AS133" s="5040"/>
      <c r="AT133" s="5041"/>
      <c r="AU133" s="5042"/>
      <c r="AV133" s="5043"/>
      <c r="AW133" s="5044"/>
      <c r="AX133" s="5045"/>
      <c r="AY133" s="5046"/>
      <c r="AZ133" s="5047"/>
      <c r="BA133" s="5048"/>
      <c r="BB133" s="5049"/>
      <c r="BC133" s="5050"/>
      <c r="BD133" s="5051"/>
      <c r="BE133" s="5052"/>
      <c r="BF133" s="5053"/>
      <c r="BG133" s="5054"/>
      <c r="BH133" s="5055"/>
      <c r="BI133" s="5056"/>
      <c r="BJ133" s="5057"/>
      <c r="BK133" s="5058"/>
      <c r="BL133" s="5059"/>
      <c r="BM133" s="5060"/>
      <c r="BN133" s="5061"/>
      <c r="BO133" s="5062"/>
      <c r="BP133" s="5063"/>
      <c r="BQ133" s="5064"/>
      <c r="BR133" s="5065"/>
      <c r="BS133" s="5066"/>
      <c r="BT133" s="5067"/>
      <c r="BU133" s="5068"/>
      <c r="BV133" s="5069"/>
      <c r="BW133" s="5070"/>
      <c r="BX133" s="5071"/>
      <c r="BY133" s="5072"/>
      <c r="BZ133" s="5073"/>
      <c r="CA133" s="5074"/>
      <c r="CB133" s="5075"/>
      <c r="CC133" s="5076"/>
      <c r="CD133" s="5077"/>
      <c r="CE133" s="5078"/>
      <c r="CF133" s="5079"/>
      <c r="CG133" s="5080"/>
      <c r="CH133" s="5081"/>
      <c r="CI133" s="5082"/>
      <c r="CJ133" s="5083"/>
      <c r="CK133" s="5084"/>
      <c r="CL133" s="5085"/>
      <c r="CM133" s="5086"/>
      <c r="CN133" s="5087"/>
      <c r="CO133" s="5088"/>
      <c r="CP133" s="5089"/>
      <c r="CQ133" s="5090"/>
      <c r="CR133" s="5091"/>
      <c r="CS133" s="5092"/>
      <c r="CT133" s="5093"/>
      <c r="CU133" s="5094"/>
      <c r="CV133" s="5095"/>
      <c r="CW133" s="5096"/>
      <c r="CX133" s="5097"/>
      <c r="CY133" s="5098"/>
      <c r="CZ133" s="5099"/>
      <c r="DA133" s="5100"/>
      <c r="DB133" s="5101"/>
      <c r="DC133" s="5102"/>
      <c r="DD133" s="5103"/>
      <c r="DE133" s="5104"/>
      <c r="DF133" s="5105"/>
      <c r="DG133" s="3908"/>
      <c r="DH133" s="3611"/>
      <c r="DI133" s="3790"/>
      <c r="DJ133" s="3790" t="str">
        <f>IF(T133="","",T133)</f>
        <v>Добавить вид теплоносителя (параметры теплоносителя)</v>
      </c>
      <c r="DK133" s="3790"/>
      <c r="DL133" s="3790"/>
    </row>
    <row s="5106" customFormat="1" customHeight="1" ht="15">
      <c r="A134" s="3778"/>
      <c r="B134" s="3778"/>
      <c r="C134" s="3778"/>
      <c r="D134" s="3778"/>
      <c r="E134" s="3779"/>
      <c r="F134" s="3779">
        <v>1</v>
      </c>
      <c r="G134" s="3779"/>
      <c r="H134" s="3779"/>
      <c r="I134" s="3797"/>
      <c r="J134" s="3778"/>
      <c r="K134" s="3778"/>
      <c r="L134" s="3781"/>
      <c r="M134" s="3603"/>
      <c r="N134" s="3798"/>
      <c r="O134" s="3798"/>
      <c r="P134" s="3799"/>
      <c r="Q134" s="3799"/>
      <c r="R134" s="3800"/>
      <c r="S134" s="5107"/>
      <c r="T134" s="5108" t="s">
        <v>459</v>
      </c>
      <c r="U134" s="5109"/>
      <c r="V134" s="5110"/>
      <c r="W134" s="5111"/>
      <c r="X134" s="5112"/>
      <c r="Y134" s="5113"/>
      <c r="Z134" s="5114"/>
      <c r="AA134" s="5115"/>
      <c r="AB134" s="5116"/>
      <c r="AC134" s="5117"/>
      <c r="AD134" s="5118"/>
      <c r="AE134" s="5119"/>
      <c r="AF134" s="5120"/>
      <c r="AG134" s="5121"/>
      <c r="AH134" s="5122"/>
      <c r="AI134" s="5123"/>
      <c r="AJ134" s="5124"/>
      <c r="AK134" s="5125"/>
      <c r="AL134" s="5126"/>
      <c r="AM134" s="5127"/>
      <c r="AN134" s="5128"/>
      <c r="AO134" s="5129"/>
      <c r="AP134" s="5130"/>
      <c r="AQ134" s="5131"/>
      <c r="AR134" s="5132"/>
      <c r="AS134" s="5133"/>
      <c r="AT134" s="5134"/>
      <c r="AU134" s="5135"/>
      <c r="AV134" s="5136"/>
      <c r="AW134" s="5137"/>
      <c r="AX134" s="5138"/>
      <c r="AY134" s="5139"/>
      <c r="AZ134" s="5140"/>
      <c r="BA134" s="5141"/>
      <c r="BB134" s="5142"/>
      <c r="BC134" s="5143"/>
      <c r="BD134" s="5144"/>
      <c r="BE134" s="5145"/>
      <c r="BF134" s="5146"/>
      <c r="BG134" s="5147"/>
      <c r="BH134" s="5148"/>
      <c r="BI134" s="5149"/>
      <c r="BJ134" s="5150"/>
      <c r="BK134" s="5151"/>
      <c r="BL134" s="5152"/>
      <c r="BM134" s="5153"/>
      <c r="BN134" s="5154"/>
      <c r="BO134" s="5155"/>
      <c r="BP134" s="5156"/>
      <c r="BQ134" s="5157"/>
      <c r="BR134" s="5158"/>
      <c r="BS134" s="5159"/>
      <c r="BT134" s="5160"/>
      <c r="BU134" s="5161"/>
      <c r="BV134" s="5162"/>
      <c r="BW134" s="5163"/>
      <c r="BX134" s="5164"/>
      <c r="BY134" s="5165"/>
      <c r="BZ134" s="5166"/>
      <c r="CA134" s="5167"/>
      <c r="CB134" s="5168"/>
      <c r="CC134" s="5169"/>
      <c r="CD134" s="5170"/>
      <c r="CE134" s="5171"/>
      <c r="CF134" s="5172"/>
      <c r="CG134" s="5173"/>
      <c r="CH134" s="5174"/>
      <c r="CI134" s="5175"/>
      <c r="CJ134" s="5176"/>
      <c r="CK134" s="5177"/>
      <c r="CL134" s="5178"/>
      <c r="CM134" s="5179"/>
      <c r="CN134" s="5180"/>
      <c r="CO134" s="5181"/>
      <c r="CP134" s="5182"/>
      <c r="CQ134" s="5183"/>
      <c r="CR134" s="5184"/>
      <c r="CS134" s="5185"/>
      <c r="CT134" s="5186"/>
      <c r="CU134" s="5187"/>
      <c r="CV134" s="5188"/>
      <c r="CW134" s="5189"/>
      <c r="CX134" s="5190"/>
      <c r="CY134" s="5191"/>
      <c r="CZ134" s="5192"/>
      <c r="DA134" s="5193"/>
      <c r="DB134" s="5194"/>
      <c r="DC134" s="5195"/>
      <c r="DD134" s="5196"/>
      <c r="DE134" s="5197"/>
      <c r="DF134" s="5198"/>
      <c r="DG134" s="5199"/>
      <c r="DH134" s="3611"/>
      <c r="DI134" s="3790"/>
      <c r="DJ134" s="3790" t="str">
        <f>IF(T134="","",T134)</f>
        <v>Добавить группу потребителей</v>
      </c>
      <c r="DK134" s="3790"/>
      <c r="DL134" s="3790"/>
    </row>
    <row s="5200" customFormat="1" customHeight="1" ht="14.25">
      <c r="A135" s="3778"/>
      <c r="B135" s="3778"/>
      <c r="C135" s="3778"/>
      <c r="D135" s="3778"/>
      <c r="E135" s="3779"/>
      <c r="F135" s="3779">
        <v>1</v>
      </c>
      <c r="G135" s="3779"/>
      <c r="H135" s="3780"/>
      <c r="I135" s="3778"/>
      <c r="J135" s="3778"/>
      <c r="K135" s="3778"/>
      <c r="L135" s="3781"/>
      <c r="M135" s="3782"/>
      <c r="N135" s="3782"/>
      <c r="O135" s="3603"/>
      <c r="P135" s="4004"/>
      <c r="Q135" s="4005"/>
      <c r="R135" s="4006"/>
      <c r="S135" s="4007"/>
      <c r="T135" s="4008"/>
      <c r="U135" s="3599"/>
      <c r="V135" s="3599"/>
      <c r="W135" s="3599"/>
      <c r="X135" s="3599"/>
      <c r="Y135" s="3599"/>
      <c r="Z135" s="3599"/>
      <c r="AA135" s="3599"/>
      <c r="AB135" s="3599"/>
      <c r="AC135" s="3599"/>
      <c r="AD135" s="3599"/>
      <c r="AE135" s="3599"/>
      <c r="AF135" s="3599"/>
      <c r="AG135" s="3599"/>
      <c r="AH135" s="3599"/>
      <c r="AI135" s="3599"/>
      <c r="AJ135" s="3599"/>
      <c r="AK135" s="3599"/>
      <c r="AL135" s="3599"/>
      <c r="AM135" s="3599"/>
      <c r="AN135" s="3599"/>
      <c r="AO135" s="3599"/>
      <c r="AP135" s="3599"/>
      <c r="AQ135" s="3599"/>
      <c r="AR135" s="3599"/>
      <c r="AS135" s="3599"/>
      <c r="AT135" s="3599"/>
      <c r="AU135" s="3599"/>
      <c r="AV135" s="3599"/>
      <c r="AW135" s="3599"/>
      <c r="AX135" s="3599"/>
      <c r="AY135" s="3599"/>
      <c r="AZ135" s="3599"/>
      <c r="BA135" s="3599"/>
      <c r="BB135" s="3599"/>
      <c r="BC135" s="3599"/>
      <c r="BD135" s="3599"/>
      <c r="BE135" s="3599"/>
      <c r="BF135" s="3599"/>
      <c r="BG135" s="3599"/>
      <c r="BH135" s="3599"/>
      <c r="BI135" s="3599"/>
      <c r="BJ135" s="3599"/>
      <c r="BK135" s="3599"/>
      <c r="BL135" s="3599"/>
      <c r="BM135" s="3599"/>
      <c r="BN135" s="3599"/>
      <c r="BO135" s="3599"/>
      <c r="BP135" s="3599"/>
      <c r="BQ135" s="3599"/>
      <c r="BR135" s="3599"/>
      <c r="BS135" s="3599"/>
      <c r="BT135" s="3599"/>
      <c r="BU135" s="3599"/>
      <c r="BV135" s="3599"/>
      <c r="BW135" s="3599"/>
      <c r="BX135" s="3599"/>
      <c r="BY135" s="3599"/>
      <c r="BZ135" s="3599"/>
      <c r="CA135" s="3599"/>
      <c r="CB135" s="3599"/>
      <c r="CC135" s="3599"/>
      <c r="CD135" s="3599"/>
      <c r="CE135" s="3599"/>
      <c r="CF135" s="3599"/>
      <c r="CG135" s="3599"/>
      <c r="CH135" s="3599"/>
      <c r="CI135" s="3599"/>
      <c r="CJ135" s="3599"/>
      <c r="CK135" s="3599"/>
      <c r="CL135" s="3599"/>
      <c r="CM135" s="3599"/>
      <c r="CN135" s="3599"/>
      <c r="CO135" s="3599"/>
      <c r="CP135" s="3599"/>
      <c r="CQ135" s="3599"/>
      <c r="CR135" s="3599"/>
      <c r="CS135" s="3599"/>
      <c r="CT135" s="3599"/>
      <c r="CU135" s="3599"/>
      <c r="CV135" s="3599"/>
      <c r="CW135" s="3599"/>
      <c r="CX135" s="3599"/>
      <c r="CY135" s="3599"/>
      <c r="CZ135" s="3599"/>
      <c r="DA135" s="3599"/>
      <c r="DB135" s="3599"/>
      <c r="DC135" s="3599"/>
      <c r="DD135" s="3599"/>
      <c r="DE135" s="3599"/>
      <c r="DF135" s="3599"/>
      <c r="DG135" s="4009"/>
      <c r="DH135" s="3611"/>
      <c r="DI135" s="3790"/>
      <c r="DJ135" s="3790" t="str">
        <f>IF(T135="","",T135)</f>
        <v/>
      </c>
      <c r="DK135" s="3790"/>
      <c r="DL135" s="3790"/>
    </row>
    <row s="5201" customFormat="1" customHeight="1" ht="0.75">
      <c r="A136" s="4011"/>
      <c r="B136" s="4011"/>
      <c r="C136" s="4011"/>
      <c r="D136" s="4011"/>
      <c r="E136" s="3779"/>
      <c r="F136" s="3779">
        <v>1</v>
      </c>
      <c r="G136" s="3780"/>
      <c r="H136" s="4011"/>
      <c r="I136" s="4011"/>
      <c r="J136" s="4011"/>
      <c r="K136" s="4011"/>
      <c r="L136" s="4012"/>
      <c r="M136" s="4013"/>
      <c r="N136" s="4013"/>
      <c r="O136" s="3611"/>
      <c r="P136" s="4014"/>
      <c r="Q136" s="4015"/>
      <c r="R136" s="4014"/>
      <c r="S136" s="4016"/>
      <c r="T136" s="4017" t="s">
        <v>191</v>
      </c>
      <c r="U136" s="3601"/>
      <c r="V136" s="3601"/>
      <c r="W136" s="3601"/>
      <c r="X136" s="3601"/>
      <c r="Y136" s="3601"/>
      <c r="Z136" s="3601"/>
      <c r="AA136" s="3601"/>
      <c r="AB136" s="3601"/>
      <c r="AC136" s="3601"/>
      <c r="AD136" s="3601"/>
      <c r="AE136" s="3601"/>
      <c r="AF136" s="3601"/>
      <c r="AG136" s="3601"/>
      <c r="AH136" s="3601"/>
      <c r="AI136" s="3601"/>
      <c r="AJ136" s="3601"/>
      <c r="AK136" s="3601"/>
      <c r="AL136" s="3601"/>
      <c r="AM136" s="3601"/>
      <c r="AN136" s="3601"/>
      <c r="AO136" s="3601"/>
      <c r="AP136" s="3601"/>
      <c r="AQ136" s="3601"/>
      <c r="AR136" s="3601"/>
      <c r="AS136" s="3601"/>
      <c r="AT136" s="3601"/>
      <c r="AU136" s="3601"/>
      <c r="AV136" s="3601"/>
      <c r="AW136" s="3601"/>
      <c r="AX136" s="3601"/>
      <c r="AY136" s="3601"/>
      <c r="AZ136" s="3601"/>
      <c r="BA136" s="3601"/>
      <c r="BB136" s="3601"/>
      <c r="BC136" s="3601"/>
      <c r="BD136" s="3601"/>
      <c r="BE136" s="3601"/>
      <c r="BF136" s="3601"/>
      <c r="BG136" s="3601"/>
      <c r="BH136" s="3601"/>
      <c r="BI136" s="3601"/>
      <c r="BJ136" s="3601"/>
      <c r="BK136" s="3601"/>
      <c r="BL136" s="3601"/>
      <c r="BM136" s="3601"/>
      <c r="BN136" s="3601"/>
      <c r="BO136" s="3601"/>
      <c r="BP136" s="3601"/>
      <c r="BQ136" s="3601"/>
      <c r="BR136" s="3601"/>
      <c r="BS136" s="3601"/>
      <c r="BT136" s="3601"/>
      <c r="BU136" s="3601"/>
      <c r="BV136" s="3601"/>
      <c r="BW136" s="3601"/>
      <c r="BX136" s="3601"/>
      <c r="BY136" s="3601"/>
      <c r="BZ136" s="3601"/>
      <c r="CA136" s="3601"/>
      <c r="CB136" s="3601"/>
      <c r="CC136" s="3601"/>
      <c r="CD136" s="3601"/>
      <c r="CE136" s="3601"/>
      <c r="CF136" s="3601"/>
      <c r="CG136" s="3601"/>
      <c r="CH136" s="3601"/>
      <c r="CI136" s="3601"/>
      <c r="CJ136" s="3601"/>
      <c r="CK136" s="3601"/>
      <c r="CL136" s="3601"/>
      <c r="CM136" s="3601"/>
      <c r="CN136" s="3601"/>
      <c r="CO136" s="3601"/>
      <c r="CP136" s="3601"/>
      <c r="CQ136" s="3601"/>
      <c r="CR136" s="3601"/>
      <c r="CS136" s="3601"/>
      <c r="CT136" s="3601"/>
      <c r="CU136" s="3601"/>
      <c r="CV136" s="3601"/>
      <c r="CW136" s="3601"/>
      <c r="CX136" s="3601"/>
      <c r="CY136" s="3601"/>
      <c r="CZ136" s="3601"/>
      <c r="DA136" s="3601"/>
      <c r="DB136" s="3601"/>
      <c r="DC136" s="3601"/>
      <c r="DD136" s="3601"/>
      <c r="DE136" s="3601"/>
      <c r="DF136" s="3601"/>
      <c r="DG136" s="3601"/>
      <c r="DH136" s="3611"/>
      <c r="DI136" s="3790"/>
      <c r="DJ136" s="3790" t="str">
        <f>IF(T136="","",T136)</f>
        <v>Добавить источник для дифференциации</v>
      </c>
      <c r="DK136" s="3790"/>
      <c r="DL136" s="3790"/>
    </row>
    <row s="5202" customFormat="1" customHeight="1" ht="0.75">
      <c r="A137" s="4011"/>
      <c r="B137" s="4011"/>
      <c r="C137" s="4011"/>
      <c r="D137" s="4011"/>
      <c r="E137" s="3779"/>
      <c r="F137" s="3780">
        <v>1</v>
      </c>
      <c r="G137" s="4011"/>
      <c r="H137" s="4011"/>
      <c r="I137" s="4011"/>
      <c r="J137" s="4011"/>
      <c r="K137" s="4011"/>
      <c r="L137" s="4012"/>
      <c r="M137" s="4019"/>
      <c r="N137" s="4019"/>
      <c r="O137" s="3611"/>
      <c r="P137" s="4014"/>
      <c r="Q137" s="4015"/>
      <c r="R137" s="4014"/>
      <c r="S137" s="4020"/>
      <c r="T137" s="4021" t="s">
        <v>192</v>
      </c>
      <c r="U137" s="3602"/>
      <c r="V137" s="3602"/>
      <c r="W137" s="3602"/>
      <c r="X137" s="3602"/>
      <c r="Y137" s="3602"/>
      <c r="Z137" s="3602"/>
      <c r="AA137" s="3602"/>
      <c r="AB137" s="3602"/>
      <c r="AC137" s="3602"/>
      <c r="AD137" s="3602"/>
      <c r="AE137" s="3602"/>
      <c r="AF137" s="3602"/>
      <c r="AG137" s="3602"/>
      <c r="AH137" s="3602"/>
      <c r="AI137" s="3602"/>
      <c r="AJ137" s="3602"/>
      <c r="AK137" s="3602"/>
      <c r="AL137" s="3602"/>
      <c r="AM137" s="3602"/>
      <c r="AN137" s="3602"/>
      <c r="AO137" s="3602"/>
      <c r="AP137" s="3602"/>
      <c r="AQ137" s="3602"/>
      <c r="AR137" s="3602"/>
      <c r="AS137" s="3602"/>
      <c r="AT137" s="3602"/>
      <c r="AU137" s="3602"/>
      <c r="AV137" s="3602"/>
      <c r="AW137" s="3602"/>
      <c r="AX137" s="3602"/>
      <c r="AY137" s="3602"/>
      <c r="AZ137" s="3602"/>
      <c r="BA137" s="3602"/>
      <c r="BB137" s="3602"/>
      <c r="BC137" s="3602"/>
      <c r="BD137" s="3602"/>
      <c r="BE137" s="3602"/>
      <c r="BF137" s="3602"/>
      <c r="BG137" s="3602"/>
      <c r="BH137" s="3602"/>
      <c r="BI137" s="3602"/>
      <c r="BJ137" s="3602"/>
      <c r="BK137" s="3602"/>
      <c r="BL137" s="3602"/>
      <c r="BM137" s="3602"/>
      <c r="BN137" s="3602"/>
      <c r="BO137" s="3602"/>
      <c r="BP137" s="3602"/>
      <c r="BQ137" s="3602"/>
      <c r="BR137" s="3602"/>
      <c r="BS137" s="3602"/>
      <c r="BT137" s="3602"/>
      <c r="BU137" s="3602"/>
      <c r="BV137" s="3602"/>
      <c r="BW137" s="3602"/>
      <c r="BX137" s="3602"/>
      <c r="BY137" s="3602"/>
      <c r="BZ137" s="3602"/>
      <c r="CA137" s="3602"/>
      <c r="CB137" s="3602"/>
      <c r="CC137" s="3602"/>
      <c r="CD137" s="3602"/>
      <c r="CE137" s="3602"/>
      <c r="CF137" s="3602"/>
      <c r="CG137" s="3602"/>
      <c r="CH137" s="3602"/>
      <c r="CI137" s="3602"/>
      <c r="CJ137" s="3602"/>
      <c r="CK137" s="3602"/>
      <c r="CL137" s="3602"/>
      <c r="CM137" s="3602"/>
      <c r="CN137" s="3602"/>
      <c r="CO137" s="3602"/>
      <c r="CP137" s="3602"/>
      <c r="CQ137" s="3602"/>
      <c r="CR137" s="3602"/>
      <c r="CS137" s="3602"/>
      <c r="CT137" s="3602"/>
      <c r="CU137" s="3602"/>
      <c r="CV137" s="3602"/>
      <c r="CW137" s="3602"/>
      <c r="CX137" s="3602"/>
      <c r="CY137" s="3602"/>
      <c r="CZ137" s="3602"/>
      <c r="DA137" s="3602"/>
      <c r="DB137" s="3602"/>
      <c r="DC137" s="3602"/>
      <c r="DD137" s="3602"/>
      <c r="DE137" s="3602"/>
      <c r="DF137" s="3602"/>
      <c r="DG137" s="3602"/>
      <c r="DH137" s="3611"/>
      <c r="DI137" s="3790"/>
      <c r="DJ137" s="3790" t="str">
        <f>IF(T137="","",T137)</f>
        <v>Добавить централизованную систему для дифференциации</v>
      </c>
      <c r="DK137" s="3790"/>
      <c r="DL137" s="3790"/>
    </row>
    <row s="5203" customFormat="1" customHeight="1" ht="21">
      <c r="A138" s="3778"/>
      <c r="B138" s="3778" t="s">
        <v>220</v>
      </c>
      <c r="C138" s="3778"/>
      <c r="D138" s="3778"/>
      <c r="E138" s="3779"/>
      <c r="F138" s="3780" t="s">
        <v>89</v>
      </c>
      <c r="G138" s="3778"/>
      <c r="H138" s="3778"/>
      <c r="I138" s="3778"/>
      <c r="J138" s="3778"/>
      <c r="K138" s="3778"/>
      <c r="L138" s="3781"/>
      <c r="M138" s="3782"/>
      <c r="N138" s="3782"/>
      <c r="O138" s="3782"/>
      <c r="P138" s="3783"/>
      <c r="Q138" s="3784"/>
      <c r="R138" s="3785"/>
      <c r="S138" s="3786" t="str">
        <f>INDEX(PT_DIFFERENTIATION_NUM_TER,MATCH(B138,PT_DIFFERENTIATION_TER_ID,0))</f>
        <v>2.3</v>
      </c>
      <c r="T138" s="3787" t="s">
        <v>444</v>
      </c>
      <c r="U138" s="3788"/>
      <c r="V138" s="3430"/>
      <c r="W138" s="3431"/>
      <c r="X138" s="3431"/>
      <c r="Y138" s="3431"/>
      <c r="Z138" s="3431"/>
      <c r="AA138" s="3431"/>
      <c r="AB138" s="3431"/>
      <c r="AC138" s="3432"/>
      <c r="AD138" s="3430" t="str">
        <f>INDEX(PT_DIFFERENTIATION_TER,MATCH(B138,PT_DIFFERENTIATION_TER_ID,0))</f>
        <v>Территория 3</v>
      </c>
      <c r="AE138" s="3431"/>
      <c r="AF138" s="3431"/>
      <c r="AG138" s="3431"/>
      <c r="AH138" s="3431"/>
      <c r="AI138" s="3431"/>
      <c r="AJ138" s="3431"/>
      <c r="AK138" s="3431"/>
      <c r="AL138" s="3430"/>
      <c r="AM138" s="3431"/>
      <c r="AN138" s="3431"/>
      <c r="AO138" s="3431"/>
      <c r="AP138" s="3431"/>
      <c r="AQ138" s="3431"/>
      <c r="AR138" s="3431"/>
      <c r="AS138" s="3432"/>
      <c r="AT138" s="3430"/>
      <c r="AU138" s="3431"/>
      <c r="AV138" s="3431"/>
      <c r="AW138" s="3431"/>
      <c r="AX138" s="3431"/>
      <c r="AY138" s="3431"/>
      <c r="AZ138" s="3431"/>
      <c r="BA138" s="3432"/>
      <c r="BB138" s="3430"/>
      <c r="BC138" s="3431"/>
      <c r="BD138" s="3431"/>
      <c r="BE138" s="3431"/>
      <c r="BF138" s="3431"/>
      <c r="BG138" s="3431"/>
      <c r="BH138" s="3431"/>
      <c r="BI138" s="3432"/>
      <c r="BJ138" s="3430"/>
      <c r="BK138" s="3431"/>
      <c r="BL138" s="3431"/>
      <c r="BM138" s="3431"/>
      <c r="BN138" s="3431"/>
      <c r="BO138" s="3431"/>
      <c r="BP138" s="3431"/>
      <c r="BQ138" s="3432"/>
      <c r="BR138" s="3430"/>
      <c r="BS138" s="3431"/>
      <c r="BT138" s="3431"/>
      <c r="BU138" s="3431"/>
      <c r="BV138" s="3431"/>
      <c r="BW138" s="3431"/>
      <c r="BX138" s="3431"/>
      <c r="BY138" s="3432"/>
      <c r="BZ138" s="3430"/>
      <c r="CA138" s="3431"/>
      <c r="CB138" s="3431"/>
      <c r="CC138" s="3431"/>
      <c r="CD138" s="3431"/>
      <c r="CE138" s="3431"/>
      <c r="CF138" s="3431"/>
      <c r="CG138" s="3432"/>
      <c r="CH138" s="3430"/>
      <c r="CI138" s="3431"/>
      <c r="CJ138" s="3431"/>
      <c r="CK138" s="3431"/>
      <c r="CL138" s="3431"/>
      <c r="CM138" s="3431"/>
      <c r="CN138" s="3431"/>
      <c r="CO138" s="3432"/>
      <c r="CP138" s="3430"/>
      <c r="CQ138" s="3431"/>
      <c r="CR138" s="3431"/>
      <c r="CS138" s="3431"/>
      <c r="CT138" s="3431"/>
      <c r="CU138" s="3431"/>
      <c r="CV138" s="3431"/>
      <c r="CW138" s="3432"/>
      <c r="CX138" s="3430"/>
      <c r="CY138" s="3431"/>
      <c r="CZ138" s="3431"/>
      <c r="DA138" s="3431"/>
      <c r="DB138" s="3431"/>
      <c r="DC138" s="3431"/>
      <c r="DD138" s="3431"/>
      <c r="DE138" s="3432"/>
      <c r="DF138" s="3432"/>
      <c r="DG138" s="3789" t="s">
        <v>445</v>
      </c>
      <c r="DH138" s="3611"/>
      <c r="DI138" s="3790"/>
      <c r="DJ138" s="3790" t="str">
        <f>IF(T138="","",T138)</f>
        <v>Территория действия тарифа</v>
      </c>
      <c r="DK138" s="3790"/>
      <c r="DL138" s="3790"/>
    </row>
    <row s="5204" customFormat="1" customHeight="1" ht="23.25">
      <c r="A139" s="3778"/>
      <c r="B139" s="3778"/>
      <c r="C139" s="3778" t="s">
        <v>221</v>
      </c>
      <c r="D139" s="3778"/>
      <c r="E139" s="3779"/>
      <c r="F139" s="3779" t="s">
        <v>102</v>
      </c>
      <c r="G139" s="3780">
        <v>1</v>
      </c>
      <c r="H139" s="3778"/>
      <c r="I139" s="3778"/>
      <c r="J139" s="3778"/>
      <c r="K139" s="3778"/>
      <c r="L139" s="3781"/>
      <c r="M139" s="3782"/>
      <c r="N139" s="3782"/>
      <c r="O139" s="3782"/>
      <c r="P139" s="3792"/>
      <c r="Q139" s="3784"/>
      <c r="R139" s="3785"/>
      <c r="S139" s="3786" t="str">
        <f>INDEX(PT_DIFFERENTIATION_NUM_CS,MATCH(C139,PT_DIFFERENTIATION_CS_ID,0))</f>
        <v>2.3.1</v>
      </c>
      <c r="T139" s="3793" t="s">
        <v>446</v>
      </c>
      <c r="U139" s="3788"/>
      <c r="V139" s="3430"/>
      <c r="W139" s="3431"/>
      <c r="X139" s="3431"/>
      <c r="Y139" s="3431"/>
      <c r="Z139" s="3431"/>
      <c r="AA139" s="3431"/>
      <c r="AB139" s="3431"/>
      <c r="AC139" s="3432"/>
      <c r="AD139" s="3430" t="str">
        <f>INDEX(PT_DIFFERENTIATION_CS,MATCH(C139,PT_DIFFERENTIATION_CS_ID,0))</f>
        <v>без дифференциации</v>
      </c>
      <c r="AE139" s="3431"/>
      <c r="AF139" s="3431"/>
      <c r="AG139" s="3431"/>
      <c r="AH139" s="3431"/>
      <c r="AI139" s="3431"/>
      <c r="AJ139" s="3431"/>
      <c r="AK139" s="3431"/>
      <c r="AL139" s="3430"/>
      <c r="AM139" s="3431"/>
      <c r="AN139" s="3431"/>
      <c r="AO139" s="3431"/>
      <c r="AP139" s="3431"/>
      <c r="AQ139" s="3431"/>
      <c r="AR139" s="3431"/>
      <c r="AS139" s="3432"/>
      <c r="AT139" s="3430"/>
      <c r="AU139" s="3431"/>
      <c r="AV139" s="3431"/>
      <c r="AW139" s="3431"/>
      <c r="AX139" s="3431"/>
      <c r="AY139" s="3431"/>
      <c r="AZ139" s="3431"/>
      <c r="BA139" s="3432"/>
      <c r="BB139" s="3430"/>
      <c r="BC139" s="3431"/>
      <c r="BD139" s="3431"/>
      <c r="BE139" s="3431"/>
      <c r="BF139" s="3431"/>
      <c r="BG139" s="3431"/>
      <c r="BH139" s="3431"/>
      <c r="BI139" s="3432"/>
      <c r="BJ139" s="3430"/>
      <c r="BK139" s="3431"/>
      <c r="BL139" s="3431"/>
      <c r="BM139" s="3431"/>
      <c r="BN139" s="3431"/>
      <c r="BO139" s="3431"/>
      <c r="BP139" s="3431"/>
      <c r="BQ139" s="3432"/>
      <c r="BR139" s="3430"/>
      <c r="BS139" s="3431"/>
      <c r="BT139" s="3431"/>
      <c r="BU139" s="3431"/>
      <c r="BV139" s="3431"/>
      <c r="BW139" s="3431"/>
      <c r="BX139" s="3431"/>
      <c r="BY139" s="3432"/>
      <c r="BZ139" s="3430"/>
      <c r="CA139" s="3431"/>
      <c r="CB139" s="3431"/>
      <c r="CC139" s="3431"/>
      <c r="CD139" s="3431"/>
      <c r="CE139" s="3431"/>
      <c r="CF139" s="3431"/>
      <c r="CG139" s="3432"/>
      <c r="CH139" s="3430"/>
      <c r="CI139" s="3431"/>
      <c r="CJ139" s="3431"/>
      <c r="CK139" s="3431"/>
      <c r="CL139" s="3431"/>
      <c r="CM139" s="3431"/>
      <c r="CN139" s="3431"/>
      <c r="CO139" s="3432"/>
      <c r="CP139" s="3430"/>
      <c r="CQ139" s="3431"/>
      <c r="CR139" s="3431"/>
      <c r="CS139" s="3431"/>
      <c r="CT139" s="3431"/>
      <c r="CU139" s="3431"/>
      <c r="CV139" s="3431"/>
      <c r="CW139" s="3432"/>
      <c r="CX139" s="3430"/>
      <c r="CY139" s="3431"/>
      <c r="CZ139" s="3431"/>
      <c r="DA139" s="3431"/>
      <c r="DB139" s="3431"/>
      <c r="DC139" s="3431"/>
      <c r="DD139" s="3431"/>
      <c r="DE139" s="3432"/>
      <c r="DF139" s="3432"/>
      <c r="DG139" s="3789" t="s">
        <v>447</v>
      </c>
      <c r="DH139" s="3611"/>
      <c r="DI139" s="3790"/>
      <c r="DJ139" s="3790" t="str">
        <f>IF(T139="","",T139)</f>
        <v>Наименование системы теплоснабжения </v>
      </c>
      <c r="DK139" s="3790"/>
      <c r="DL139" s="3790"/>
    </row>
    <row s="5205" customFormat="1" customHeight="1" ht="21">
      <c r="A140" s="3778"/>
      <c r="B140" s="3778"/>
      <c r="C140" s="3778"/>
      <c r="D140" s="3778" t="s">
        <v>222</v>
      </c>
      <c r="E140" s="3779"/>
      <c r="F140" s="3779" t="s">
        <v>102</v>
      </c>
      <c r="G140" s="3779"/>
      <c r="H140" s="3780">
        <v>1</v>
      </c>
      <c r="I140" s="3778"/>
      <c r="J140" s="3778"/>
      <c r="K140" s="3778"/>
      <c r="L140" s="3781"/>
      <c r="M140" s="3782"/>
      <c r="N140" s="3782"/>
      <c r="O140" s="3782"/>
      <c r="P140" s="3792"/>
      <c r="Q140" s="3784"/>
      <c r="R140" s="3785"/>
      <c r="S140" s="3786" t="str">
        <f>INDEX(PT_DIFFERENTIATION_NUM_IST_TE,MATCH(D140,PT_DIFFERENTIATION_IST_TE_ID,0))</f>
        <v>2.3.1.1</v>
      </c>
      <c r="T140" s="3795" t="s">
        <v>448</v>
      </c>
      <c r="U140" s="3788"/>
      <c r="V140" s="3430"/>
      <c r="W140" s="3431"/>
      <c r="X140" s="3431"/>
      <c r="Y140" s="3431"/>
      <c r="Z140" s="3431"/>
      <c r="AA140" s="3431"/>
      <c r="AB140" s="3431"/>
      <c r="AC140" s="3432"/>
      <c r="AD140" s="3430" t="str">
        <f>INDEX(PT_DIFFERENTIATION_IST_TE,MATCH(D140,PT_DIFFERENTIATION_IST_TE_ID,0))</f>
        <v>гп Никель</v>
      </c>
      <c r="AE140" s="3431"/>
      <c r="AF140" s="3431"/>
      <c r="AG140" s="3431"/>
      <c r="AH140" s="3431"/>
      <c r="AI140" s="3431"/>
      <c r="AJ140" s="3431"/>
      <c r="AK140" s="3431"/>
      <c r="AL140" s="3430"/>
      <c r="AM140" s="3431"/>
      <c r="AN140" s="3431"/>
      <c r="AO140" s="3431"/>
      <c r="AP140" s="3431"/>
      <c r="AQ140" s="3431"/>
      <c r="AR140" s="3431"/>
      <c r="AS140" s="3432"/>
      <c r="AT140" s="3430"/>
      <c r="AU140" s="3431"/>
      <c r="AV140" s="3431"/>
      <c r="AW140" s="3431"/>
      <c r="AX140" s="3431"/>
      <c r="AY140" s="3431"/>
      <c r="AZ140" s="3431"/>
      <c r="BA140" s="3432"/>
      <c r="BB140" s="3430"/>
      <c r="BC140" s="3431"/>
      <c r="BD140" s="3431"/>
      <c r="BE140" s="3431"/>
      <c r="BF140" s="3431"/>
      <c r="BG140" s="3431"/>
      <c r="BH140" s="3431"/>
      <c r="BI140" s="3432"/>
      <c r="BJ140" s="3430"/>
      <c r="BK140" s="3431"/>
      <c r="BL140" s="3431"/>
      <c r="BM140" s="3431"/>
      <c r="BN140" s="3431"/>
      <c r="BO140" s="3431"/>
      <c r="BP140" s="3431"/>
      <c r="BQ140" s="3432"/>
      <c r="BR140" s="3430"/>
      <c r="BS140" s="3431"/>
      <c r="BT140" s="3431"/>
      <c r="BU140" s="3431"/>
      <c r="BV140" s="3431"/>
      <c r="BW140" s="3431"/>
      <c r="BX140" s="3431"/>
      <c r="BY140" s="3432"/>
      <c r="BZ140" s="3430"/>
      <c r="CA140" s="3431"/>
      <c r="CB140" s="3431"/>
      <c r="CC140" s="3431"/>
      <c r="CD140" s="3431"/>
      <c r="CE140" s="3431"/>
      <c r="CF140" s="3431"/>
      <c r="CG140" s="3432"/>
      <c r="CH140" s="3430"/>
      <c r="CI140" s="3431"/>
      <c r="CJ140" s="3431"/>
      <c r="CK140" s="3431"/>
      <c r="CL140" s="3431"/>
      <c r="CM140" s="3431"/>
      <c r="CN140" s="3431"/>
      <c r="CO140" s="3432"/>
      <c r="CP140" s="3430"/>
      <c r="CQ140" s="3431"/>
      <c r="CR140" s="3431"/>
      <c r="CS140" s="3431"/>
      <c r="CT140" s="3431"/>
      <c r="CU140" s="3431"/>
      <c r="CV140" s="3431"/>
      <c r="CW140" s="3432"/>
      <c r="CX140" s="3430"/>
      <c r="CY140" s="3431"/>
      <c r="CZ140" s="3431"/>
      <c r="DA140" s="3431"/>
      <c r="DB140" s="3431"/>
      <c r="DC140" s="3431"/>
      <c r="DD140" s="3431"/>
      <c r="DE140" s="3432"/>
      <c r="DF140" s="3432"/>
      <c r="DG140" s="3789" t="s">
        <v>449</v>
      </c>
      <c r="DH140" s="3611"/>
      <c r="DI140" s="3790"/>
      <c r="DJ140" s="3790" t="str">
        <f>IF(T140="","",T140)</f>
        <v>Источник тепловой энергии  </v>
      </c>
      <c r="DK140" s="3790"/>
      <c r="DL140" s="3790"/>
    </row>
    <row s="5206" customFormat="1" customHeight="1" ht="14.25">
      <c r="A141" s="3778"/>
      <c r="B141" s="3778"/>
      <c r="C141" s="3778"/>
      <c r="D141" s="3778"/>
      <c r="E141" s="3779"/>
      <c r="F141" s="3779" t="s">
        <v>102</v>
      </c>
      <c r="G141" s="3779"/>
      <c r="H141" s="3779"/>
      <c r="I141" s="3797" t="str">
        <f>S140&amp;".1"</f>
        <v>2.3.1.1.1</v>
      </c>
      <c r="J141" s="3778"/>
      <c r="K141" s="3778"/>
      <c r="L141" s="3781" t="s">
        <v>450</v>
      </c>
      <c r="M141" s="3603"/>
      <c r="N141" s="3798"/>
      <c r="O141" s="3798"/>
      <c r="P141" s="3799">
        <v>1</v>
      </c>
      <c r="Q141" s="3799"/>
      <c r="R141" s="3800"/>
      <c r="S141" s="3801"/>
      <c r="T141" s="3802"/>
      <c r="U141" s="3803"/>
      <c r="V141" s="3439"/>
      <c r="W141" s="3440"/>
      <c r="X141" s="3440"/>
      <c r="Y141" s="3440"/>
      <c r="Z141" s="3440"/>
      <c r="AA141" s="3440"/>
      <c r="AB141" s="3440"/>
      <c r="AC141" s="3441"/>
      <c r="AD141" s="3439"/>
      <c r="AE141" s="3440"/>
      <c r="AF141" s="3440"/>
      <c r="AG141" s="3440"/>
      <c r="AH141" s="3440"/>
      <c r="AI141" s="3440"/>
      <c r="AJ141" s="3440"/>
      <c r="AK141" s="3440"/>
      <c r="AL141" s="3439"/>
      <c r="AM141" s="3440"/>
      <c r="AN141" s="3440"/>
      <c r="AO141" s="3440"/>
      <c r="AP141" s="3440"/>
      <c r="AQ141" s="3440"/>
      <c r="AR141" s="3440"/>
      <c r="AS141" s="3441"/>
      <c r="AT141" s="3439"/>
      <c r="AU141" s="3440"/>
      <c r="AV141" s="3440"/>
      <c r="AW141" s="3440"/>
      <c r="AX141" s="3440"/>
      <c r="AY141" s="3440"/>
      <c r="AZ141" s="3440"/>
      <c r="BA141" s="3441"/>
      <c r="BB141" s="3439"/>
      <c r="BC141" s="3440"/>
      <c r="BD141" s="3440"/>
      <c r="BE141" s="3440"/>
      <c r="BF141" s="3440"/>
      <c r="BG141" s="3440"/>
      <c r="BH141" s="3440"/>
      <c r="BI141" s="3441"/>
      <c r="BJ141" s="3439"/>
      <c r="BK141" s="3440"/>
      <c r="BL141" s="3440"/>
      <c r="BM141" s="3440"/>
      <c r="BN141" s="3440"/>
      <c r="BO141" s="3440"/>
      <c r="BP141" s="3440"/>
      <c r="BQ141" s="3441"/>
      <c r="BR141" s="3439"/>
      <c r="BS141" s="3440"/>
      <c r="BT141" s="3440"/>
      <c r="BU141" s="3440"/>
      <c r="BV141" s="3440"/>
      <c r="BW141" s="3440"/>
      <c r="BX141" s="3440"/>
      <c r="BY141" s="3441"/>
      <c r="BZ141" s="3439"/>
      <c r="CA141" s="3440"/>
      <c r="CB141" s="3440"/>
      <c r="CC141" s="3440"/>
      <c r="CD141" s="3440"/>
      <c r="CE141" s="3440"/>
      <c r="CF141" s="3440"/>
      <c r="CG141" s="3441"/>
      <c r="CH141" s="3439"/>
      <c r="CI141" s="3440"/>
      <c r="CJ141" s="3440"/>
      <c r="CK141" s="3440"/>
      <c r="CL141" s="3440"/>
      <c r="CM141" s="3440"/>
      <c r="CN141" s="3440"/>
      <c r="CO141" s="3441"/>
      <c r="CP141" s="3439"/>
      <c r="CQ141" s="3440"/>
      <c r="CR141" s="3440"/>
      <c r="CS141" s="3440"/>
      <c r="CT141" s="3440"/>
      <c r="CU141" s="3440"/>
      <c r="CV141" s="3440"/>
      <c r="CW141" s="3441"/>
      <c r="CX141" s="3439"/>
      <c r="CY141" s="3440"/>
      <c r="CZ141" s="3440"/>
      <c r="DA141" s="3440"/>
      <c r="DB141" s="3440"/>
      <c r="DC141" s="3440"/>
      <c r="DD141" s="3440"/>
      <c r="DE141" s="3441"/>
      <c r="DF141" s="3441"/>
      <c r="DG141" s="3804"/>
      <c r="DH141" s="3611"/>
      <c r="DI141" s="3790"/>
      <c r="DJ141" s="3790" t="str">
        <f>IF(T141="","",T141)</f>
        <v/>
      </c>
      <c r="DK141" s="3790"/>
      <c r="DL141" s="3790"/>
    </row>
    <row s="5207" customFormat="1" customHeight="1" ht="21">
      <c r="A142" s="3778"/>
      <c r="B142" s="3778"/>
      <c r="C142" s="3778"/>
      <c r="D142" s="3778"/>
      <c r="E142" s="3779"/>
      <c r="F142" s="3779" t="s">
        <v>102</v>
      </c>
      <c r="G142" s="3779"/>
      <c r="H142" s="3779"/>
      <c r="I142" s="3806"/>
      <c r="J142" s="3797" t="str">
        <f>I141&amp;".1"</f>
        <v>2.3.1.1.1.1</v>
      </c>
      <c r="K142" s="3778"/>
      <c r="L142" s="3781" t="s">
        <v>453</v>
      </c>
      <c r="M142" s="3603"/>
      <c r="N142" s="3603"/>
      <c r="O142" s="3798"/>
      <c r="P142" s="3799"/>
      <c r="Q142" s="3799">
        <v>1</v>
      </c>
      <c r="R142" s="3807"/>
      <c r="S142" s="3786" t="str">
        <f>$J142</f>
        <v>2.3.1.1.1.1</v>
      </c>
      <c r="T142" s="3808" t="s">
        <v>454</v>
      </c>
      <c r="U142" s="3788"/>
      <c r="V142" s="3443"/>
      <c r="W142" s="3444"/>
      <c r="X142" s="3444"/>
      <c r="Y142" s="3444"/>
      <c r="Z142" s="3444"/>
      <c r="AA142" s="3444"/>
      <c r="AB142" s="3444"/>
      <c r="AC142" s="3445"/>
      <c r="AD142" s="3443" t="s">
        <v>497</v>
      </c>
      <c r="AE142" s="3444"/>
      <c r="AF142" s="3444"/>
      <c r="AG142" s="3444"/>
      <c r="AH142" s="3444"/>
      <c r="AI142" s="3444"/>
      <c r="AJ142" s="3444"/>
      <c r="AK142" s="3444"/>
      <c r="AL142" s="3443"/>
      <c r="AM142" s="3444"/>
      <c r="AN142" s="3444"/>
      <c r="AO142" s="3444"/>
      <c r="AP142" s="3444"/>
      <c r="AQ142" s="3444"/>
      <c r="AR142" s="3444"/>
      <c r="AS142" s="3445"/>
      <c r="AT142" s="3443"/>
      <c r="AU142" s="3444"/>
      <c r="AV142" s="3444"/>
      <c r="AW142" s="3444"/>
      <c r="AX142" s="3444"/>
      <c r="AY142" s="3444"/>
      <c r="AZ142" s="3444"/>
      <c r="BA142" s="3445"/>
      <c r="BB142" s="3443"/>
      <c r="BC142" s="3444"/>
      <c r="BD142" s="3444"/>
      <c r="BE142" s="3444"/>
      <c r="BF142" s="3444"/>
      <c r="BG142" s="3444"/>
      <c r="BH142" s="3444"/>
      <c r="BI142" s="3445"/>
      <c r="BJ142" s="3443"/>
      <c r="BK142" s="3444"/>
      <c r="BL142" s="3444"/>
      <c r="BM142" s="3444"/>
      <c r="BN142" s="3444"/>
      <c r="BO142" s="3444"/>
      <c r="BP142" s="3444"/>
      <c r="BQ142" s="3445"/>
      <c r="BR142" s="3443"/>
      <c r="BS142" s="3444"/>
      <c r="BT142" s="3444"/>
      <c r="BU142" s="3444"/>
      <c r="BV142" s="3444"/>
      <c r="BW142" s="3444"/>
      <c r="BX142" s="3444"/>
      <c r="BY142" s="3445"/>
      <c r="BZ142" s="3443"/>
      <c r="CA142" s="3444"/>
      <c r="CB142" s="3444"/>
      <c r="CC142" s="3444"/>
      <c r="CD142" s="3444"/>
      <c r="CE142" s="3444"/>
      <c r="CF142" s="3444"/>
      <c r="CG142" s="3445"/>
      <c r="CH142" s="3443"/>
      <c r="CI142" s="3444"/>
      <c r="CJ142" s="3444"/>
      <c r="CK142" s="3444"/>
      <c r="CL142" s="3444"/>
      <c r="CM142" s="3444"/>
      <c r="CN142" s="3444"/>
      <c r="CO142" s="3445"/>
      <c r="CP142" s="3443"/>
      <c r="CQ142" s="3444"/>
      <c r="CR142" s="3444"/>
      <c r="CS142" s="3444"/>
      <c r="CT142" s="3444"/>
      <c r="CU142" s="3444"/>
      <c r="CV142" s="3444"/>
      <c r="CW142" s="3445"/>
      <c r="CX142" s="3443"/>
      <c r="CY142" s="3444"/>
      <c r="CZ142" s="3444"/>
      <c r="DA142" s="3444"/>
      <c r="DB142" s="3444"/>
      <c r="DC142" s="3444"/>
      <c r="DD142" s="3444"/>
      <c r="DE142" s="3445"/>
      <c r="DF142" s="3445"/>
      <c r="DG142" s="3789" t="s">
        <v>455</v>
      </c>
      <c r="DH142" s="3611"/>
      <c r="DI142" s="3790"/>
      <c r="DJ142" s="3790" t="str">
        <f>IF(T142="","",T142)</f>
        <v>Группа потребителей</v>
      </c>
      <c r="DK142" s="3790"/>
      <c r="DL142" s="3790"/>
    </row>
    <row s="5208" customFormat="1" customHeight="1" ht="21">
      <c r="A143" s="3778"/>
      <c r="B143" s="3778"/>
      <c r="C143" s="3778"/>
      <c r="D143" s="3778"/>
      <c r="E143" s="3779"/>
      <c r="F143" s="3779" t="s">
        <v>102</v>
      </c>
      <c r="G143" s="3779"/>
      <c r="H143" s="3779"/>
      <c r="I143" s="3806"/>
      <c r="J143" s="3806"/>
      <c r="K143" s="3797" t="str">
        <f>J142&amp;".1"</f>
        <v>2.3.1.1.1.1.1</v>
      </c>
      <c r="L143" s="3781" t="s">
        <v>456</v>
      </c>
      <c r="M143" s="3603"/>
      <c r="N143" s="3603"/>
      <c r="O143" s="3603"/>
      <c r="P143" s="3799"/>
      <c r="Q143" s="3799"/>
      <c r="R143" s="3807">
        <v>1</v>
      </c>
      <c r="S143" s="3786" t="str">
        <f>$K143</f>
        <v>2.3.1.1.1.1.1</v>
      </c>
      <c r="T143" s="3810" t="s">
        <v>495</v>
      </c>
      <c r="U143" s="3788"/>
      <c r="V143" s="3446"/>
      <c r="W143" s="3447"/>
      <c r="X143" s="3446"/>
      <c r="Y143" s="3448"/>
      <c r="Z143" s="3449"/>
      <c r="AA143" s="2872" t="s">
        <v>61</v>
      </c>
      <c r="AB143" s="3449"/>
      <c r="AC143" s="2872" t="s">
        <v>61</v>
      </c>
      <c r="AD143" s="3446">
        <v>24.09</v>
      </c>
      <c r="AE143" s="3447"/>
      <c r="AF143" s="3446"/>
      <c r="AG143" s="3448"/>
      <c r="AH143" s="3449">
        <v>45292</v>
      </c>
      <c r="AI143" s="2872" t="s">
        <v>61</v>
      </c>
      <c r="AJ143" s="3449">
        <v>45473</v>
      </c>
      <c r="AK143" s="2872" t="s">
        <v>61</v>
      </c>
      <c r="AL143" s="3446">
        <v>27.34</v>
      </c>
      <c r="AM143" s="3447"/>
      <c r="AN143" s="3446"/>
      <c r="AO143" s="3448"/>
      <c r="AP143" s="3449">
        <v>45474</v>
      </c>
      <c r="AQ143" s="2872" t="s">
        <v>61</v>
      </c>
      <c r="AR143" s="3449">
        <v>45657</v>
      </c>
      <c r="AS143" s="2872" t="s">
        <v>61</v>
      </c>
      <c r="AT143" s="3446">
        <v>24.39</v>
      </c>
      <c r="AU143" s="3447"/>
      <c r="AV143" s="3446"/>
      <c r="AW143" s="3448"/>
      <c r="AX143" s="3449">
        <v>45658</v>
      </c>
      <c r="AY143" s="2872" t="s">
        <v>61</v>
      </c>
      <c r="AZ143" s="3449">
        <v>45838</v>
      </c>
      <c r="BA143" s="2872" t="s">
        <v>61</v>
      </c>
      <c r="BB143" s="3446">
        <v>24.57</v>
      </c>
      <c r="BC143" s="3447"/>
      <c r="BD143" s="3446"/>
      <c r="BE143" s="3448"/>
      <c r="BF143" s="3449">
        <v>45839</v>
      </c>
      <c r="BG143" s="2872" t="s">
        <v>61</v>
      </c>
      <c r="BH143" s="3449">
        <v>46022</v>
      </c>
      <c r="BI143" s="2872" t="s">
        <v>61</v>
      </c>
      <c r="BJ143" s="3446">
        <v>24.57</v>
      </c>
      <c r="BK143" s="3447"/>
      <c r="BL143" s="3446"/>
      <c r="BM143" s="3448"/>
      <c r="BN143" s="3449">
        <v>46023</v>
      </c>
      <c r="BO143" s="2872" t="s">
        <v>61</v>
      </c>
      <c r="BP143" s="3449">
        <v>46203</v>
      </c>
      <c r="BQ143" s="2872" t="s">
        <v>61</v>
      </c>
      <c r="BR143" s="3446">
        <v>25.72</v>
      </c>
      <c r="BS143" s="3447"/>
      <c r="BT143" s="3446"/>
      <c r="BU143" s="3448"/>
      <c r="BV143" s="3449">
        <v>46204</v>
      </c>
      <c r="BW143" s="2872" t="s">
        <v>61</v>
      </c>
      <c r="BX143" s="3449">
        <v>46387</v>
      </c>
      <c r="BY143" s="2872" t="s">
        <v>61</v>
      </c>
      <c r="BZ143" s="3446">
        <v>25.72</v>
      </c>
      <c r="CA143" s="3447"/>
      <c r="CB143" s="3446"/>
      <c r="CC143" s="3448"/>
      <c r="CD143" s="3449">
        <v>46388</v>
      </c>
      <c r="CE143" s="2872" t="s">
        <v>61</v>
      </c>
      <c r="CF143" s="3449">
        <v>46568</v>
      </c>
      <c r="CG143" s="2872" t="s">
        <v>61</v>
      </c>
      <c r="CH143" s="3446">
        <v>26.75</v>
      </c>
      <c r="CI143" s="3447"/>
      <c r="CJ143" s="3446"/>
      <c r="CK143" s="3448"/>
      <c r="CL143" s="3449">
        <v>46569</v>
      </c>
      <c r="CM143" s="2872" t="s">
        <v>61</v>
      </c>
      <c r="CN143" s="3449">
        <v>46752</v>
      </c>
      <c r="CO143" s="2872" t="s">
        <v>61</v>
      </c>
      <c r="CP143" s="3446">
        <v>26.75</v>
      </c>
      <c r="CQ143" s="3447"/>
      <c r="CR143" s="3446"/>
      <c r="CS143" s="3448"/>
      <c r="CT143" s="3449">
        <v>46753</v>
      </c>
      <c r="CU143" s="2872" t="s">
        <v>61</v>
      </c>
      <c r="CV143" s="3449">
        <v>46934</v>
      </c>
      <c r="CW143" s="2872" t="s">
        <v>61</v>
      </c>
      <c r="CX143" s="3446">
        <v>27.82</v>
      </c>
      <c r="CY143" s="3447"/>
      <c r="CZ143" s="3446"/>
      <c r="DA143" s="3448"/>
      <c r="DB143" s="3449">
        <v>46935</v>
      </c>
      <c r="DC143" s="2872" t="s">
        <v>61</v>
      </c>
      <c r="DD143" s="3449">
        <v>47118</v>
      </c>
      <c r="DE143" s="2872" t="s">
        <v>61</v>
      </c>
      <c r="DF143" s="3447"/>
      <c r="DG143" s="3811" t="s">
        <v>457</v>
      </c>
      <c r="DH143" s="3611">
        <f>STRCHECKDATE(V144:DF144)</f>
      </c>
      <c r="DI143" s="3790"/>
      <c r="DJ143" s="3790" t="str">
        <f>IF(T143="","",T143)</f>
        <v>вода</v>
      </c>
      <c r="DK143" s="3790"/>
      <c r="DL143" s="3790"/>
    </row>
    <row s="5209" customFormat="1" customHeight="1" ht="0.75">
      <c r="A144" s="3778"/>
      <c r="B144" s="3778"/>
      <c r="C144" s="3778"/>
      <c r="D144" s="3778"/>
      <c r="E144" s="3779"/>
      <c r="F144" s="3779" t="s">
        <v>102</v>
      </c>
      <c r="G144" s="3779"/>
      <c r="H144" s="3779"/>
      <c r="I144" s="3806"/>
      <c r="J144" s="3806"/>
      <c r="K144" s="3797"/>
      <c r="L144" s="3781"/>
      <c r="M144" s="3603"/>
      <c r="N144" s="3603"/>
      <c r="O144" s="3603"/>
      <c r="P144" s="3799"/>
      <c r="Q144" s="3799"/>
      <c r="R144" s="3807"/>
      <c r="S144" s="3813"/>
      <c r="T144" s="3788"/>
      <c r="U144" s="3788"/>
      <c r="V144" s="3447"/>
      <c r="W144" s="3447"/>
      <c r="X144" s="3447"/>
      <c r="Y144" s="3450" t="str">
        <f>Z143&amp;"-"&amp;AB143</f>
        <v>-</v>
      </c>
      <c r="Z144" s="3451"/>
      <c r="AA144" s="2872"/>
      <c r="AB144" s="3451"/>
      <c r="AC144" s="2872"/>
      <c r="AD144" s="3447"/>
      <c r="AE144" s="3447"/>
      <c r="AF144" s="3447"/>
      <c r="AG144" s="3450" t="str">
        <f>AH143&amp;"-"&amp;AJ143</f>
        <v>45292-45473</v>
      </c>
      <c r="AH144" s="3451"/>
      <c r="AI144" s="2872"/>
      <c r="AJ144" s="3451"/>
      <c r="AK144" s="2872"/>
      <c r="AL144" s="3447"/>
      <c r="AM144" s="3447"/>
      <c r="AN144" s="3447"/>
      <c r="AO144" s="3450" t="str">
        <f>AP143&amp;"-"&amp;AR143</f>
        <v>45474-45657</v>
      </c>
      <c r="AP144" s="3451"/>
      <c r="AQ144" s="2872"/>
      <c r="AR144" s="3451"/>
      <c r="AS144" s="2872"/>
      <c r="AT144" s="3447"/>
      <c r="AU144" s="3447"/>
      <c r="AV144" s="3447"/>
      <c r="AW144" s="3450" t="str">
        <f>AX143&amp;"-"&amp;AZ143</f>
        <v>45658-45838</v>
      </c>
      <c r="AX144" s="3451"/>
      <c r="AY144" s="2872"/>
      <c r="AZ144" s="3451"/>
      <c r="BA144" s="2872"/>
      <c r="BB144" s="3447"/>
      <c r="BC144" s="3447"/>
      <c r="BD144" s="3447"/>
      <c r="BE144" s="3450" t="str">
        <f>BF143&amp;"-"&amp;BH143</f>
        <v>45839-46022</v>
      </c>
      <c r="BF144" s="3451"/>
      <c r="BG144" s="2872"/>
      <c r="BH144" s="3451"/>
      <c r="BI144" s="2872"/>
      <c r="BJ144" s="3447"/>
      <c r="BK144" s="3447"/>
      <c r="BL144" s="3447"/>
      <c r="BM144" s="3450" t="str">
        <f>BN143&amp;"-"&amp;BP143</f>
        <v>46023-46203</v>
      </c>
      <c r="BN144" s="3451"/>
      <c r="BO144" s="2872"/>
      <c r="BP144" s="3451"/>
      <c r="BQ144" s="2872"/>
      <c r="BR144" s="3447"/>
      <c r="BS144" s="3447"/>
      <c r="BT144" s="3447"/>
      <c r="BU144" s="3450" t="str">
        <f>BV143&amp;"-"&amp;BX143</f>
        <v>46204-46387</v>
      </c>
      <c r="BV144" s="3451"/>
      <c r="BW144" s="2872"/>
      <c r="BX144" s="3451"/>
      <c r="BY144" s="2872"/>
      <c r="BZ144" s="3447"/>
      <c r="CA144" s="3447"/>
      <c r="CB144" s="3447"/>
      <c r="CC144" s="3450" t="str">
        <f>CD143&amp;"-"&amp;CF143</f>
        <v>46388-46568</v>
      </c>
      <c r="CD144" s="3451"/>
      <c r="CE144" s="2872"/>
      <c r="CF144" s="3451"/>
      <c r="CG144" s="2872"/>
      <c r="CH144" s="3447"/>
      <c r="CI144" s="3447"/>
      <c r="CJ144" s="3447"/>
      <c r="CK144" s="3450" t="str">
        <f>CL143&amp;"-"&amp;CN143</f>
        <v>46569-46752</v>
      </c>
      <c r="CL144" s="3451"/>
      <c r="CM144" s="2872"/>
      <c r="CN144" s="3451"/>
      <c r="CO144" s="2872"/>
      <c r="CP144" s="3447"/>
      <c r="CQ144" s="3447"/>
      <c r="CR144" s="3447"/>
      <c r="CS144" s="3450" t="str">
        <f>CT143&amp;"-"&amp;CV143</f>
        <v>46753-46934</v>
      </c>
      <c r="CT144" s="3451"/>
      <c r="CU144" s="2872"/>
      <c r="CV144" s="3451"/>
      <c r="CW144" s="2872"/>
      <c r="CX144" s="3447"/>
      <c r="CY144" s="3447"/>
      <c r="CZ144" s="3447"/>
      <c r="DA144" s="3450" t="str">
        <f>DB143&amp;"-"&amp;DD143</f>
        <v>46935-47118</v>
      </c>
      <c r="DB144" s="3451"/>
      <c r="DC144" s="2872"/>
      <c r="DD144" s="3451"/>
      <c r="DE144" s="2872"/>
      <c r="DF144" s="3447"/>
      <c r="DG144" s="3814"/>
      <c r="DH144" s="3611"/>
      <c r="DI144" s="3790"/>
      <c r="DJ144" s="3790" t="str">
        <f>IF(T144="","",T144)</f>
        <v/>
      </c>
      <c r="DK144" s="3790"/>
      <c r="DL144" s="3790"/>
    </row>
    <row s="5210" customFormat="1" customHeight="1" ht="15">
      <c r="A145" s="3778"/>
      <c r="B145" s="3778"/>
      <c r="C145" s="3778"/>
      <c r="D145" s="3778"/>
      <c r="E145" s="3779"/>
      <c r="F145" s="3779" t="s">
        <v>102</v>
      </c>
      <c r="G145" s="3779"/>
      <c r="H145" s="3779"/>
      <c r="I145" s="3806"/>
      <c r="J145" s="3797"/>
      <c r="K145" s="3778"/>
      <c r="L145" s="3781"/>
      <c r="M145" s="3603"/>
      <c r="N145" s="3603"/>
      <c r="O145" s="3798"/>
      <c r="P145" s="3799"/>
      <c r="Q145" s="3799"/>
      <c r="R145" s="3800"/>
      <c r="S145" s="5211"/>
      <c r="T145" s="5212" t="s">
        <v>458</v>
      </c>
      <c r="U145" s="5213"/>
      <c r="V145" s="5214"/>
      <c r="W145" s="5215"/>
      <c r="X145" s="5216"/>
      <c r="Y145" s="5217"/>
      <c r="Z145" s="5218"/>
      <c r="AA145" s="5219"/>
      <c r="AB145" s="5220"/>
      <c r="AC145" s="5221"/>
      <c r="AD145" s="5222"/>
      <c r="AE145" s="5223"/>
      <c r="AF145" s="5224"/>
      <c r="AG145" s="5225"/>
      <c r="AH145" s="5226"/>
      <c r="AI145" s="5227"/>
      <c r="AJ145" s="5228"/>
      <c r="AK145" s="5229"/>
      <c r="AL145" s="5230"/>
      <c r="AM145" s="5231"/>
      <c r="AN145" s="5232"/>
      <c r="AO145" s="5233"/>
      <c r="AP145" s="5234"/>
      <c r="AQ145" s="5235"/>
      <c r="AR145" s="5236"/>
      <c r="AS145" s="5237"/>
      <c r="AT145" s="5238"/>
      <c r="AU145" s="5239"/>
      <c r="AV145" s="5240"/>
      <c r="AW145" s="5241"/>
      <c r="AX145" s="5242"/>
      <c r="AY145" s="5243"/>
      <c r="AZ145" s="5244"/>
      <c r="BA145" s="5245"/>
      <c r="BB145" s="5246"/>
      <c r="BC145" s="5247"/>
      <c r="BD145" s="5248"/>
      <c r="BE145" s="5249"/>
      <c r="BF145" s="5250"/>
      <c r="BG145" s="5251"/>
      <c r="BH145" s="5252"/>
      <c r="BI145" s="5253"/>
      <c r="BJ145" s="5254"/>
      <c r="BK145" s="5255"/>
      <c r="BL145" s="5256"/>
      <c r="BM145" s="5257"/>
      <c r="BN145" s="5258"/>
      <c r="BO145" s="5259"/>
      <c r="BP145" s="5260"/>
      <c r="BQ145" s="5261"/>
      <c r="BR145" s="5262"/>
      <c r="BS145" s="5263"/>
      <c r="BT145" s="5264"/>
      <c r="BU145" s="5265"/>
      <c r="BV145" s="5266"/>
      <c r="BW145" s="5267"/>
      <c r="BX145" s="5268"/>
      <c r="BY145" s="5269"/>
      <c r="BZ145" s="5270"/>
      <c r="CA145" s="5271"/>
      <c r="CB145" s="5272"/>
      <c r="CC145" s="5273"/>
      <c r="CD145" s="5274"/>
      <c r="CE145" s="5275"/>
      <c r="CF145" s="5276"/>
      <c r="CG145" s="5277"/>
      <c r="CH145" s="5278"/>
      <c r="CI145" s="5279"/>
      <c r="CJ145" s="5280"/>
      <c r="CK145" s="5281"/>
      <c r="CL145" s="5282"/>
      <c r="CM145" s="5283"/>
      <c r="CN145" s="5284"/>
      <c r="CO145" s="5285"/>
      <c r="CP145" s="5286"/>
      <c r="CQ145" s="5287"/>
      <c r="CR145" s="5288"/>
      <c r="CS145" s="5289"/>
      <c r="CT145" s="5290"/>
      <c r="CU145" s="5291"/>
      <c r="CV145" s="5292"/>
      <c r="CW145" s="5293"/>
      <c r="CX145" s="5294"/>
      <c r="CY145" s="5295"/>
      <c r="CZ145" s="5296"/>
      <c r="DA145" s="5297"/>
      <c r="DB145" s="5298"/>
      <c r="DC145" s="5299"/>
      <c r="DD145" s="5300"/>
      <c r="DE145" s="5301"/>
      <c r="DF145" s="5302"/>
      <c r="DG145" s="3908"/>
      <c r="DH145" s="3611"/>
      <c r="DI145" s="3790"/>
      <c r="DJ145" s="3790" t="str">
        <f>IF(T145="","",T145)</f>
        <v>Добавить вид теплоносителя (параметры теплоносителя)</v>
      </c>
      <c r="DK145" s="3790"/>
      <c r="DL145" s="3790"/>
    </row>
    <row s="5303" customFormat="1" customHeight="1" ht="15">
      <c r="A146" s="3778"/>
      <c r="B146" s="3778"/>
      <c r="C146" s="3778"/>
      <c r="D146" s="3778"/>
      <c r="E146" s="3779"/>
      <c r="F146" s="3779" t="s">
        <v>102</v>
      </c>
      <c r="G146" s="3779"/>
      <c r="H146" s="3779"/>
      <c r="I146" s="3797"/>
      <c r="J146" s="3778"/>
      <c r="K146" s="3778"/>
      <c r="L146" s="3781"/>
      <c r="M146" s="3603"/>
      <c r="N146" s="3798"/>
      <c r="O146" s="3798"/>
      <c r="P146" s="3799"/>
      <c r="Q146" s="3799"/>
      <c r="R146" s="3800"/>
      <c r="S146" s="5304"/>
      <c r="T146" s="5305" t="s">
        <v>459</v>
      </c>
      <c r="U146" s="5306"/>
      <c r="V146" s="5307"/>
      <c r="W146" s="5308"/>
      <c r="X146" s="5309"/>
      <c r="Y146" s="5310"/>
      <c r="Z146" s="5311"/>
      <c r="AA146" s="5312"/>
      <c r="AB146" s="5313"/>
      <c r="AC146" s="5314"/>
      <c r="AD146" s="5315"/>
      <c r="AE146" s="5316"/>
      <c r="AF146" s="5317"/>
      <c r="AG146" s="5318"/>
      <c r="AH146" s="5319"/>
      <c r="AI146" s="5320"/>
      <c r="AJ146" s="5321"/>
      <c r="AK146" s="5322"/>
      <c r="AL146" s="5323"/>
      <c r="AM146" s="5324"/>
      <c r="AN146" s="5325"/>
      <c r="AO146" s="5326"/>
      <c r="AP146" s="5327"/>
      <c r="AQ146" s="5328"/>
      <c r="AR146" s="5329"/>
      <c r="AS146" s="5330"/>
      <c r="AT146" s="5331"/>
      <c r="AU146" s="5332"/>
      <c r="AV146" s="5333"/>
      <c r="AW146" s="5334"/>
      <c r="AX146" s="5335"/>
      <c r="AY146" s="5336"/>
      <c r="AZ146" s="5337"/>
      <c r="BA146" s="5338"/>
      <c r="BB146" s="5339"/>
      <c r="BC146" s="5340"/>
      <c r="BD146" s="5341"/>
      <c r="BE146" s="5342"/>
      <c r="BF146" s="5343"/>
      <c r="BG146" s="5344"/>
      <c r="BH146" s="5345"/>
      <c r="BI146" s="5346"/>
      <c r="BJ146" s="5347"/>
      <c r="BK146" s="5348"/>
      <c r="BL146" s="5349"/>
      <c r="BM146" s="5350"/>
      <c r="BN146" s="5351"/>
      <c r="BO146" s="5352"/>
      <c r="BP146" s="5353"/>
      <c r="BQ146" s="5354"/>
      <c r="BR146" s="5355"/>
      <c r="BS146" s="5356"/>
      <c r="BT146" s="5357"/>
      <c r="BU146" s="5358"/>
      <c r="BV146" s="5359"/>
      <c r="BW146" s="5360"/>
      <c r="BX146" s="5361"/>
      <c r="BY146" s="5362"/>
      <c r="BZ146" s="5363"/>
      <c r="CA146" s="5364"/>
      <c r="CB146" s="5365"/>
      <c r="CC146" s="5366"/>
      <c r="CD146" s="5367"/>
      <c r="CE146" s="5368"/>
      <c r="CF146" s="5369"/>
      <c r="CG146" s="5370"/>
      <c r="CH146" s="5371"/>
      <c r="CI146" s="5372"/>
      <c r="CJ146" s="5373"/>
      <c r="CK146" s="5374"/>
      <c r="CL146" s="5375"/>
      <c r="CM146" s="5376"/>
      <c r="CN146" s="5377"/>
      <c r="CO146" s="5378"/>
      <c r="CP146" s="5379"/>
      <c r="CQ146" s="5380"/>
      <c r="CR146" s="5381"/>
      <c r="CS146" s="5382"/>
      <c r="CT146" s="5383"/>
      <c r="CU146" s="5384"/>
      <c r="CV146" s="5385"/>
      <c r="CW146" s="5386"/>
      <c r="CX146" s="5387"/>
      <c r="CY146" s="5388"/>
      <c r="CZ146" s="5389"/>
      <c r="DA146" s="5390"/>
      <c r="DB146" s="5391"/>
      <c r="DC146" s="5392"/>
      <c r="DD146" s="5393"/>
      <c r="DE146" s="5394"/>
      <c r="DF146" s="5395"/>
      <c r="DG146" s="5396"/>
      <c r="DH146" s="3611"/>
      <c r="DI146" s="3790"/>
      <c r="DJ146" s="3790" t="str">
        <f>IF(T146="","",T146)</f>
        <v>Добавить группу потребителей</v>
      </c>
      <c r="DK146" s="3790"/>
      <c r="DL146" s="3790"/>
    </row>
    <row s="5397" customFormat="1" customHeight="1" ht="14.25">
      <c r="A147" s="3778"/>
      <c r="B147" s="3778"/>
      <c r="C147" s="3778"/>
      <c r="D147" s="3778"/>
      <c r="E147" s="3779"/>
      <c r="F147" s="3779" t="s">
        <v>102</v>
      </c>
      <c r="G147" s="3779"/>
      <c r="H147" s="3780"/>
      <c r="I147" s="3778"/>
      <c r="J147" s="3778"/>
      <c r="K147" s="3778"/>
      <c r="L147" s="3781"/>
      <c r="M147" s="3782"/>
      <c r="N147" s="3782"/>
      <c r="O147" s="3603"/>
      <c r="P147" s="4004"/>
      <c r="Q147" s="4005"/>
      <c r="R147" s="4006"/>
      <c r="S147" s="4007"/>
      <c r="T147" s="4008"/>
      <c r="U147" s="3599"/>
      <c r="V147" s="3599"/>
      <c r="W147" s="3599"/>
      <c r="X147" s="3599"/>
      <c r="Y147" s="3599"/>
      <c r="Z147" s="3599"/>
      <c r="AA147" s="3599"/>
      <c r="AB147" s="3599"/>
      <c r="AC147" s="3599"/>
      <c r="AD147" s="3599"/>
      <c r="AE147" s="3599"/>
      <c r="AF147" s="3599"/>
      <c r="AG147" s="3599"/>
      <c r="AH147" s="3599"/>
      <c r="AI147" s="3599"/>
      <c r="AJ147" s="3599"/>
      <c r="AK147" s="3599"/>
      <c r="AL147" s="3599"/>
      <c r="AM147" s="3599"/>
      <c r="AN147" s="3599"/>
      <c r="AO147" s="3599"/>
      <c r="AP147" s="3599"/>
      <c r="AQ147" s="3599"/>
      <c r="AR147" s="3599"/>
      <c r="AS147" s="3599"/>
      <c r="AT147" s="3599"/>
      <c r="AU147" s="3599"/>
      <c r="AV147" s="3599"/>
      <c r="AW147" s="3599"/>
      <c r="AX147" s="3599"/>
      <c r="AY147" s="3599"/>
      <c r="AZ147" s="3599"/>
      <c r="BA147" s="3599"/>
      <c r="BB147" s="3599"/>
      <c r="BC147" s="3599"/>
      <c r="BD147" s="3599"/>
      <c r="BE147" s="3599"/>
      <c r="BF147" s="3599"/>
      <c r="BG147" s="3599"/>
      <c r="BH147" s="3599"/>
      <c r="BI147" s="3599"/>
      <c r="BJ147" s="3599"/>
      <c r="BK147" s="3599"/>
      <c r="BL147" s="3599"/>
      <c r="BM147" s="3599"/>
      <c r="BN147" s="3599"/>
      <c r="BO147" s="3599"/>
      <c r="BP147" s="3599"/>
      <c r="BQ147" s="3599"/>
      <c r="BR147" s="3599"/>
      <c r="BS147" s="3599"/>
      <c r="BT147" s="3599"/>
      <c r="BU147" s="3599"/>
      <c r="BV147" s="3599"/>
      <c r="BW147" s="3599"/>
      <c r="BX147" s="3599"/>
      <c r="BY147" s="3599"/>
      <c r="BZ147" s="3599"/>
      <c r="CA147" s="3599"/>
      <c r="CB147" s="3599"/>
      <c r="CC147" s="3599"/>
      <c r="CD147" s="3599"/>
      <c r="CE147" s="3599"/>
      <c r="CF147" s="3599"/>
      <c r="CG147" s="3599"/>
      <c r="CH147" s="3599"/>
      <c r="CI147" s="3599"/>
      <c r="CJ147" s="3599"/>
      <c r="CK147" s="3599"/>
      <c r="CL147" s="3599"/>
      <c r="CM147" s="3599"/>
      <c r="CN147" s="3599"/>
      <c r="CO147" s="3599"/>
      <c r="CP147" s="3599"/>
      <c r="CQ147" s="3599"/>
      <c r="CR147" s="3599"/>
      <c r="CS147" s="3599"/>
      <c r="CT147" s="3599"/>
      <c r="CU147" s="3599"/>
      <c r="CV147" s="3599"/>
      <c r="CW147" s="3599"/>
      <c r="CX147" s="3599"/>
      <c r="CY147" s="3599"/>
      <c r="CZ147" s="3599"/>
      <c r="DA147" s="3599"/>
      <c r="DB147" s="3599"/>
      <c r="DC147" s="3599"/>
      <c r="DD147" s="3599"/>
      <c r="DE147" s="3599"/>
      <c r="DF147" s="3599"/>
      <c r="DG147" s="4009"/>
      <c r="DH147" s="3611"/>
      <c r="DI147" s="3790"/>
      <c r="DJ147" s="3790" t="str">
        <f>IF(T147="","",T147)</f>
        <v/>
      </c>
      <c r="DK147" s="3790"/>
      <c r="DL147" s="3790"/>
    </row>
    <row s="5398" customFormat="1" customHeight="1" ht="0.75">
      <c r="A148" s="4011"/>
      <c r="B148" s="4011"/>
      <c r="C148" s="4011"/>
      <c r="D148" s="4011"/>
      <c r="E148" s="3779"/>
      <c r="F148" s="3779" t="s">
        <v>102</v>
      </c>
      <c r="G148" s="3780"/>
      <c r="H148" s="4011"/>
      <c r="I148" s="4011"/>
      <c r="J148" s="4011"/>
      <c r="K148" s="4011"/>
      <c r="L148" s="4012"/>
      <c r="M148" s="4013"/>
      <c r="N148" s="4013"/>
      <c r="O148" s="3611"/>
      <c r="P148" s="4014"/>
      <c r="Q148" s="4015"/>
      <c r="R148" s="4014"/>
      <c r="S148" s="4016"/>
      <c r="T148" s="4017" t="s">
        <v>191</v>
      </c>
      <c r="U148" s="3601"/>
      <c r="V148" s="3601"/>
      <c r="W148" s="3601"/>
      <c r="X148" s="3601"/>
      <c r="Y148" s="3601"/>
      <c r="Z148" s="3601"/>
      <c r="AA148" s="3601"/>
      <c r="AB148" s="3601"/>
      <c r="AC148" s="3601"/>
      <c r="AD148" s="3601"/>
      <c r="AE148" s="3601"/>
      <c r="AF148" s="3601"/>
      <c r="AG148" s="3601"/>
      <c r="AH148" s="3601"/>
      <c r="AI148" s="3601"/>
      <c r="AJ148" s="3601"/>
      <c r="AK148" s="3601"/>
      <c r="AL148" s="3601"/>
      <c r="AM148" s="3601"/>
      <c r="AN148" s="3601"/>
      <c r="AO148" s="3601"/>
      <c r="AP148" s="3601"/>
      <c r="AQ148" s="3601"/>
      <c r="AR148" s="3601"/>
      <c r="AS148" s="3601"/>
      <c r="AT148" s="3601"/>
      <c r="AU148" s="3601"/>
      <c r="AV148" s="3601"/>
      <c r="AW148" s="3601"/>
      <c r="AX148" s="3601"/>
      <c r="AY148" s="3601"/>
      <c r="AZ148" s="3601"/>
      <c r="BA148" s="3601"/>
      <c r="BB148" s="3601"/>
      <c r="BC148" s="3601"/>
      <c r="BD148" s="3601"/>
      <c r="BE148" s="3601"/>
      <c r="BF148" s="3601"/>
      <c r="BG148" s="3601"/>
      <c r="BH148" s="3601"/>
      <c r="BI148" s="3601"/>
      <c r="BJ148" s="3601"/>
      <c r="BK148" s="3601"/>
      <c r="BL148" s="3601"/>
      <c r="BM148" s="3601"/>
      <c r="BN148" s="3601"/>
      <c r="BO148" s="3601"/>
      <c r="BP148" s="3601"/>
      <c r="BQ148" s="3601"/>
      <c r="BR148" s="3601"/>
      <c r="BS148" s="3601"/>
      <c r="BT148" s="3601"/>
      <c r="BU148" s="3601"/>
      <c r="BV148" s="3601"/>
      <c r="BW148" s="3601"/>
      <c r="BX148" s="3601"/>
      <c r="BY148" s="3601"/>
      <c r="BZ148" s="3601"/>
      <c r="CA148" s="3601"/>
      <c r="CB148" s="3601"/>
      <c r="CC148" s="3601"/>
      <c r="CD148" s="3601"/>
      <c r="CE148" s="3601"/>
      <c r="CF148" s="3601"/>
      <c r="CG148" s="3601"/>
      <c r="CH148" s="3601"/>
      <c r="CI148" s="3601"/>
      <c r="CJ148" s="3601"/>
      <c r="CK148" s="3601"/>
      <c r="CL148" s="3601"/>
      <c r="CM148" s="3601"/>
      <c r="CN148" s="3601"/>
      <c r="CO148" s="3601"/>
      <c r="CP148" s="3601"/>
      <c r="CQ148" s="3601"/>
      <c r="CR148" s="3601"/>
      <c r="CS148" s="3601"/>
      <c r="CT148" s="3601"/>
      <c r="CU148" s="3601"/>
      <c r="CV148" s="3601"/>
      <c r="CW148" s="3601"/>
      <c r="CX148" s="3601"/>
      <c r="CY148" s="3601"/>
      <c r="CZ148" s="3601"/>
      <c r="DA148" s="3601"/>
      <c r="DB148" s="3601"/>
      <c r="DC148" s="3601"/>
      <c r="DD148" s="3601"/>
      <c r="DE148" s="3601"/>
      <c r="DF148" s="3601"/>
      <c r="DG148" s="3601"/>
      <c r="DH148" s="3611"/>
      <c r="DI148" s="3790"/>
      <c r="DJ148" s="3790" t="str">
        <f>IF(T148="","",T148)</f>
        <v>Добавить источник для дифференциации</v>
      </c>
      <c r="DK148" s="3790"/>
      <c r="DL148" s="3790"/>
    </row>
    <row s="5399" customFormat="1" customHeight="1" ht="0.75">
      <c r="A149" s="4011"/>
      <c r="B149" s="4011"/>
      <c r="C149" s="4011"/>
      <c r="D149" s="4011"/>
      <c r="E149" s="3779"/>
      <c r="F149" s="3780" t="s">
        <v>102</v>
      </c>
      <c r="G149" s="4011"/>
      <c r="H149" s="4011"/>
      <c r="I149" s="4011"/>
      <c r="J149" s="4011"/>
      <c r="K149" s="4011"/>
      <c r="L149" s="4012"/>
      <c r="M149" s="4019"/>
      <c r="N149" s="4019"/>
      <c r="O149" s="3611"/>
      <c r="P149" s="4014"/>
      <c r="Q149" s="4015"/>
      <c r="R149" s="4014"/>
      <c r="S149" s="4020"/>
      <c r="T149" s="4021" t="s">
        <v>192</v>
      </c>
      <c r="U149" s="3602"/>
      <c r="V149" s="3602"/>
      <c r="W149" s="3602"/>
      <c r="X149" s="3602"/>
      <c r="Y149" s="3602"/>
      <c r="Z149" s="3602"/>
      <c r="AA149" s="3602"/>
      <c r="AB149" s="3602"/>
      <c r="AC149" s="3602"/>
      <c r="AD149" s="3602"/>
      <c r="AE149" s="3602"/>
      <c r="AF149" s="3602"/>
      <c r="AG149" s="3602"/>
      <c r="AH149" s="3602"/>
      <c r="AI149" s="3602"/>
      <c r="AJ149" s="3602"/>
      <c r="AK149" s="3602"/>
      <c r="AL149" s="3602"/>
      <c r="AM149" s="3602"/>
      <c r="AN149" s="3602"/>
      <c r="AO149" s="3602"/>
      <c r="AP149" s="3602"/>
      <c r="AQ149" s="3602"/>
      <c r="AR149" s="3602"/>
      <c r="AS149" s="3602"/>
      <c r="AT149" s="3602"/>
      <c r="AU149" s="3602"/>
      <c r="AV149" s="3602"/>
      <c r="AW149" s="3602"/>
      <c r="AX149" s="3602"/>
      <c r="AY149" s="3602"/>
      <c r="AZ149" s="3602"/>
      <c r="BA149" s="3602"/>
      <c r="BB149" s="3602"/>
      <c r="BC149" s="3602"/>
      <c r="BD149" s="3602"/>
      <c r="BE149" s="3602"/>
      <c r="BF149" s="3602"/>
      <c r="BG149" s="3602"/>
      <c r="BH149" s="3602"/>
      <c r="BI149" s="3602"/>
      <c r="BJ149" s="3602"/>
      <c r="BK149" s="3602"/>
      <c r="BL149" s="3602"/>
      <c r="BM149" s="3602"/>
      <c r="BN149" s="3602"/>
      <c r="BO149" s="3602"/>
      <c r="BP149" s="3602"/>
      <c r="BQ149" s="3602"/>
      <c r="BR149" s="3602"/>
      <c r="BS149" s="3602"/>
      <c r="BT149" s="3602"/>
      <c r="BU149" s="3602"/>
      <c r="BV149" s="3602"/>
      <c r="BW149" s="3602"/>
      <c r="BX149" s="3602"/>
      <c r="BY149" s="3602"/>
      <c r="BZ149" s="3602"/>
      <c r="CA149" s="3602"/>
      <c r="CB149" s="3602"/>
      <c r="CC149" s="3602"/>
      <c r="CD149" s="3602"/>
      <c r="CE149" s="3602"/>
      <c r="CF149" s="3602"/>
      <c r="CG149" s="3602"/>
      <c r="CH149" s="3602"/>
      <c r="CI149" s="3602"/>
      <c r="CJ149" s="3602"/>
      <c r="CK149" s="3602"/>
      <c r="CL149" s="3602"/>
      <c r="CM149" s="3602"/>
      <c r="CN149" s="3602"/>
      <c r="CO149" s="3602"/>
      <c r="CP149" s="3602"/>
      <c r="CQ149" s="3602"/>
      <c r="CR149" s="3602"/>
      <c r="CS149" s="3602"/>
      <c r="CT149" s="3602"/>
      <c r="CU149" s="3602"/>
      <c r="CV149" s="3602"/>
      <c r="CW149" s="3602"/>
      <c r="CX149" s="3602"/>
      <c r="CY149" s="3602"/>
      <c r="CZ149" s="3602"/>
      <c r="DA149" s="3602"/>
      <c r="DB149" s="3602"/>
      <c r="DC149" s="3602"/>
      <c r="DD149" s="3602"/>
      <c r="DE149" s="3602"/>
      <c r="DF149" s="3602"/>
      <c r="DG149" s="3602"/>
      <c r="DH149" s="3611"/>
      <c r="DI149" s="3790"/>
      <c r="DJ149" s="3790" t="str">
        <f>IF(T149="","",T149)</f>
        <v>Добавить централизованную систему для дифференциации</v>
      </c>
      <c r="DK149" s="3790"/>
      <c r="DL149" s="3790"/>
    </row>
    <row s="5400" customFormat="1" customHeight="1" ht="21">
      <c r="A150" s="3778"/>
      <c r="B150" s="3778" t="s">
        <v>223</v>
      </c>
      <c r="C150" s="3778"/>
      <c r="D150" s="3778"/>
      <c r="E150" s="3779"/>
      <c r="F150" s="3780" t="s">
        <v>90</v>
      </c>
      <c r="G150" s="3778"/>
      <c r="H150" s="3778"/>
      <c r="I150" s="3778"/>
      <c r="J150" s="3778"/>
      <c r="K150" s="3778"/>
      <c r="L150" s="3781"/>
      <c r="M150" s="3782"/>
      <c r="N150" s="3782"/>
      <c r="O150" s="3782"/>
      <c r="P150" s="3783"/>
      <c r="Q150" s="3784"/>
      <c r="R150" s="3785"/>
      <c r="S150" s="3786" t="str">
        <f>INDEX(PT_DIFFERENTIATION_NUM_TER,MATCH(B150,PT_DIFFERENTIATION_TER_ID,0))</f>
        <v>2.4</v>
      </c>
      <c r="T150" s="3787" t="s">
        <v>444</v>
      </c>
      <c r="U150" s="3788"/>
      <c r="V150" s="3430"/>
      <c r="W150" s="3431"/>
      <c r="X150" s="3431"/>
      <c r="Y150" s="3431"/>
      <c r="Z150" s="3431"/>
      <c r="AA150" s="3431"/>
      <c r="AB150" s="3431"/>
      <c r="AC150" s="3432"/>
      <c r="AD150" s="3430" t="str">
        <f>INDEX(PT_DIFFERENTIATION_TER,MATCH(B150,PT_DIFFERENTIATION_TER_ID,0))</f>
        <v>Территория 4</v>
      </c>
      <c r="AE150" s="3431"/>
      <c r="AF150" s="3431"/>
      <c r="AG150" s="3431"/>
      <c r="AH150" s="3431"/>
      <c r="AI150" s="3431"/>
      <c r="AJ150" s="3431"/>
      <c r="AK150" s="3431"/>
      <c r="AL150" s="3430"/>
      <c r="AM150" s="3431"/>
      <c r="AN150" s="3431"/>
      <c r="AO150" s="3431"/>
      <c r="AP150" s="3431"/>
      <c r="AQ150" s="3431"/>
      <c r="AR150" s="3431"/>
      <c r="AS150" s="3432"/>
      <c r="AT150" s="3430"/>
      <c r="AU150" s="3431"/>
      <c r="AV150" s="3431"/>
      <c r="AW150" s="3431"/>
      <c r="AX150" s="3431"/>
      <c r="AY150" s="3431"/>
      <c r="AZ150" s="3431"/>
      <c r="BA150" s="3432"/>
      <c r="BB150" s="3430"/>
      <c r="BC150" s="3431"/>
      <c r="BD150" s="3431"/>
      <c r="BE150" s="3431"/>
      <c r="BF150" s="3431"/>
      <c r="BG150" s="3431"/>
      <c r="BH150" s="3431"/>
      <c r="BI150" s="3432"/>
      <c r="BJ150" s="3430"/>
      <c r="BK150" s="3431"/>
      <c r="BL150" s="3431"/>
      <c r="BM150" s="3431"/>
      <c r="BN150" s="3431"/>
      <c r="BO150" s="3431"/>
      <c r="BP150" s="3431"/>
      <c r="BQ150" s="3432"/>
      <c r="BR150" s="3430"/>
      <c r="BS150" s="3431"/>
      <c r="BT150" s="3431"/>
      <c r="BU150" s="3431"/>
      <c r="BV150" s="3431"/>
      <c r="BW150" s="3431"/>
      <c r="BX150" s="3431"/>
      <c r="BY150" s="3432"/>
      <c r="BZ150" s="3430"/>
      <c r="CA150" s="3431"/>
      <c r="CB150" s="3431"/>
      <c r="CC150" s="3431"/>
      <c r="CD150" s="3431"/>
      <c r="CE150" s="3431"/>
      <c r="CF150" s="3431"/>
      <c r="CG150" s="3432"/>
      <c r="CH150" s="3430"/>
      <c r="CI150" s="3431"/>
      <c r="CJ150" s="3431"/>
      <c r="CK150" s="3431"/>
      <c r="CL150" s="3431"/>
      <c r="CM150" s="3431"/>
      <c r="CN150" s="3431"/>
      <c r="CO150" s="3432"/>
      <c r="CP150" s="3430"/>
      <c r="CQ150" s="3431"/>
      <c r="CR150" s="3431"/>
      <c r="CS150" s="3431"/>
      <c r="CT150" s="3431"/>
      <c r="CU150" s="3431"/>
      <c r="CV150" s="3431"/>
      <c r="CW150" s="3432"/>
      <c r="CX150" s="3430"/>
      <c r="CY150" s="3431"/>
      <c r="CZ150" s="3431"/>
      <c r="DA150" s="3431"/>
      <c r="DB150" s="3431"/>
      <c r="DC150" s="3431"/>
      <c r="DD150" s="3431"/>
      <c r="DE150" s="3432"/>
      <c r="DF150" s="3432"/>
      <c r="DG150" s="3789" t="s">
        <v>445</v>
      </c>
      <c r="DH150" s="3611"/>
      <c r="DI150" s="3790"/>
      <c r="DJ150" s="3790" t="str">
        <f>IF(T150="","",T150)</f>
        <v>Территория действия тарифа</v>
      </c>
      <c r="DK150" s="3790"/>
      <c r="DL150" s="3790"/>
    </row>
    <row s="5401" customFormat="1" customHeight="1" ht="23.25">
      <c r="A151" s="3778"/>
      <c r="B151" s="3778"/>
      <c r="C151" s="3778" t="s">
        <v>224</v>
      </c>
      <c r="D151" s="3778"/>
      <c r="E151" s="3779"/>
      <c r="F151" s="3779" t="s">
        <v>89</v>
      </c>
      <c r="G151" s="3780">
        <v>1</v>
      </c>
      <c r="H151" s="3778"/>
      <c r="I151" s="3778"/>
      <c r="J151" s="3778"/>
      <c r="K151" s="3778"/>
      <c r="L151" s="3781"/>
      <c r="M151" s="3782"/>
      <c r="N151" s="3782"/>
      <c r="O151" s="3782"/>
      <c r="P151" s="3792"/>
      <c r="Q151" s="3784"/>
      <c r="R151" s="3785"/>
      <c r="S151" s="3786" t="str">
        <f>INDEX(PT_DIFFERENTIATION_NUM_CS,MATCH(C151,PT_DIFFERENTIATION_CS_ID,0))</f>
        <v>2.4.1</v>
      </c>
      <c r="T151" s="3793" t="s">
        <v>446</v>
      </c>
      <c r="U151" s="3788"/>
      <c r="V151" s="3430"/>
      <c r="W151" s="3431"/>
      <c r="X151" s="3431"/>
      <c r="Y151" s="3431"/>
      <c r="Z151" s="3431"/>
      <c r="AA151" s="3431"/>
      <c r="AB151" s="3431"/>
      <c r="AC151" s="3432"/>
      <c r="AD151" s="3430" t="str">
        <f>INDEX(PT_DIFFERENTIATION_CS,MATCH(C151,PT_DIFFERENTIATION_CS_ID,0))</f>
        <v>без дифференциации</v>
      </c>
      <c r="AE151" s="3431"/>
      <c r="AF151" s="3431"/>
      <c r="AG151" s="3431"/>
      <c r="AH151" s="3431"/>
      <c r="AI151" s="3431"/>
      <c r="AJ151" s="3431"/>
      <c r="AK151" s="3431"/>
      <c r="AL151" s="3430"/>
      <c r="AM151" s="3431"/>
      <c r="AN151" s="3431"/>
      <c r="AO151" s="3431"/>
      <c r="AP151" s="3431"/>
      <c r="AQ151" s="3431"/>
      <c r="AR151" s="3431"/>
      <c r="AS151" s="3432"/>
      <c r="AT151" s="3430"/>
      <c r="AU151" s="3431"/>
      <c r="AV151" s="3431"/>
      <c r="AW151" s="3431"/>
      <c r="AX151" s="3431"/>
      <c r="AY151" s="3431"/>
      <c r="AZ151" s="3431"/>
      <c r="BA151" s="3432"/>
      <c r="BB151" s="3430"/>
      <c r="BC151" s="3431"/>
      <c r="BD151" s="3431"/>
      <c r="BE151" s="3431"/>
      <c r="BF151" s="3431"/>
      <c r="BG151" s="3431"/>
      <c r="BH151" s="3431"/>
      <c r="BI151" s="3432"/>
      <c r="BJ151" s="3430"/>
      <c r="BK151" s="3431"/>
      <c r="BL151" s="3431"/>
      <c r="BM151" s="3431"/>
      <c r="BN151" s="3431"/>
      <c r="BO151" s="3431"/>
      <c r="BP151" s="3431"/>
      <c r="BQ151" s="3432"/>
      <c r="BR151" s="3430"/>
      <c r="BS151" s="3431"/>
      <c r="BT151" s="3431"/>
      <c r="BU151" s="3431"/>
      <c r="BV151" s="3431"/>
      <c r="BW151" s="3431"/>
      <c r="BX151" s="3431"/>
      <c r="BY151" s="3432"/>
      <c r="BZ151" s="3430"/>
      <c r="CA151" s="3431"/>
      <c r="CB151" s="3431"/>
      <c r="CC151" s="3431"/>
      <c r="CD151" s="3431"/>
      <c r="CE151" s="3431"/>
      <c r="CF151" s="3431"/>
      <c r="CG151" s="3432"/>
      <c r="CH151" s="3430"/>
      <c r="CI151" s="3431"/>
      <c r="CJ151" s="3431"/>
      <c r="CK151" s="3431"/>
      <c r="CL151" s="3431"/>
      <c r="CM151" s="3431"/>
      <c r="CN151" s="3431"/>
      <c r="CO151" s="3432"/>
      <c r="CP151" s="3430"/>
      <c r="CQ151" s="3431"/>
      <c r="CR151" s="3431"/>
      <c r="CS151" s="3431"/>
      <c r="CT151" s="3431"/>
      <c r="CU151" s="3431"/>
      <c r="CV151" s="3431"/>
      <c r="CW151" s="3432"/>
      <c r="CX151" s="3430"/>
      <c r="CY151" s="3431"/>
      <c r="CZ151" s="3431"/>
      <c r="DA151" s="3431"/>
      <c r="DB151" s="3431"/>
      <c r="DC151" s="3431"/>
      <c r="DD151" s="3431"/>
      <c r="DE151" s="3432"/>
      <c r="DF151" s="3432"/>
      <c r="DG151" s="3789" t="s">
        <v>447</v>
      </c>
      <c r="DH151" s="3611"/>
      <c r="DI151" s="3790"/>
      <c r="DJ151" s="3790" t="str">
        <f>IF(T151="","",T151)</f>
        <v>Наименование системы теплоснабжения </v>
      </c>
      <c r="DK151" s="3790"/>
      <c r="DL151" s="3790"/>
    </row>
    <row s="5402" customFormat="1" customHeight="1" ht="21">
      <c r="A152" s="3778"/>
      <c r="B152" s="3778"/>
      <c r="C152" s="3778"/>
      <c r="D152" s="3778" t="s">
        <v>225</v>
      </c>
      <c r="E152" s="3779"/>
      <c r="F152" s="3779" t="s">
        <v>89</v>
      </c>
      <c r="G152" s="3779"/>
      <c r="H152" s="3780">
        <v>1</v>
      </c>
      <c r="I152" s="3778"/>
      <c r="J152" s="3778"/>
      <c r="K152" s="3778"/>
      <c r="L152" s="3781"/>
      <c r="M152" s="3782"/>
      <c r="N152" s="3782"/>
      <c r="O152" s="3782"/>
      <c r="P152" s="3792"/>
      <c r="Q152" s="3784"/>
      <c r="R152" s="3785"/>
      <c r="S152" s="3786" t="str">
        <f>INDEX(PT_DIFFERENTIATION_NUM_IST_TE,MATCH(D152,PT_DIFFERENTIATION_IST_TE_ID,0))</f>
        <v>2.4.1.1</v>
      </c>
      <c r="T152" s="3795" t="s">
        <v>448</v>
      </c>
      <c r="U152" s="3788"/>
      <c r="V152" s="3430"/>
      <c r="W152" s="3431"/>
      <c r="X152" s="3431"/>
      <c r="Y152" s="3431"/>
      <c r="Z152" s="3431"/>
      <c r="AA152" s="3431"/>
      <c r="AB152" s="3431"/>
      <c r="AC152" s="3432"/>
      <c r="AD152" s="3430" t="str">
        <f>INDEX(PT_DIFFERENTIATION_IST_TE,MATCH(D152,PT_DIFFERENTIATION_IST_TE_ID,0))</f>
        <v>гп Заполярный</v>
      </c>
      <c r="AE152" s="3431"/>
      <c r="AF152" s="3431"/>
      <c r="AG152" s="3431"/>
      <c r="AH152" s="3431"/>
      <c r="AI152" s="3431"/>
      <c r="AJ152" s="3431"/>
      <c r="AK152" s="3431"/>
      <c r="AL152" s="3430"/>
      <c r="AM152" s="3431"/>
      <c r="AN152" s="3431"/>
      <c r="AO152" s="3431"/>
      <c r="AP152" s="3431"/>
      <c r="AQ152" s="3431"/>
      <c r="AR152" s="3431"/>
      <c r="AS152" s="3432"/>
      <c r="AT152" s="3430"/>
      <c r="AU152" s="3431"/>
      <c r="AV152" s="3431"/>
      <c r="AW152" s="3431"/>
      <c r="AX152" s="3431"/>
      <c r="AY152" s="3431"/>
      <c r="AZ152" s="3431"/>
      <c r="BA152" s="3432"/>
      <c r="BB152" s="3430"/>
      <c r="BC152" s="3431"/>
      <c r="BD152" s="3431"/>
      <c r="BE152" s="3431"/>
      <c r="BF152" s="3431"/>
      <c r="BG152" s="3431"/>
      <c r="BH152" s="3431"/>
      <c r="BI152" s="3432"/>
      <c r="BJ152" s="3430"/>
      <c r="BK152" s="3431"/>
      <c r="BL152" s="3431"/>
      <c r="BM152" s="3431"/>
      <c r="BN152" s="3431"/>
      <c r="BO152" s="3431"/>
      <c r="BP152" s="3431"/>
      <c r="BQ152" s="3432"/>
      <c r="BR152" s="3430"/>
      <c r="BS152" s="3431"/>
      <c r="BT152" s="3431"/>
      <c r="BU152" s="3431"/>
      <c r="BV152" s="3431"/>
      <c r="BW152" s="3431"/>
      <c r="BX152" s="3431"/>
      <c r="BY152" s="3432"/>
      <c r="BZ152" s="3430"/>
      <c r="CA152" s="3431"/>
      <c r="CB152" s="3431"/>
      <c r="CC152" s="3431"/>
      <c r="CD152" s="3431"/>
      <c r="CE152" s="3431"/>
      <c r="CF152" s="3431"/>
      <c r="CG152" s="3432"/>
      <c r="CH152" s="3430"/>
      <c r="CI152" s="3431"/>
      <c r="CJ152" s="3431"/>
      <c r="CK152" s="3431"/>
      <c r="CL152" s="3431"/>
      <c r="CM152" s="3431"/>
      <c r="CN152" s="3431"/>
      <c r="CO152" s="3432"/>
      <c r="CP152" s="3430"/>
      <c r="CQ152" s="3431"/>
      <c r="CR152" s="3431"/>
      <c r="CS152" s="3431"/>
      <c r="CT152" s="3431"/>
      <c r="CU152" s="3431"/>
      <c r="CV152" s="3431"/>
      <c r="CW152" s="3432"/>
      <c r="CX152" s="3430"/>
      <c r="CY152" s="3431"/>
      <c r="CZ152" s="3431"/>
      <c r="DA152" s="3431"/>
      <c r="DB152" s="3431"/>
      <c r="DC152" s="3431"/>
      <c r="DD152" s="3431"/>
      <c r="DE152" s="3432"/>
      <c r="DF152" s="3432"/>
      <c r="DG152" s="3789" t="s">
        <v>449</v>
      </c>
      <c r="DH152" s="3611"/>
      <c r="DI152" s="3790"/>
      <c r="DJ152" s="3790" t="str">
        <f>IF(T152="","",T152)</f>
        <v>Источник тепловой энергии  </v>
      </c>
      <c r="DK152" s="3790"/>
      <c r="DL152" s="3790"/>
    </row>
    <row s="5403" customFormat="1" customHeight="1" ht="14.25">
      <c r="A153" s="3778"/>
      <c r="B153" s="3778"/>
      <c r="C153" s="3778"/>
      <c r="D153" s="3778"/>
      <c r="E153" s="3779"/>
      <c r="F153" s="3779" t="s">
        <v>89</v>
      </c>
      <c r="G153" s="3779"/>
      <c r="H153" s="3779"/>
      <c r="I153" s="3797" t="str">
        <f>S152&amp;".1"</f>
        <v>2.4.1.1.1</v>
      </c>
      <c r="J153" s="3778"/>
      <c r="K153" s="3778"/>
      <c r="L153" s="3781" t="s">
        <v>450</v>
      </c>
      <c r="M153" s="3603"/>
      <c r="N153" s="3798"/>
      <c r="O153" s="3798"/>
      <c r="P153" s="3799">
        <v>1</v>
      </c>
      <c r="Q153" s="3799"/>
      <c r="R153" s="3800"/>
      <c r="S153" s="3801"/>
      <c r="T153" s="3802"/>
      <c r="U153" s="3803"/>
      <c r="V153" s="3439"/>
      <c r="W153" s="3440"/>
      <c r="X153" s="3440"/>
      <c r="Y153" s="3440"/>
      <c r="Z153" s="3440"/>
      <c r="AA153" s="3440"/>
      <c r="AB153" s="3440"/>
      <c r="AC153" s="3441"/>
      <c r="AD153" s="3439"/>
      <c r="AE153" s="3440"/>
      <c r="AF153" s="3440"/>
      <c r="AG153" s="3440"/>
      <c r="AH153" s="3440"/>
      <c r="AI153" s="3440"/>
      <c r="AJ153" s="3440"/>
      <c r="AK153" s="3440"/>
      <c r="AL153" s="3439"/>
      <c r="AM153" s="3440"/>
      <c r="AN153" s="3440"/>
      <c r="AO153" s="3440"/>
      <c r="AP153" s="3440"/>
      <c r="AQ153" s="3440"/>
      <c r="AR153" s="3440"/>
      <c r="AS153" s="3441"/>
      <c r="AT153" s="3439"/>
      <c r="AU153" s="3440"/>
      <c r="AV153" s="3440"/>
      <c r="AW153" s="3440"/>
      <c r="AX153" s="3440"/>
      <c r="AY153" s="3440"/>
      <c r="AZ153" s="3440"/>
      <c r="BA153" s="3441"/>
      <c r="BB153" s="3439"/>
      <c r="BC153" s="3440"/>
      <c r="BD153" s="3440"/>
      <c r="BE153" s="3440"/>
      <c r="BF153" s="3440"/>
      <c r="BG153" s="3440"/>
      <c r="BH153" s="3440"/>
      <c r="BI153" s="3441"/>
      <c r="BJ153" s="3439"/>
      <c r="BK153" s="3440"/>
      <c r="BL153" s="3440"/>
      <c r="BM153" s="3440"/>
      <c r="BN153" s="3440"/>
      <c r="BO153" s="3440"/>
      <c r="BP153" s="3440"/>
      <c r="BQ153" s="3441"/>
      <c r="BR153" s="3439"/>
      <c r="BS153" s="3440"/>
      <c r="BT153" s="3440"/>
      <c r="BU153" s="3440"/>
      <c r="BV153" s="3440"/>
      <c r="BW153" s="3440"/>
      <c r="BX153" s="3440"/>
      <c r="BY153" s="3441"/>
      <c r="BZ153" s="3439"/>
      <c r="CA153" s="3440"/>
      <c r="CB153" s="3440"/>
      <c r="CC153" s="3440"/>
      <c r="CD153" s="3440"/>
      <c r="CE153" s="3440"/>
      <c r="CF153" s="3440"/>
      <c r="CG153" s="3441"/>
      <c r="CH153" s="3439"/>
      <c r="CI153" s="3440"/>
      <c r="CJ153" s="3440"/>
      <c r="CK153" s="3440"/>
      <c r="CL153" s="3440"/>
      <c r="CM153" s="3440"/>
      <c r="CN153" s="3440"/>
      <c r="CO153" s="3441"/>
      <c r="CP153" s="3439"/>
      <c r="CQ153" s="3440"/>
      <c r="CR153" s="3440"/>
      <c r="CS153" s="3440"/>
      <c r="CT153" s="3440"/>
      <c r="CU153" s="3440"/>
      <c r="CV153" s="3440"/>
      <c r="CW153" s="3441"/>
      <c r="CX153" s="3439"/>
      <c r="CY153" s="3440"/>
      <c r="CZ153" s="3440"/>
      <c r="DA153" s="3440"/>
      <c r="DB153" s="3440"/>
      <c r="DC153" s="3440"/>
      <c r="DD153" s="3440"/>
      <c r="DE153" s="3441"/>
      <c r="DF153" s="3441"/>
      <c r="DG153" s="3804"/>
      <c r="DH153" s="3611"/>
      <c r="DI153" s="3790"/>
      <c r="DJ153" s="3790" t="str">
        <f>IF(T153="","",T153)</f>
        <v/>
      </c>
      <c r="DK153" s="3790"/>
      <c r="DL153" s="3790"/>
    </row>
    <row s="5404" customFormat="1" customHeight="1" ht="21">
      <c r="A154" s="3778"/>
      <c r="B154" s="3778"/>
      <c r="C154" s="3778"/>
      <c r="D154" s="3778"/>
      <c r="E154" s="3779"/>
      <c r="F154" s="3779" t="s">
        <v>89</v>
      </c>
      <c r="G154" s="3779"/>
      <c r="H154" s="3779"/>
      <c r="I154" s="3806"/>
      <c r="J154" s="3797" t="str">
        <f>I153&amp;".1"</f>
        <v>2.4.1.1.1.1</v>
      </c>
      <c r="K154" s="3778"/>
      <c r="L154" s="3781" t="s">
        <v>453</v>
      </c>
      <c r="M154" s="3603"/>
      <c r="N154" s="3603"/>
      <c r="O154" s="3798"/>
      <c r="P154" s="3799"/>
      <c r="Q154" s="3799">
        <v>1</v>
      </c>
      <c r="R154" s="3807"/>
      <c r="S154" s="3786" t="str">
        <f>$J154</f>
        <v>2.4.1.1.1.1</v>
      </c>
      <c r="T154" s="3808" t="s">
        <v>454</v>
      </c>
      <c r="U154" s="3788"/>
      <c r="V154" s="3443"/>
      <c r="W154" s="3444"/>
      <c r="X154" s="3444"/>
      <c r="Y154" s="3444"/>
      <c r="Z154" s="3444"/>
      <c r="AA154" s="3444"/>
      <c r="AB154" s="3444"/>
      <c r="AC154" s="3445"/>
      <c r="AD154" s="3443" t="s">
        <v>497</v>
      </c>
      <c r="AE154" s="3444"/>
      <c r="AF154" s="3444"/>
      <c r="AG154" s="3444"/>
      <c r="AH154" s="3444"/>
      <c r="AI154" s="3444"/>
      <c r="AJ154" s="3444"/>
      <c r="AK154" s="3444"/>
      <c r="AL154" s="3443"/>
      <c r="AM154" s="3444"/>
      <c r="AN154" s="3444"/>
      <c r="AO154" s="3444"/>
      <c r="AP154" s="3444"/>
      <c r="AQ154" s="3444"/>
      <c r="AR154" s="3444"/>
      <c r="AS154" s="3445"/>
      <c r="AT154" s="3443"/>
      <c r="AU154" s="3444"/>
      <c r="AV154" s="3444"/>
      <c r="AW154" s="3444"/>
      <c r="AX154" s="3444"/>
      <c r="AY154" s="3444"/>
      <c r="AZ154" s="3444"/>
      <c r="BA154" s="3445"/>
      <c r="BB154" s="3443"/>
      <c r="BC154" s="3444"/>
      <c r="BD154" s="3444"/>
      <c r="BE154" s="3444"/>
      <c r="BF154" s="3444"/>
      <c r="BG154" s="3444"/>
      <c r="BH154" s="3444"/>
      <c r="BI154" s="3445"/>
      <c r="BJ154" s="3443"/>
      <c r="BK154" s="3444"/>
      <c r="BL154" s="3444"/>
      <c r="BM154" s="3444"/>
      <c r="BN154" s="3444"/>
      <c r="BO154" s="3444"/>
      <c r="BP154" s="3444"/>
      <c r="BQ154" s="3445"/>
      <c r="BR154" s="3443"/>
      <c r="BS154" s="3444"/>
      <c r="BT154" s="3444"/>
      <c r="BU154" s="3444"/>
      <c r="BV154" s="3444"/>
      <c r="BW154" s="3444"/>
      <c r="BX154" s="3444"/>
      <c r="BY154" s="3445"/>
      <c r="BZ154" s="3443"/>
      <c r="CA154" s="3444"/>
      <c r="CB154" s="3444"/>
      <c r="CC154" s="3444"/>
      <c r="CD154" s="3444"/>
      <c r="CE154" s="3444"/>
      <c r="CF154" s="3444"/>
      <c r="CG154" s="3445"/>
      <c r="CH154" s="3443"/>
      <c r="CI154" s="3444"/>
      <c r="CJ154" s="3444"/>
      <c r="CK154" s="3444"/>
      <c r="CL154" s="3444"/>
      <c r="CM154" s="3444"/>
      <c r="CN154" s="3444"/>
      <c r="CO154" s="3445"/>
      <c r="CP154" s="3443"/>
      <c r="CQ154" s="3444"/>
      <c r="CR154" s="3444"/>
      <c r="CS154" s="3444"/>
      <c r="CT154" s="3444"/>
      <c r="CU154" s="3444"/>
      <c r="CV154" s="3444"/>
      <c r="CW154" s="3445"/>
      <c r="CX154" s="3443"/>
      <c r="CY154" s="3444"/>
      <c r="CZ154" s="3444"/>
      <c r="DA154" s="3444"/>
      <c r="DB154" s="3444"/>
      <c r="DC154" s="3444"/>
      <c r="DD154" s="3444"/>
      <c r="DE154" s="3445"/>
      <c r="DF154" s="3445"/>
      <c r="DG154" s="3789" t="s">
        <v>455</v>
      </c>
      <c r="DH154" s="3611"/>
      <c r="DI154" s="3790"/>
      <c r="DJ154" s="3790" t="str">
        <f>IF(T154="","",T154)</f>
        <v>Группа потребителей</v>
      </c>
      <c r="DK154" s="3790"/>
      <c r="DL154" s="3790"/>
    </row>
    <row s="5405" customFormat="1" customHeight="1" ht="21">
      <c r="A155" s="3778"/>
      <c r="B155" s="3778"/>
      <c r="C155" s="3778"/>
      <c r="D155" s="3778"/>
      <c r="E155" s="3779"/>
      <c r="F155" s="3779" t="s">
        <v>89</v>
      </c>
      <c r="G155" s="3779"/>
      <c r="H155" s="3779"/>
      <c r="I155" s="3806"/>
      <c r="J155" s="3806"/>
      <c r="K155" s="3797" t="str">
        <f>J154&amp;".1"</f>
        <v>2.4.1.1.1.1.1</v>
      </c>
      <c r="L155" s="3781" t="s">
        <v>456</v>
      </c>
      <c r="M155" s="3603"/>
      <c r="N155" s="3603"/>
      <c r="O155" s="3603"/>
      <c r="P155" s="3799"/>
      <c r="Q155" s="3799"/>
      <c r="R155" s="3807">
        <v>1</v>
      </c>
      <c r="S155" s="3786" t="str">
        <f>$K155</f>
        <v>2.4.1.1.1.1.1</v>
      </c>
      <c r="T155" s="3810" t="s">
        <v>495</v>
      </c>
      <c r="U155" s="3788"/>
      <c r="V155" s="3446"/>
      <c r="W155" s="3447"/>
      <c r="X155" s="3446"/>
      <c r="Y155" s="3448"/>
      <c r="Z155" s="3449"/>
      <c r="AA155" s="2872" t="s">
        <v>61</v>
      </c>
      <c r="AB155" s="3449"/>
      <c r="AC155" s="2872" t="s">
        <v>61</v>
      </c>
      <c r="AD155" s="3446">
        <v>8.83</v>
      </c>
      <c r="AE155" s="3447"/>
      <c r="AF155" s="3446"/>
      <c r="AG155" s="3448"/>
      <c r="AH155" s="3449">
        <v>45292</v>
      </c>
      <c r="AI155" s="2872" t="s">
        <v>61</v>
      </c>
      <c r="AJ155" s="3449">
        <v>45473</v>
      </c>
      <c r="AK155" s="2872" t="s">
        <v>61</v>
      </c>
      <c r="AL155" s="3446">
        <v>11.47</v>
      </c>
      <c r="AM155" s="3447"/>
      <c r="AN155" s="3446"/>
      <c r="AO155" s="3448"/>
      <c r="AP155" s="3449">
        <v>45474</v>
      </c>
      <c r="AQ155" s="2872" t="s">
        <v>61</v>
      </c>
      <c r="AR155" s="3449">
        <v>45657</v>
      </c>
      <c r="AS155" s="2872" t="s">
        <v>61</v>
      </c>
      <c r="AT155" s="3446">
        <v>10.58</v>
      </c>
      <c r="AU155" s="3447"/>
      <c r="AV155" s="3446"/>
      <c r="AW155" s="3448"/>
      <c r="AX155" s="3449">
        <v>45658</v>
      </c>
      <c r="AY155" s="2872" t="s">
        <v>61</v>
      </c>
      <c r="AZ155" s="3449">
        <v>45838</v>
      </c>
      <c r="BA155" s="2872" t="s">
        <v>61</v>
      </c>
      <c r="BB155" s="3446">
        <v>10.58</v>
      </c>
      <c r="BC155" s="3447"/>
      <c r="BD155" s="3446"/>
      <c r="BE155" s="3448"/>
      <c r="BF155" s="3449">
        <v>45839</v>
      </c>
      <c r="BG155" s="2872" t="s">
        <v>61</v>
      </c>
      <c r="BH155" s="3449">
        <v>46022</v>
      </c>
      <c r="BI155" s="2872" t="s">
        <v>61</v>
      </c>
      <c r="BJ155" s="3446">
        <v>10.58</v>
      </c>
      <c r="BK155" s="3447"/>
      <c r="BL155" s="3446"/>
      <c r="BM155" s="3448"/>
      <c r="BN155" s="3449">
        <v>46023</v>
      </c>
      <c r="BO155" s="2872" t="s">
        <v>61</v>
      </c>
      <c r="BP155" s="3449">
        <v>46203</v>
      </c>
      <c r="BQ155" s="2872" t="s">
        <v>61</v>
      </c>
      <c r="BR155" s="3446">
        <v>11.08</v>
      </c>
      <c r="BS155" s="3447"/>
      <c r="BT155" s="3446"/>
      <c r="BU155" s="3448"/>
      <c r="BV155" s="3449">
        <v>46204</v>
      </c>
      <c r="BW155" s="2872" t="s">
        <v>61</v>
      </c>
      <c r="BX155" s="3449">
        <v>46387</v>
      </c>
      <c r="BY155" s="2872" t="s">
        <v>61</v>
      </c>
      <c r="BZ155" s="3446">
        <v>11.08</v>
      </c>
      <c r="CA155" s="3447"/>
      <c r="CB155" s="3446"/>
      <c r="CC155" s="3448"/>
      <c r="CD155" s="3449">
        <v>46388</v>
      </c>
      <c r="CE155" s="2872" t="s">
        <v>61</v>
      </c>
      <c r="CF155" s="3449">
        <v>46568</v>
      </c>
      <c r="CG155" s="2872" t="s">
        <v>61</v>
      </c>
      <c r="CH155" s="3446">
        <v>11.1</v>
      </c>
      <c r="CI155" s="3447"/>
      <c r="CJ155" s="3446"/>
      <c r="CK155" s="3448"/>
      <c r="CL155" s="3449">
        <v>46569</v>
      </c>
      <c r="CM155" s="2872" t="s">
        <v>61</v>
      </c>
      <c r="CN155" s="3449">
        <v>46752</v>
      </c>
      <c r="CO155" s="2872" t="s">
        <v>61</v>
      </c>
      <c r="CP155" s="3446">
        <v>11.1</v>
      </c>
      <c r="CQ155" s="3447"/>
      <c r="CR155" s="3446"/>
      <c r="CS155" s="3448"/>
      <c r="CT155" s="3449">
        <v>46753</v>
      </c>
      <c r="CU155" s="2872" t="s">
        <v>61</v>
      </c>
      <c r="CV155" s="3449">
        <v>46934</v>
      </c>
      <c r="CW155" s="2872" t="s">
        <v>61</v>
      </c>
      <c r="CX155" s="3446">
        <v>11.6</v>
      </c>
      <c r="CY155" s="3447"/>
      <c r="CZ155" s="3446"/>
      <c r="DA155" s="3448"/>
      <c r="DB155" s="3449">
        <v>46935</v>
      </c>
      <c r="DC155" s="2872" t="s">
        <v>61</v>
      </c>
      <c r="DD155" s="3449">
        <v>47118</v>
      </c>
      <c r="DE155" s="2872" t="s">
        <v>61</v>
      </c>
      <c r="DF155" s="3447"/>
      <c r="DG155" s="3811" t="s">
        <v>457</v>
      </c>
      <c r="DH155" s="3611">
        <f>STRCHECKDATE(V156:DF156)</f>
      </c>
      <c r="DI155" s="3790"/>
      <c r="DJ155" s="3790" t="str">
        <f>IF(T155="","",T155)</f>
        <v>вода</v>
      </c>
      <c r="DK155" s="3790"/>
      <c r="DL155" s="3790"/>
    </row>
    <row s="5406" customFormat="1" customHeight="1" ht="0.75">
      <c r="A156" s="3778"/>
      <c r="B156" s="3778"/>
      <c r="C156" s="3778"/>
      <c r="D156" s="3778"/>
      <c r="E156" s="3779"/>
      <c r="F156" s="3779" t="s">
        <v>89</v>
      </c>
      <c r="G156" s="3779"/>
      <c r="H156" s="3779"/>
      <c r="I156" s="3806"/>
      <c r="J156" s="3806"/>
      <c r="K156" s="3797"/>
      <c r="L156" s="3781"/>
      <c r="M156" s="3603"/>
      <c r="N156" s="3603"/>
      <c r="O156" s="3603"/>
      <c r="P156" s="3799"/>
      <c r="Q156" s="3799"/>
      <c r="R156" s="3807"/>
      <c r="S156" s="3813"/>
      <c r="T156" s="3788"/>
      <c r="U156" s="3788"/>
      <c r="V156" s="3447"/>
      <c r="W156" s="3447"/>
      <c r="X156" s="3447"/>
      <c r="Y156" s="3450" t="str">
        <f>Z155&amp;"-"&amp;AB155</f>
        <v>-</v>
      </c>
      <c r="Z156" s="3451"/>
      <c r="AA156" s="2872"/>
      <c r="AB156" s="3451"/>
      <c r="AC156" s="2872"/>
      <c r="AD156" s="3447"/>
      <c r="AE156" s="3447"/>
      <c r="AF156" s="3447"/>
      <c r="AG156" s="3450" t="str">
        <f>AH155&amp;"-"&amp;AJ155</f>
        <v>45292-45473</v>
      </c>
      <c r="AH156" s="3451"/>
      <c r="AI156" s="2872"/>
      <c r="AJ156" s="3451"/>
      <c r="AK156" s="2872"/>
      <c r="AL156" s="3447"/>
      <c r="AM156" s="3447"/>
      <c r="AN156" s="3447"/>
      <c r="AO156" s="3450" t="str">
        <f>AP155&amp;"-"&amp;AR155</f>
        <v>45474-45657</v>
      </c>
      <c r="AP156" s="3451"/>
      <c r="AQ156" s="2872"/>
      <c r="AR156" s="3451"/>
      <c r="AS156" s="2872"/>
      <c r="AT156" s="3447"/>
      <c r="AU156" s="3447"/>
      <c r="AV156" s="3447"/>
      <c r="AW156" s="3450" t="str">
        <f>AX155&amp;"-"&amp;AZ155</f>
        <v>45658-45838</v>
      </c>
      <c r="AX156" s="3451"/>
      <c r="AY156" s="2872"/>
      <c r="AZ156" s="3451"/>
      <c r="BA156" s="2872"/>
      <c r="BB156" s="3447"/>
      <c r="BC156" s="3447"/>
      <c r="BD156" s="3447"/>
      <c r="BE156" s="3450" t="str">
        <f>BF155&amp;"-"&amp;BH155</f>
        <v>45839-46022</v>
      </c>
      <c r="BF156" s="3451"/>
      <c r="BG156" s="2872"/>
      <c r="BH156" s="3451"/>
      <c r="BI156" s="2872"/>
      <c r="BJ156" s="3447"/>
      <c r="BK156" s="3447"/>
      <c r="BL156" s="3447"/>
      <c r="BM156" s="3450" t="str">
        <f>BN155&amp;"-"&amp;BP155</f>
        <v>46023-46203</v>
      </c>
      <c r="BN156" s="3451"/>
      <c r="BO156" s="2872"/>
      <c r="BP156" s="3451"/>
      <c r="BQ156" s="2872"/>
      <c r="BR156" s="3447"/>
      <c r="BS156" s="3447"/>
      <c r="BT156" s="3447"/>
      <c r="BU156" s="3450" t="str">
        <f>BV155&amp;"-"&amp;BX155</f>
        <v>46204-46387</v>
      </c>
      <c r="BV156" s="3451"/>
      <c r="BW156" s="2872"/>
      <c r="BX156" s="3451"/>
      <c r="BY156" s="2872"/>
      <c r="BZ156" s="3447"/>
      <c r="CA156" s="3447"/>
      <c r="CB156" s="3447"/>
      <c r="CC156" s="3450" t="str">
        <f>CD155&amp;"-"&amp;CF155</f>
        <v>46388-46568</v>
      </c>
      <c r="CD156" s="3451"/>
      <c r="CE156" s="2872"/>
      <c r="CF156" s="3451"/>
      <c r="CG156" s="2872"/>
      <c r="CH156" s="3447"/>
      <c r="CI156" s="3447"/>
      <c r="CJ156" s="3447"/>
      <c r="CK156" s="3450" t="str">
        <f>CL155&amp;"-"&amp;CN155</f>
        <v>46569-46752</v>
      </c>
      <c r="CL156" s="3451"/>
      <c r="CM156" s="2872"/>
      <c r="CN156" s="3451"/>
      <c r="CO156" s="2872"/>
      <c r="CP156" s="3447"/>
      <c r="CQ156" s="3447"/>
      <c r="CR156" s="3447"/>
      <c r="CS156" s="3450" t="str">
        <f>CT155&amp;"-"&amp;CV155</f>
        <v>46753-46934</v>
      </c>
      <c r="CT156" s="3451"/>
      <c r="CU156" s="2872"/>
      <c r="CV156" s="3451"/>
      <c r="CW156" s="2872"/>
      <c r="CX156" s="3447"/>
      <c r="CY156" s="3447"/>
      <c r="CZ156" s="3447"/>
      <c r="DA156" s="3450" t="str">
        <f>DB155&amp;"-"&amp;DD155</f>
        <v>46935-47118</v>
      </c>
      <c r="DB156" s="3451"/>
      <c r="DC156" s="2872"/>
      <c r="DD156" s="3451"/>
      <c r="DE156" s="2872"/>
      <c r="DF156" s="3447"/>
      <c r="DG156" s="3814"/>
      <c r="DH156" s="3611"/>
      <c r="DI156" s="3790"/>
      <c r="DJ156" s="3790" t="str">
        <f>IF(T156="","",T156)</f>
        <v/>
      </c>
      <c r="DK156" s="3790"/>
      <c r="DL156" s="3790"/>
    </row>
    <row s="5407" customFormat="1" customHeight="1" ht="15">
      <c r="A157" s="3778"/>
      <c r="B157" s="3778"/>
      <c r="C157" s="3778"/>
      <c r="D157" s="3778"/>
      <c r="E157" s="3779"/>
      <c r="F157" s="3779" t="s">
        <v>89</v>
      </c>
      <c r="G157" s="3779"/>
      <c r="H157" s="3779"/>
      <c r="I157" s="3806"/>
      <c r="J157" s="3797"/>
      <c r="K157" s="3778"/>
      <c r="L157" s="3781"/>
      <c r="M157" s="3603"/>
      <c r="N157" s="3603"/>
      <c r="O157" s="3798"/>
      <c r="P157" s="3799"/>
      <c r="Q157" s="3799"/>
      <c r="R157" s="3800"/>
      <c r="S157" s="5408"/>
      <c r="T157" s="5409" t="s">
        <v>458</v>
      </c>
      <c r="U157" s="5410"/>
      <c r="V157" s="5411"/>
      <c r="W157" s="5412"/>
      <c r="X157" s="5413"/>
      <c r="Y157" s="5414"/>
      <c r="Z157" s="5415"/>
      <c r="AA157" s="5416"/>
      <c r="AB157" s="5417"/>
      <c r="AC157" s="5418"/>
      <c r="AD157" s="5419"/>
      <c r="AE157" s="5420"/>
      <c r="AF157" s="5421"/>
      <c r="AG157" s="5422"/>
      <c r="AH157" s="5423"/>
      <c r="AI157" s="5424"/>
      <c r="AJ157" s="5425"/>
      <c r="AK157" s="5426"/>
      <c r="AL157" s="5427"/>
      <c r="AM157" s="5428"/>
      <c r="AN157" s="5429"/>
      <c r="AO157" s="5430"/>
      <c r="AP157" s="5431"/>
      <c r="AQ157" s="5432"/>
      <c r="AR157" s="5433"/>
      <c r="AS157" s="5434"/>
      <c r="AT157" s="5435"/>
      <c r="AU157" s="5436"/>
      <c r="AV157" s="5437"/>
      <c r="AW157" s="5438"/>
      <c r="AX157" s="5439"/>
      <c r="AY157" s="5440"/>
      <c r="AZ157" s="5441"/>
      <c r="BA157" s="5442"/>
      <c r="BB157" s="5443"/>
      <c r="BC157" s="5444"/>
      <c r="BD157" s="5445"/>
      <c r="BE157" s="5446"/>
      <c r="BF157" s="5447"/>
      <c r="BG157" s="5448"/>
      <c r="BH157" s="5449"/>
      <c r="BI157" s="5450"/>
      <c r="BJ157" s="5451"/>
      <c r="BK157" s="5452"/>
      <c r="BL157" s="5453"/>
      <c r="BM157" s="5454"/>
      <c r="BN157" s="5455"/>
      <c r="BO157" s="5456"/>
      <c r="BP157" s="5457"/>
      <c r="BQ157" s="5458"/>
      <c r="BR157" s="5459"/>
      <c r="BS157" s="5460"/>
      <c r="BT157" s="5461"/>
      <c r="BU157" s="5462"/>
      <c r="BV157" s="5463"/>
      <c r="BW157" s="5464"/>
      <c r="BX157" s="5465"/>
      <c r="BY157" s="5466"/>
      <c r="BZ157" s="5467"/>
      <c r="CA157" s="5468"/>
      <c r="CB157" s="5469"/>
      <c r="CC157" s="5470"/>
      <c r="CD157" s="5471"/>
      <c r="CE157" s="5472"/>
      <c r="CF157" s="5473"/>
      <c r="CG157" s="5474"/>
      <c r="CH157" s="5475"/>
      <c r="CI157" s="5476"/>
      <c r="CJ157" s="5477"/>
      <c r="CK157" s="5478"/>
      <c r="CL157" s="5479"/>
      <c r="CM157" s="5480"/>
      <c r="CN157" s="5481"/>
      <c r="CO157" s="5482"/>
      <c r="CP157" s="5483"/>
      <c r="CQ157" s="5484"/>
      <c r="CR157" s="5485"/>
      <c r="CS157" s="5486"/>
      <c r="CT157" s="5487"/>
      <c r="CU157" s="5488"/>
      <c r="CV157" s="5489"/>
      <c r="CW157" s="5490"/>
      <c r="CX157" s="5491"/>
      <c r="CY157" s="5492"/>
      <c r="CZ157" s="5493"/>
      <c r="DA157" s="5494"/>
      <c r="DB157" s="5495"/>
      <c r="DC157" s="5496"/>
      <c r="DD157" s="5497"/>
      <c r="DE157" s="5498"/>
      <c r="DF157" s="5499"/>
      <c r="DG157" s="3908"/>
      <c r="DH157" s="3611"/>
      <c r="DI157" s="3790"/>
      <c r="DJ157" s="3790" t="str">
        <f>IF(T157="","",T157)</f>
        <v>Добавить вид теплоносителя (параметры теплоносителя)</v>
      </c>
      <c r="DK157" s="3790"/>
      <c r="DL157" s="3790"/>
    </row>
    <row s="5500" customFormat="1" customHeight="1" ht="15">
      <c r="A158" s="3778"/>
      <c r="B158" s="3778"/>
      <c r="C158" s="3778"/>
      <c r="D158" s="3778"/>
      <c r="E158" s="3779"/>
      <c r="F158" s="3779" t="s">
        <v>89</v>
      </c>
      <c r="G158" s="3779"/>
      <c r="H158" s="3779"/>
      <c r="I158" s="3797"/>
      <c r="J158" s="3778"/>
      <c r="K158" s="3778"/>
      <c r="L158" s="3781"/>
      <c r="M158" s="3603"/>
      <c r="N158" s="3798"/>
      <c r="O158" s="3798"/>
      <c r="P158" s="3799"/>
      <c r="Q158" s="3799"/>
      <c r="R158" s="3800"/>
      <c r="S158" s="5501"/>
      <c r="T158" s="5502" t="s">
        <v>459</v>
      </c>
      <c r="U158" s="5503"/>
      <c r="V158" s="5504"/>
      <c r="W158" s="5505"/>
      <c r="X158" s="5506"/>
      <c r="Y158" s="5507"/>
      <c r="Z158" s="5508"/>
      <c r="AA158" s="5509"/>
      <c r="AB158" s="5510"/>
      <c r="AC158" s="5511"/>
      <c r="AD158" s="5512"/>
      <c r="AE158" s="5513"/>
      <c r="AF158" s="5514"/>
      <c r="AG158" s="5515"/>
      <c r="AH158" s="5516"/>
      <c r="AI158" s="5517"/>
      <c r="AJ158" s="5518"/>
      <c r="AK158" s="5519"/>
      <c r="AL158" s="5520"/>
      <c r="AM158" s="5521"/>
      <c r="AN158" s="5522"/>
      <c r="AO158" s="5523"/>
      <c r="AP158" s="5524"/>
      <c r="AQ158" s="5525"/>
      <c r="AR158" s="5526"/>
      <c r="AS158" s="5527"/>
      <c r="AT158" s="5528"/>
      <c r="AU158" s="5529"/>
      <c r="AV158" s="5530"/>
      <c r="AW158" s="5531"/>
      <c r="AX158" s="5532"/>
      <c r="AY158" s="5533"/>
      <c r="AZ158" s="5534"/>
      <c r="BA158" s="5535"/>
      <c r="BB158" s="5536"/>
      <c r="BC158" s="5537"/>
      <c r="BD158" s="5538"/>
      <c r="BE158" s="5539"/>
      <c r="BF158" s="5540"/>
      <c r="BG158" s="5541"/>
      <c r="BH158" s="5542"/>
      <c r="BI158" s="5543"/>
      <c r="BJ158" s="5544"/>
      <c r="BK158" s="5545"/>
      <c r="BL158" s="5546"/>
      <c r="BM158" s="5547"/>
      <c r="BN158" s="5548"/>
      <c r="BO158" s="5549"/>
      <c r="BP158" s="5550"/>
      <c r="BQ158" s="5551"/>
      <c r="BR158" s="5552"/>
      <c r="BS158" s="5553"/>
      <c r="BT158" s="5554"/>
      <c r="BU158" s="5555"/>
      <c r="BV158" s="5556"/>
      <c r="BW158" s="5557"/>
      <c r="BX158" s="5558"/>
      <c r="BY158" s="5559"/>
      <c r="BZ158" s="5560"/>
      <c r="CA158" s="5561"/>
      <c r="CB158" s="5562"/>
      <c r="CC158" s="5563"/>
      <c r="CD158" s="5564"/>
      <c r="CE158" s="5565"/>
      <c r="CF158" s="5566"/>
      <c r="CG158" s="5567"/>
      <c r="CH158" s="5568"/>
      <c r="CI158" s="5569"/>
      <c r="CJ158" s="5570"/>
      <c r="CK158" s="5571"/>
      <c r="CL158" s="5572"/>
      <c r="CM158" s="5573"/>
      <c r="CN158" s="5574"/>
      <c r="CO158" s="5575"/>
      <c r="CP158" s="5576"/>
      <c r="CQ158" s="5577"/>
      <c r="CR158" s="5578"/>
      <c r="CS158" s="5579"/>
      <c r="CT158" s="5580"/>
      <c r="CU158" s="5581"/>
      <c r="CV158" s="5582"/>
      <c r="CW158" s="5583"/>
      <c r="CX158" s="5584"/>
      <c r="CY158" s="5585"/>
      <c r="CZ158" s="5586"/>
      <c r="DA158" s="5587"/>
      <c r="DB158" s="5588"/>
      <c r="DC158" s="5589"/>
      <c r="DD158" s="5590"/>
      <c r="DE158" s="5591"/>
      <c r="DF158" s="5592"/>
      <c r="DG158" s="5593"/>
      <c r="DH158" s="3611"/>
      <c r="DI158" s="3790"/>
      <c r="DJ158" s="3790" t="str">
        <f>IF(T158="","",T158)</f>
        <v>Добавить группу потребителей</v>
      </c>
      <c r="DK158" s="3790"/>
      <c r="DL158" s="3790"/>
    </row>
    <row s="5594" customFormat="1" customHeight="1" ht="14.25">
      <c r="A159" s="3778"/>
      <c r="B159" s="3778"/>
      <c r="C159" s="3778"/>
      <c r="D159" s="3778"/>
      <c r="E159" s="3779"/>
      <c r="F159" s="3779" t="s">
        <v>89</v>
      </c>
      <c r="G159" s="3779"/>
      <c r="H159" s="3780"/>
      <c r="I159" s="3778"/>
      <c r="J159" s="3778"/>
      <c r="K159" s="3778"/>
      <c r="L159" s="3781"/>
      <c r="M159" s="3782"/>
      <c r="N159" s="3782"/>
      <c r="O159" s="3603"/>
      <c r="P159" s="4004"/>
      <c r="Q159" s="4005"/>
      <c r="R159" s="4006"/>
      <c r="S159" s="4007"/>
      <c r="T159" s="4008"/>
      <c r="U159" s="3599"/>
      <c r="V159" s="3599"/>
      <c r="W159" s="3599"/>
      <c r="X159" s="3599"/>
      <c r="Y159" s="3599"/>
      <c r="Z159" s="3599"/>
      <c r="AA159" s="3599"/>
      <c r="AB159" s="3599"/>
      <c r="AC159" s="3599"/>
      <c r="AD159" s="3599"/>
      <c r="AE159" s="3599"/>
      <c r="AF159" s="3599"/>
      <c r="AG159" s="3599"/>
      <c r="AH159" s="3599"/>
      <c r="AI159" s="3599"/>
      <c r="AJ159" s="3599"/>
      <c r="AK159" s="3599"/>
      <c r="AL159" s="3599"/>
      <c r="AM159" s="3599"/>
      <c r="AN159" s="3599"/>
      <c r="AO159" s="3599"/>
      <c r="AP159" s="3599"/>
      <c r="AQ159" s="3599"/>
      <c r="AR159" s="3599"/>
      <c r="AS159" s="3599"/>
      <c r="AT159" s="3599"/>
      <c r="AU159" s="3599"/>
      <c r="AV159" s="3599"/>
      <c r="AW159" s="3599"/>
      <c r="AX159" s="3599"/>
      <c r="AY159" s="3599"/>
      <c r="AZ159" s="3599"/>
      <c r="BA159" s="3599"/>
      <c r="BB159" s="3599"/>
      <c r="BC159" s="3599"/>
      <c r="BD159" s="3599"/>
      <c r="BE159" s="3599"/>
      <c r="BF159" s="3599"/>
      <c r="BG159" s="3599"/>
      <c r="BH159" s="3599"/>
      <c r="BI159" s="3599"/>
      <c r="BJ159" s="3599"/>
      <c r="BK159" s="3599"/>
      <c r="BL159" s="3599"/>
      <c r="BM159" s="3599"/>
      <c r="BN159" s="3599"/>
      <c r="BO159" s="3599"/>
      <c r="BP159" s="3599"/>
      <c r="BQ159" s="3599"/>
      <c r="BR159" s="3599"/>
      <c r="BS159" s="3599"/>
      <c r="BT159" s="3599"/>
      <c r="BU159" s="3599"/>
      <c r="BV159" s="3599"/>
      <c r="BW159" s="3599"/>
      <c r="BX159" s="3599"/>
      <c r="BY159" s="3599"/>
      <c r="BZ159" s="3599"/>
      <c r="CA159" s="3599"/>
      <c r="CB159" s="3599"/>
      <c r="CC159" s="3599"/>
      <c r="CD159" s="3599"/>
      <c r="CE159" s="3599"/>
      <c r="CF159" s="3599"/>
      <c r="CG159" s="3599"/>
      <c r="CH159" s="3599"/>
      <c r="CI159" s="3599"/>
      <c r="CJ159" s="3599"/>
      <c r="CK159" s="3599"/>
      <c r="CL159" s="3599"/>
      <c r="CM159" s="3599"/>
      <c r="CN159" s="3599"/>
      <c r="CO159" s="3599"/>
      <c r="CP159" s="3599"/>
      <c r="CQ159" s="3599"/>
      <c r="CR159" s="3599"/>
      <c r="CS159" s="3599"/>
      <c r="CT159" s="3599"/>
      <c r="CU159" s="3599"/>
      <c r="CV159" s="3599"/>
      <c r="CW159" s="3599"/>
      <c r="CX159" s="3599"/>
      <c r="CY159" s="3599"/>
      <c r="CZ159" s="3599"/>
      <c r="DA159" s="3599"/>
      <c r="DB159" s="3599"/>
      <c r="DC159" s="3599"/>
      <c r="DD159" s="3599"/>
      <c r="DE159" s="3599"/>
      <c r="DF159" s="3599"/>
      <c r="DG159" s="4009"/>
      <c r="DH159" s="3611"/>
      <c r="DI159" s="3790"/>
      <c r="DJ159" s="3790" t="str">
        <f>IF(T159="","",T159)</f>
        <v/>
      </c>
      <c r="DK159" s="3790"/>
      <c r="DL159" s="3790"/>
    </row>
    <row s="5595" customFormat="1" customHeight="1" ht="0.75">
      <c r="A160" s="4011"/>
      <c r="B160" s="4011"/>
      <c r="C160" s="4011"/>
      <c r="D160" s="4011"/>
      <c r="E160" s="3779"/>
      <c r="F160" s="3779" t="s">
        <v>89</v>
      </c>
      <c r="G160" s="3780"/>
      <c r="H160" s="4011"/>
      <c r="I160" s="4011"/>
      <c r="J160" s="4011"/>
      <c r="K160" s="4011"/>
      <c r="L160" s="4012"/>
      <c r="M160" s="4013"/>
      <c r="N160" s="4013"/>
      <c r="O160" s="3611"/>
      <c r="P160" s="4014"/>
      <c r="Q160" s="4015"/>
      <c r="R160" s="4014"/>
      <c r="S160" s="4016"/>
      <c r="T160" s="4017" t="s">
        <v>191</v>
      </c>
      <c r="U160" s="3601"/>
      <c r="V160" s="3601"/>
      <c r="W160" s="3601"/>
      <c r="X160" s="3601"/>
      <c r="Y160" s="3601"/>
      <c r="Z160" s="3601"/>
      <c r="AA160" s="3601"/>
      <c r="AB160" s="3601"/>
      <c r="AC160" s="3601"/>
      <c r="AD160" s="3601"/>
      <c r="AE160" s="3601"/>
      <c r="AF160" s="3601"/>
      <c r="AG160" s="3601"/>
      <c r="AH160" s="3601"/>
      <c r="AI160" s="3601"/>
      <c r="AJ160" s="3601"/>
      <c r="AK160" s="3601"/>
      <c r="AL160" s="3601"/>
      <c r="AM160" s="3601"/>
      <c r="AN160" s="3601"/>
      <c r="AO160" s="3601"/>
      <c r="AP160" s="3601"/>
      <c r="AQ160" s="3601"/>
      <c r="AR160" s="3601"/>
      <c r="AS160" s="3601"/>
      <c r="AT160" s="3601"/>
      <c r="AU160" s="3601"/>
      <c r="AV160" s="3601"/>
      <c r="AW160" s="3601"/>
      <c r="AX160" s="3601"/>
      <c r="AY160" s="3601"/>
      <c r="AZ160" s="3601"/>
      <c r="BA160" s="3601"/>
      <c r="BB160" s="3601"/>
      <c r="BC160" s="3601"/>
      <c r="BD160" s="3601"/>
      <c r="BE160" s="3601"/>
      <c r="BF160" s="3601"/>
      <c r="BG160" s="3601"/>
      <c r="BH160" s="3601"/>
      <c r="BI160" s="3601"/>
      <c r="BJ160" s="3601"/>
      <c r="BK160" s="3601"/>
      <c r="BL160" s="3601"/>
      <c r="BM160" s="3601"/>
      <c r="BN160" s="3601"/>
      <c r="BO160" s="3601"/>
      <c r="BP160" s="3601"/>
      <c r="BQ160" s="3601"/>
      <c r="BR160" s="3601"/>
      <c r="BS160" s="3601"/>
      <c r="BT160" s="3601"/>
      <c r="BU160" s="3601"/>
      <c r="BV160" s="3601"/>
      <c r="BW160" s="3601"/>
      <c r="BX160" s="3601"/>
      <c r="BY160" s="3601"/>
      <c r="BZ160" s="3601"/>
      <c r="CA160" s="3601"/>
      <c r="CB160" s="3601"/>
      <c r="CC160" s="3601"/>
      <c r="CD160" s="3601"/>
      <c r="CE160" s="3601"/>
      <c r="CF160" s="3601"/>
      <c r="CG160" s="3601"/>
      <c r="CH160" s="3601"/>
      <c r="CI160" s="3601"/>
      <c r="CJ160" s="3601"/>
      <c r="CK160" s="3601"/>
      <c r="CL160" s="3601"/>
      <c r="CM160" s="3601"/>
      <c r="CN160" s="3601"/>
      <c r="CO160" s="3601"/>
      <c r="CP160" s="3601"/>
      <c r="CQ160" s="3601"/>
      <c r="CR160" s="3601"/>
      <c r="CS160" s="3601"/>
      <c r="CT160" s="3601"/>
      <c r="CU160" s="3601"/>
      <c r="CV160" s="3601"/>
      <c r="CW160" s="3601"/>
      <c r="CX160" s="3601"/>
      <c r="CY160" s="3601"/>
      <c r="CZ160" s="3601"/>
      <c r="DA160" s="3601"/>
      <c r="DB160" s="3601"/>
      <c r="DC160" s="3601"/>
      <c r="DD160" s="3601"/>
      <c r="DE160" s="3601"/>
      <c r="DF160" s="3601"/>
      <c r="DG160" s="3601"/>
      <c r="DH160" s="3611"/>
      <c r="DI160" s="3790"/>
      <c r="DJ160" s="3790" t="str">
        <f>IF(T160="","",T160)</f>
        <v>Добавить источник для дифференциации</v>
      </c>
      <c r="DK160" s="3790"/>
      <c r="DL160" s="3790"/>
    </row>
    <row s="5596" customFormat="1" customHeight="1" ht="0.75">
      <c r="A161" s="4011"/>
      <c r="B161" s="4011"/>
      <c r="C161" s="4011"/>
      <c r="D161" s="4011"/>
      <c r="E161" s="3779"/>
      <c r="F161" s="3780" t="s">
        <v>89</v>
      </c>
      <c r="G161" s="4011"/>
      <c r="H161" s="4011"/>
      <c r="I161" s="4011"/>
      <c r="J161" s="4011"/>
      <c r="K161" s="4011"/>
      <c r="L161" s="4012"/>
      <c r="M161" s="4019"/>
      <c r="N161" s="4019"/>
      <c r="O161" s="3611"/>
      <c r="P161" s="4014"/>
      <c r="Q161" s="4015"/>
      <c r="R161" s="4014"/>
      <c r="S161" s="4020"/>
      <c r="T161" s="4021" t="s">
        <v>192</v>
      </c>
      <c r="U161" s="3602"/>
      <c r="V161" s="3602"/>
      <c r="W161" s="3602"/>
      <c r="X161" s="3602"/>
      <c r="Y161" s="3602"/>
      <c r="Z161" s="3602"/>
      <c r="AA161" s="3602"/>
      <c r="AB161" s="3602"/>
      <c r="AC161" s="3602"/>
      <c r="AD161" s="3602"/>
      <c r="AE161" s="3602"/>
      <c r="AF161" s="3602"/>
      <c r="AG161" s="3602"/>
      <c r="AH161" s="3602"/>
      <c r="AI161" s="3602"/>
      <c r="AJ161" s="3602"/>
      <c r="AK161" s="3602"/>
      <c r="AL161" s="3602"/>
      <c r="AM161" s="3602"/>
      <c r="AN161" s="3602"/>
      <c r="AO161" s="3602"/>
      <c r="AP161" s="3602"/>
      <c r="AQ161" s="3602"/>
      <c r="AR161" s="3602"/>
      <c r="AS161" s="3602"/>
      <c r="AT161" s="3602"/>
      <c r="AU161" s="3602"/>
      <c r="AV161" s="3602"/>
      <c r="AW161" s="3602"/>
      <c r="AX161" s="3602"/>
      <c r="AY161" s="3602"/>
      <c r="AZ161" s="3602"/>
      <c r="BA161" s="3602"/>
      <c r="BB161" s="3602"/>
      <c r="BC161" s="3602"/>
      <c r="BD161" s="3602"/>
      <c r="BE161" s="3602"/>
      <c r="BF161" s="3602"/>
      <c r="BG161" s="3602"/>
      <c r="BH161" s="3602"/>
      <c r="BI161" s="3602"/>
      <c r="BJ161" s="3602"/>
      <c r="BK161" s="3602"/>
      <c r="BL161" s="3602"/>
      <c r="BM161" s="3602"/>
      <c r="BN161" s="3602"/>
      <c r="BO161" s="3602"/>
      <c r="BP161" s="3602"/>
      <c r="BQ161" s="3602"/>
      <c r="BR161" s="3602"/>
      <c r="BS161" s="3602"/>
      <c r="BT161" s="3602"/>
      <c r="BU161" s="3602"/>
      <c r="BV161" s="3602"/>
      <c r="BW161" s="3602"/>
      <c r="BX161" s="3602"/>
      <c r="BY161" s="3602"/>
      <c r="BZ161" s="3602"/>
      <c r="CA161" s="3602"/>
      <c r="CB161" s="3602"/>
      <c r="CC161" s="3602"/>
      <c r="CD161" s="3602"/>
      <c r="CE161" s="3602"/>
      <c r="CF161" s="3602"/>
      <c r="CG161" s="3602"/>
      <c r="CH161" s="3602"/>
      <c r="CI161" s="3602"/>
      <c r="CJ161" s="3602"/>
      <c r="CK161" s="3602"/>
      <c r="CL161" s="3602"/>
      <c r="CM161" s="3602"/>
      <c r="CN161" s="3602"/>
      <c r="CO161" s="3602"/>
      <c r="CP161" s="3602"/>
      <c r="CQ161" s="3602"/>
      <c r="CR161" s="3602"/>
      <c r="CS161" s="3602"/>
      <c r="CT161" s="3602"/>
      <c r="CU161" s="3602"/>
      <c r="CV161" s="3602"/>
      <c r="CW161" s="3602"/>
      <c r="CX161" s="3602"/>
      <c r="CY161" s="3602"/>
      <c r="CZ161" s="3602"/>
      <c r="DA161" s="3602"/>
      <c r="DB161" s="3602"/>
      <c r="DC161" s="3602"/>
      <c r="DD161" s="3602"/>
      <c r="DE161" s="3602"/>
      <c r="DF161" s="3602"/>
      <c r="DG161" s="3602"/>
      <c r="DH161" s="3611"/>
      <c r="DI161" s="3790"/>
      <c r="DJ161" s="3790" t="str">
        <f>IF(T161="","",T161)</f>
        <v>Добавить централизованную систему для дифференциации</v>
      </c>
      <c r="DK161" s="3790"/>
      <c r="DL161" s="3790"/>
    </row>
    <row s="5597" customFormat="1" customHeight="1" ht="21">
      <c r="A162" s="3778"/>
      <c r="B162" s="3778" t="s">
        <v>226</v>
      </c>
      <c r="C162" s="3778"/>
      <c r="D162" s="3778"/>
      <c r="E162" s="3779"/>
      <c r="F162" s="3780" t="s">
        <v>116</v>
      </c>
      <c r="G162" s="3778"/>
      <c r="H162" s="3778"/>
      <c r="I162" s="3778"/>
      <c r="J162" s="3778"/>
      <c r="K162" s="3778"/>
      <c r="L162" s="3781"/>
      <c r="M162" s="3782"/>
      <c r="N162" s="3782"/>
      <c r="O162" s="3782"/>
      <c r="P162" s="3783"/>
      <c r="Q162" s="3784"/>
      <c r="R162" s="3785"/>
      <c r="S162" s="3786" t="str">
        <f>INDEX(PT_DIFFERENTIATION_NUM_TER,MATCH(B162,PT_DIFFERENTIATION_TER_ID,0))</f>
        <v>2.5</v>
      </c>
      <c r="T162" s="3787" t="s">
        <v>444</v>
      </c>
      <c r="U162" s="3788"/>
      <c r="V162" s="3430"/>
      <c r="W162" s="3431"/>
      <c r="X162" s="3431"/>
      <c r="Y162" s="3431"/>
      <c r="Z162" s="3431"/>
      <c r="AA162" s="3431"/>
      <c r="AB162" s="3431"/>
      <c r="AC162" s="3432"/>
      <c r="AD162" s="3430" t="str">
        <f>INDEX(PT_DIFFERENTIATION_TER,MATCH(B162,PT_DIFFERENTIATION_TER_ID,0))</f>
        <v>Территория 5</v>
      </c>
      <c r="AE162" s="3431"/>
      <c r="AF162" s="3431"/>
      <c r="AG162" s="3431"/>
      <c r="AH162" s="3431"/>
      <c r="AI162" s="3431"/>
      <c r="AJ162" s="3431"/>
      <c r="AK162" s="3431"/>
      <c r="AL162" s="3430"/>
      <c r="AM162" s="3431"/>
      <c r="AN162" s="3431"/>
      <c r="AO162" s="3431"/>
      <c r="AP162" s="3431"/>
      <c r="AQ162" s="3431"/>
      <c r="AR162" s="3431"/>
      <c r="AS162" s="3432"/>
      <c r="AT162" s="3430"/>
      <c r="AU162" s="3431"/>
      <c r="AV162" s="3431"/>
      <c r="AW162" s="3431"/>
      <c r="AX162" s="3431"/>
      <c r="AY162" s="3431"/>
      <c r="AZ162" s="3431"/>
      <c r="BA162" s="3432"/>
      <c r="BB162" s="3430"/>
      <c r="BC162" s="3431"/>
      <c r="BD162" s="3431"/>
      <c r="BE162" s="3431"/>
      <c r="BF162" s="3431"/>
      <c r="BG162" s="3431"/>
      <c r="BH162" s="3431"/>
      <c r="BI162" s="3432"/>
      <c r="BJ162" s="3430"/>
      <c r="BK162" s="3431"/>
      <c r="BL162" s="3431"/>
      <c r="BM162" s="3431"/>
      <c r="BN162" s="3431"/>
      <c r="BO162" s="3431"/>
      <c r="BP162" s="3431"/>
      <c r="BQ162" s="3432"/>
      <c r="BR162" s="3430"/>
      <c r="BS162" s="3431"/>
      <c r="BT162" s="3431"/>
      <c r="BU162" s="3431"/>
      <c r="BV162" s="3431"/>
      <c r="BW162" s="3431"/>
      <c r="BX162" s="3431"/>
      <c r="BY162" s="3432"/>
      <c r="BZ162" s="3430"/>
      <c r="CA162" s="3431"/>
      <c r="CB162" s="3431"/>
      <c r="CC162" s="3431"/>
      <c r="CD162" s="3431"/>
      <c r="CE162" s="3431"/>
      <c r="CF162" s="3431"/>
      <c r="CG162" s="3432"/>
      <c r="CH162" s="3430"/>
      <c r="CI162" s="3431"/>
      <c r="CJ162" s="3431"/>
      <c r="CK162" s="3431"/>
      <c r="CL162" s="3431"/>
      <c r="CM162" s="3431"/>
      <c r="CN162" s="3431"/>
      <c r="CO162" s="3432"/>
      <c r="CP162" s="3430"/>
      <c r="CQ162" s="3431"/>
      <c r="CR162" s="3431"/>
      <c r="CS162" s="3431"/>
      <c r="CT162" s="3431"/>
      <c r="CU162" s="3431"/>
      <c r="CV162" s="3431"/>
      <c r="CW162" s="3432"/>
      <c r="CX162" s="3430"/>
      <c r="CY162" s="3431"/>
      <c r="CZ162" s="3431"/>
      <c r="DA162" s="3431"/>
      <c r="DB162" s="3431"/>
      <c r="DC162" s="3431"/>
      <c r="DD162" s="3431"/>
      <c r="DE162" s="3432"/>
      <c r="DF162" s="3432"/>
      <c r="DG162" s="3789" t="s">
        <v>445</v>
      </c>
      <c r="DH162" s="3611"/>
      <c r="DI162" s="3790"/>
      <c r="DJ162" s="3790" t="str">
        <f>IF(T162="","",T162)</f>
        <v>Территория действия тарифа</v>
      </c>
      <c r="DK162" s="3790"/>
      <c r="DL162" s="3790"/>
    </row>
    <row s="5598" customFormat="1" customHeight="1" ht="23.25">
      <c r="A163" s="3778"/>
      <c r="B163" s="3778"/>
      <c r="C163" s="3778" t="s">
        <v>227</v>
      </c>
      <c r="D163" s="3778"/>
      <c r="E163" s="3779"/>
      <c r="F163" s="3779" t="s">
        <v>90</v>
      </c>
      <c r="G163" s="3780">
        <v>1</v>
      </c>
      <c r="H163" s="3778"/>
      <c r="I163" s="3778"/>
      <c r="J163" s="3778"/>
      <c r="K163" s="3778"/>
      <c r="L163" s="3781"/>
      <c r="M163" s="3782"/>
      <c r="N163" s="3782"/>
      <c r="O163" s="3782"/>
      <c r="P163" s="3792"/>
      <c r="Q163" s="3784"/>
      <c r="R163" s="3785"/>
      <c r="S163" s="3786" t="str">
        <f>INDEX(PT_DIFFERENTIATION_NUM_CS,MATCH(C163,PT_DIFFERENTIATION_CS_ID,0))</f>
        <v>2.5.1</v>
      </c>
      <c r="T163" s="3793" t="s">
        <v>446</v>
      </c>
      <c r="U163" s="3788"/>
      <c r="V163" s="3430"/>
      <c r="W163" s="3431"/>
      <c r="X163" s="3431"/>
      <c r="Y163" s="3431"/>
      <c r="Z163" s="3431"/>
      <c r="AA163" s="3431"/>
      <c r="AB163" s="3431"/>
      <c r="AC163" s="3432"/>
      <c r="AD163" s="3430" t="str">
        <f>INDEX(PT_DIFFERENTIATION_CS,MATCH(C163,PT_DIFFERENTIATION_CS_ID,0))</f>
        <v>без дифференциации</v>
      </c>
      <c r="AE163" s="3431"/>
      <c r="AF163" s="3431"/>
      <c r="AG163" s="3431"/>
      <c r="AH163" s="3431"/>
      <c r="AI163" s="3431"/>
      <c r="AJ163" s="3431"/>
      <c r="AK163" s="3431"/>
      <c r="AL163" s="3430"/>
      <c r="AM163" s="3431"/>
      <c r="AN163" s="3431"/>
      <c r="AO163" s="3431"/>
      <c r="AP163" s="3431"/>
      <c r="AQ163" s="3431"/>
      <c r="AR163" s="3431"/>
      <c r="AS163" s="3432"/>
      <c r="AT163" s="3430"/>
      <c r="AU163" s="3431"/>
      <c r="AV163" s="3431"/>
      <c r="AW163" s="3431"/>
      <c r="AX163" s="3431"/>
      <c r="AY163" s="3431"/>
      <c r="AZ163" s="3431"/>
      <c r="BA163" s="3432"/>
      <c r="BB163" s="3430"/>
      <c r="BC163" s="3431"/>
      <c r="BD163" s="3431"/>
      <c r="BE163" s="3431"/>
      <c r="BF163" s="3431"/>
      <c r="BG163" s="3431"/>
      <c r="BH163" s="3431"/>
      <c r="BI163" s="3432"/>
      <c r="BJ163" s="3430"/>
      <c r="BK163" s="3431"/>
      <c r="BL163" s="3431"/>
      <c r="BM163" s="3431"/>
      <c r="BN163" s="3431"/>
      <c r="BO163" s="3431"/>
      <c r="BP163" s="3431"/>
      <c r="BQ163" s="3432"/>
      <c r="BR163" s="3430"/>
      <c r="BS163" s="3431"/>
      <c r="BT163" s="3431"/>
      <c r="BU163" s="3431"/>
      <c r="BV163" s="3431"/>
      <c r="BW163" s="3431"/>
      <c r="BX163" s="3431"/>
      <c r="BY163" s="3432"/>
      <c r="BZ163" s="3430"/>
      <c r="CA163" s="3431"/>
      <c r="CB163" s="3431"/>
      <c r="CC163" s="3431"/>
      <c r="CD163" s="3431"/>
      <c r="CE163" s="3431"/>
      <c r="CF163" s="3431"/>
      <c r="CG163" s="3432"/>
      <c r="CH163" s="3430"/>
      <c r="CI163" s="3431"/>
      <c r="CJ163" s="3431"/>
      <c r="CK163" s="3431"/>
      <c r="CL163" s="3431"/>
      <c r="CM163" s="3431"/>
      <c r="CN163" s="3431"/>
      <c r="CO163" s="3432"/>
      <c r="CP163" s="3430"/>
      <c r="CQ163" s="3431"/>
      <c r="CR163" s="3431"/>
      <c r="CS163" s="3431"/>
      <c r="CT163" s="3431"/>
      <c r="CU163" s="3431"/>
      <c r="CV163" s="3431"/>
      <c r="CW163" s="3432"/>
      <c r="CX163" s="3430"/>
      <c r="CY163" s="3431"/>
      <c r="CZ163" s="3431"/>
      <c r="DA163" s="3431"/>
      <c r="DB163" s="3431"/>
      <c r="DC163" s="3431"/>
      <c r="DD163" s="3431"/>
      <c r="DE163" s="3432"/>
      <c r="DF163" s="3432"/>
      <c r="DG163" s="3789" t="s">
        <v>447</v>
      </c>
      <c r="DH163" s="3611"/>
      <c r="DI163" s="3790"/>
      <c r="DJ163" s="3790" t="str">
        <f>IF(T163="","",T163)</f>
        <v>Наименование системы теплоснабжения </v>
      </c>
      <c r="DK163" s="3790"/>
      <c r="DL163" s="3790"/>
    </row>
    <row s="5599" customFormat="1" customHeight="1" ht="21">
      <c r="A164" s="3778"/>
      <c r="B164" s="3778"/>
      <c r="C164" s="3778"/>
      <c r="D164" s="3778" t="s">
        <v>228</v>
      </c>
      <c r="E164" s="3779"/>
      <c r="F164" s="3779" t="s">
        <v>90</v>
      </c>
      <c r="G164" s="3779"/>
      <c r="H164" s="3780">
        <v>1</v>
      </c>
      <c r="I164" s="3778"/>
      <c r="J164" s="3778"/>
      <c r="K164" s="3778"/>
      <c r="L164" s="3781"/>
      <c r="M164" s="3782"/>
      <c r="N164" s="3782"/>
      <c r="O164" s="3782"/>
      <c r="P164" s="3792"/>
      <c r="Q164" s="3784"/>
      <c r="R164" s="3785"/>
      <c r="S164" s="3786" t="str">
        <f>INDEX(PT_DIFFERENTIATION_NUM_IST_TE,MATCH(D164,PT_DIFFERENTIATION_IST_TE_ID,0))</f>
        <v>2.5.1.1</v>
      </c>
      <c r="T164" s="3795" t="s">
        <v>448</v>
      </c>
      <c r="U164" s="3788"/>
      <c r="V164" s="3430"/>
      <c r="W164" s="3431"/>
      <c r="X164" s="3431"/>
      <c r="Y164" s="3431"/>
      <c r="Z164" s="3431"/>
      <c r="AA164" s="3431"/>
      <c r="AB164" s="3431"/>
      <c r="AC164" s="3432"/>
      <c r="AD164" s="3430" t="str">
        <f>INDEX(PT_DIFFERENTIATION_IST_TE,MATCH(D164,PT_DIFFERENTIATION_IST_TE_ID,0))</f>
        <v>город Кандалакша (кроме микрорайона Нива-3)</v>
      </c>
      <c r="AE164" s="3431"/>
      <c r="AF164" s="3431"/>
      <c r="AG164" s="3431"/>
      <c r="AH164" s="3431"/>
      <c r="AI164" s="3431"/>
      <c r="AJ164" s="3431"/>
      <c r="AK164" s="3431"/>
      <c r="AL164" s="3430"/>
      <c r="AM164" s="3431"/>
      <c r="AN164" s="3431"/>
      <c r="AO164" s="3431"/>
      <c r="AP164" s="3431"/>
      <c r="AQ164" s="3431"/>
      <c r="AR164" s="3431"/>
      <c r="AS164" s="3432"/>
      <c r="AT164" s="3430"/>
      <c r="AU164" s="3431"/>
      <c r="AV164" s="3431"/>
      <c r="AW164" s="3431"/>
      <c r="AX164" s="3431"/>
      <c r="AY164" s="3431"/>
      <c r="AZ164" s="3431"/>
      <c r="BA164" s="3432"/>
      <c r="BB164" s="3430"/>
      <c r="BC164" s="3431"/>
      <c r="BD164" s="3431"/>
      <c r="BE164" s="3431"/>
      <c r="BF164" s="3431"/>
      <c r="BG164" s="3431"/>
      <c r="BH164" s="3431"/>
      <c r="BI164" s="3432"/>
      <c r="BJ164" s="3430"/>
      <c r="BK164" s="3431"/>
      <c r="BL164" s="3431"/>
      <c r="BM164" s="3431"/>
      <c r="BN164" s="3431"/>
      <c r="BO164" s="3431"/>
      <c r="BP164" s="3431"/>
      <c r="BQ164" s="3432"/>
      <c r="BR164" s="3430"/>
      <c r="BS164" s="3431"/>
      <c r="BT164" s="3431"/>
      <c r="BU164" s="3431"/>
      <c r="BV164" s="3431"/>
      <c r="BW164" s="3431"/>
      <c r="BX164" s="3431"/>
      <c r="BY164" s="3432"/>
      <c r="BZ164" s="3430"/>
      <c r="CA164" s="3431"/>
      <c r="CB164" s="3431"/>
      <c r="CC164" s="3431"/>
      <c r="CD164" s="3431"/>
      <c r="CE164" s="3431"/>
      <c r="CF164" s="3431"/>
      <c r="CG164" s="3432"/>
      <c r="CH164" s="3430"/>
      <c r="CI164" s="3431"/>
      <c r="CJ164" s="3431"/>
      <c r="CK164" s="3431"/>
      <c r="CL164" s="3431"/>
      <c r="CM164" s="3431"/>
      <c r="CN164" s="3431"/>
      <c r="CO164" s="3432"/>
      <c r="CP164" s="3430"/>
      <c r="CQ164" s="3431"/>
      <c r="CR164" s="3431"/>
      <c r="CS164" s="3431"/>
      <c r="CT164" s="3431"/>
      <c r="CU164" s="3431"/>
      <c r="CV164" s="3431"/>
      <c r="CW164" s="3432"/>
      <c r="CX164" s="3430"/>
      <c r="CY164" s="3431"/>
      <c r="CZ164" s="3431"/>
      <c r="DA164" s="3431"/>
      <c r="DB164" s="3431"/>
      <c r="DC164" s="3431"/>
      <c r="DD164" s="3431"/>
      <c r="DE164" s="3432"/>
      <c r="DF164" s="3432"/>
      <c r="DG164" s="3789" t="s">
        <v>449</v>
      </c>
      <c r="DH164" s="3611"/>
      <c r="DI164" s="3790"/>
      <c r="DJ164" s="3790" t="str">
        <f>IF(T164="","",T164)</f>
        <v>Источник тепловой энергии  </v>
      </c>
      <c r="DK164" s="3790"/>
      <c r="DL164" s="3790"/>
    </row>
    <row s="5600" customFormat="1" customHeight="1" ht="14.25">
      <c r="A165" s="3778"/>
      <c r="B165" s="3778"/>
      <c r="C165" s="3778"/>
      <c r="D165" s="3778"/>
      <c r="E165" s="3779"/>
      <c r="F165" s="3779" t="s">
        <v>90</v>
      </c>
      <c r="G165" s="3779"/>
      <c r="H165" s="3779"/>
      <c r="I165" s="3797" t="str">
        <f>S164&amp;".1"</f>
        <v>2.5.1.1.1</v>
      </c>
      <c r="J165" s="3778"/>
      <c r="K165" s="3778"/>
      <c r="L165" s="3781" t="s">
        <v>450</v>
      </c>
      <c r="M165" s="3603"/>
      <c r="N165" s="3798"/>
      <c r="O165" s="3798"/>
      <c r="P165" s="3799">
        <v>1</v>
      </c>
      <c r="Q165" s="3799"/>
      <c r="R165" s="3800"/>
      <c r="S165" s="3801"/>
      <c r="T165" s="3802"/>
      <c r="U165" s="3803"/>
      <c r="V165" s="3439"/>
      <c r="W165" s="3440"/>
      <c r="X165" s="3440"/>
      <c r="Y165" s="3440"/>
      <c r="Z165" s="3440"/>
      <c r="AA165" s="3440"/>
      <c r="AB165" s="3440"/>
      <c r="AC165" s="3441"/>
      <c r="AD165" s="3439"/>
      <c r="AE165" s="3440"/>
      <c r="AF165" s="3440"/>
      <c r="AG165" s="3440"/>
      <c r="AH165" s="3440"/>
      <c r="AI165" s="3440"/>
      <c r="AJ165" s="3440"/>
      <c r="AK165" s="3440"/>
      <c r="AL165" s="3439"/>
      <c r="AM165" s="3440"/>
      <c r="AN165" s="3440"/>
      <c r="AO165" s="3440"/>
      <c r="AP165" s="3440"/>
      <c r="AQ165" s="3440"/>
      <c r="AR165" s="3440"/>
      <c r="AS165" s="3441"/>
      <c r="AT165" s="3439"/>
      <c r="AU165" s="3440"/>
      <c r="AV165" s="3440"/>
      <c r="AW165" s="3440"/>
      <c r="AX165" s="3440"/>
      <c r="AY165" s="3440"/>
      <c r="AZ165" s="3440"/>
      <c r="BA165" s="3441"/>
      <c r="BB165" s="3439"/>
      <c r="BC165" s="3440"/>
      <c r="BD165" s="3440"/>
      <c r="BE165" s="3440"/>
      <c r="BF165" s="3440"/>
      <c r="BG165" s="3440"/>
      <c r="BH165" s="3440"/>
      <c r="BI165" s="3441"/>
      <c r="BJ165" s="3439"/>
      <c r="BK165" s="3440"/>
      <c r="BL165" s="3440"/>
      <c r="BM165" s="3440"/>
      <c r="BN165" s="3440"/>
      <c r="BO165" s="3440"/>
      <c r="BP165" s="3440"/>
      <c r="BQ165" s="3441"/>
      <c r="BR165" s="3439"/>
      <c r="BS165" s="3440"/>
      <c r="BT165" s="3440"/>
      <c r="BU165" s="3440"/>
      <c r="BV165" s="3440"/>
      <c r="BW165" s="3440"/>
      <c r="BX165" s="3440"/>
      <c r="BY165" s="3441"/>
      <c r="BZ165" s="3439"/>
      <c r="CA165" s="3440"/>
      <c r="CB165" s="3440"/>
      <c r="CC165" s="3440"/>
      <c r="CD165" s="3440"/>
      <c r="CE165" s="3440"/>
      <c r="CF165" s="3440"/>
      <c r="CG165" s="3441"/>
      <c r="CH165" s="3439"/>
      <c r="CI165" s="3440"/>
      <c r="CJ165" s="3440"/>
      <c r="CK165" s="3440"/>
      <c r="CL165" s="3440"/>
      <c r="CM165" s="3440"/>
      <c r="CN165" s="3440"/>
      <c r="CO165" s="3441"/>
      <c r="CP165" s="3439"/>
      <c r="CQ165" s="3440"/>
      <c r="CR165" s="3440"/>
      <c r="CS165" s="3440"/>
      <c r="CT165" s="3440"/>
      <c r="CU165" s="3440"/>
      <c r="CV165" s="3440"/>
      <c r="CW165" s="3441"/>
      <c r="CX165" s="3439"/>
      <c r="CY165" s="3440"/>
      <c r="CZ165" s="3440"/>
      <c r="DA165" s="3440"/>
      <c r="DB165" s="3440"/>
      <c r="DC165" s="3440"/>
      <c r="DD165" s="3440"/>
      <c r="DE165" s="3441"/>
      <c r="DF165" s="3441"/>
      <c r="DG165" s="3804"/>
      <c r="DH165" s="3611"/>
      <c r="DI165" s="3790"/>
      <c r="DJ165" s="3790" t="str">
        <f>IF(T165="","",T165)</f>
        <v/>
      </c>
      <c r="DK165" s="3790"/>
      <c r="DL165" s="3790"/>
    </row>
    <row s="5601" customFormat="1" customHeight="1" ht="21">
      <c r="A166" s="3778"/>
      <c r="B166" s="3778"/>
      <c r="C166" s="3778"/>
      <c r="D166" s="3778"/>
      <c r="E166" s="3779"/>
      <c r="F166" s="3779" t="s">
        <v>90</v>
      </c>
      <c r="G166" s="3779"/>
      <c r="H166" s="3779"/>
      <c r="I166" s="3806"/>
      <c r="J166" s="3797" t="str">
        <f>I165&amp;".1"</f>
        <v>2.5.1.1.1.1</v>
      </c>
      <c r="K166" s="3778"/>
      <c r="L166" s="3781" t="s">
        <v>453</v>
      </c>
      <c r="M166" s="3603"/>
      <c r="N166" s="3603"/>
      <c r="O166" s="3798"/>
      <c r="P166" s="3799"/>
      <c r="Q166" s="3799">
        <v>1</v>
      </c>
      <c r="R166" s="3807"/>
      <c r="S166" s="3786" t="str">
        <f>$J166</f>
        <v>2.5.1.1.1.1</v>
      </c>
      <c r="T166" s="3808" t="s">
        <v>454</v>
      </c>
      <c r="U166" s="3788"/>
      <c r="V166" s="3443"/>
      <c r="W166" s="3444"/>
      <c r="X166" s="3444"/>
      <c r="Y166" s="3444"/>
      <c r="Z166" s="3444"/>
      <c r="AA166" s="3444"/>
      <c r="AB166" s="3444"/>
      <c r="AC166" s="3445"/>
      <c r="AD166" s="3443" t="s">
        <v>497</v>
      </c>
      <c r="AE166" s="3444"/>
      <c r="AF166" s="3444"/>
      <c r="AG166" s="3444"/>
      <c r="AH166" s="3444"/>
      <c r="AI166" s="3444"/>
      <c r="AJ166" s="3444"/>
      <c r="AK166" s="3444"/>
      <c r="AL166" s="3443"/>
      <c r="AM166" s="3444"/>
      <c r="AN166" s="3444"/>
      <c r="AO166" s="3444"/>
      <c r="AP166" s="3444"/>
      <c r="AQ166" s="3444"/>
      <c r="AR166" s="3444"/>
      <c r="AS166" s="3445"/>
      <c r="AT166" s="3443"/>
      <c r="AU166" s="3444"/>
      <c r="AV166" s="3444"/>
      <c r="AW166" s="3444"/>
      <c r="AX166" s="3444"/>
      <c r="AY166" s="3444"/>
      <c r="AZ166" s="3444"/>
      <c r="BA166" s="3445"/>
      <c r="BB166" s="3443"/>
      <c r="BC166" s="3444"/>
      <c r="BD166" s="3444"/>
      <c r="BE166" s="3444"/>
      <c r="BF166" s="3444"/>
      <c r="BG166" s="3444"/>
      <c r="BH166" s="3444"/>
      <c r="BI166" s="3445"/>
      <c r="BJ166" s="3443"/>
      <c r="BK166" s="3444"/>
      <c r="BL166" s="3444"/>
      <c r="BM166" s="3444"/>
      <c r="BN166" s="3444"/>
      <c r="BO166" s="3444"/>
      <c r="BP166" s="3444"/>
      <c r="BQ166" s="3445"/>
      <c r="BR166" s="3443"/>
      <c r="BS166" s="3444"/>
      <c r="BT166" s="3444"/>
      <c r="BU166" s="3444"/>
      <c r="BV166" s="3444"/>
      <c r="BW166" s="3444"/>
      <c r="BX166" s="3444"/>
      <c r="BY166" s="3445"/>
      <c r="BZ166" s="3443"/>
      <c r="CA166" s="3444"/>
      <c r="CB166" s="3444"/>
      <c r="CC166" s="3444"/>
      <c r="CD166" s="3444"/>
      <c r="CE166" s="3444"/>
      <c r="CF166" s="3444"/>
      <c r="CG166" s="3445"/>
      <c r="CH166" s="3443"/>
      <c r="CI166" s="3444"/>
      <c r="CJ166" s="3444"/>
      <c r="CK166" s="3444"/>
      <c r="CL166" s="3444"/>
      <c r="CM166" s="3444"/>
      <c r="CN166" s="3444"/>
      <c r="CO166" s="3445"/>
      <c r="CP166" s="3443"/>
      <c r="CQ166" s="3444"/>
      <c r="CR166" s="3444"/>
      <c r="CS166" s="3444"/>
      <c r="CT166" s="3444"/>
      <c r="CU166" s="3444"/>
      <c r="CV166" s="3444"/>
      <c r="CW166" s="3445"/>
      <c r="CX166" s="3443"/>
      <c r="CY166" s="3444"/>
      <c r="CZ166" s="3444"/>
      <c r="DA166" s="3444"/>
      <c r="DB166" s="3444"/>
      <c r="DC166" s="3444"/>
      <c r="DD166" s="3444"/>
      <c r="DE166" s="3445"/>
      <c r="DF166" s="3445"/>
      <c r="DG166" s="3789" t="s">
        <v>455</v>
      </c>
      <c r="DH166" s="3611"/>
      <c r="DI166" s="3790"/>
      <c r="DJ166" s="3790" t="str">
        <f>IF(T166="","",T166)</f>
        <v>Группа потребителей</v>
      </c>
      <c r="DK166" s="3790"/>
      <c r="DL166" s="3790"/>
    </row>
    <row s="5602" customFormat="1" customHeight="1" ht="21">
      <c r="A167" s="3778"/>
      <c r="B167" s="3778"/>
      <c r="C167" s="3778"/>
      <c r="D167" s="3778"/>
      <c r="E167" s="3779"/>
      <c r="F167" s="3779" t="s">
        <v>90</v>
      </c>
      <c r="G167" s="3779"/>
      <c r="H167" s="3779"/>
      <c r="I167" s="3806"/>
      <c r="J167" s="3806"/>
      <c r="K167" s="3797" t="str">
        <f>J166&amp;".1"</f>
        <v>2.5.1.1.1.1.1</v>
      </c>
      <c r="L167" s="3781" t="s">
        <v>456</v>
      </c>
      <c r="M167" s="3603"/>
      <c r="N167" s="3603"/>
      <c r="O167" s="3603"/>
      <c r="P167" s="3799"/>
      <c r="Q167" s="3799"/>
      <c r="R167" s="3807">
        <v>1</v>
      </c>
      <c r="S167" s="3786" t="str">
        <f>$K167</f>
        <v>2.5.1.1.1.1.1</v>
      </c>
      <c r="T167" s="3810" t="s">
        <v>495</v>
      </c>
      <c r="U167" s="3788"/>
      <c r="V167" s="3446"/>
      <c r="W167" s="3447"/>
      <c r="X167" s="3446"/>
      <c r="Y167" s="3448"/>
      <c r="Z167" s="3449"/>
      <c r="AA167" s="2872" t="s">
        <v>61</v>
      </c>
      <c r="AB167" s="3449"/>
      <c r="AC167" s="2872" t="s">
        <v>61</v>
      </c>
      <c r="AD167" s="3446">
        <v>45</v>
      </c>
      <c r="AE167" s="3447"/>
      <c r="AF167" s="3446"/>
      <c r="AG167" s="3448"/>
      <c r="AH167" s="3449">
        <v>45292</v>
      </c>
      <c r="AI167" s="2872" t="s">
        <v>61</v>
      </c>
      <c r="AJ167" s="3449">
        <v>45473</v>
      </c>
      <c r="AK167" s="2872" t="s">
        <v>61</v>
      </c>
      <c r="AL167" s="3446">
        <v>50.66</v>
      </c>
      <c r="AM167" s="3447"/>
      <c r="AN167" s="3446"/>
      <c r="AO167" s="3448"/>
      <c r="AP167" s="3449">
        <v>45474</v>
      </c>
      <c r="AQ167" s="2872" t="s">
        <v>61</v>
      </c>
      <c r="AR167" s="3449">
        <v>45657</v>
      </c>
      <c r="AS167" s="2872" t="s">
        <v>61</v>
      </c>
      <c r="AT167" s="3446">
        <v>50.66</v>
      </c>
      <c r="AU167" s="3447"/>
      <c r="AV167" s="3446"/>
      <c r="AW167" s="3448"/>
      <c r="AX167" s="3449">
        <v>45658</v>
      </c>
      <c r="AY167" s="2872" t="s">
        <v>61</v>
      </c>
      <c r="AZ167" s="3449">
        <v>45838</v>
      </c>
      <c r="BA167" s="2872" t="s">
        <v>61</v>
      </c>
      <c r="BB167" s="3446">
        <v>57.05</v>
      </c>
      <c r="BC167" s="3447"/>
      <c r="BD167" s="3446"/>
      <c r="BE167" s="3448"/>
      <c r="BF167" s="3449">
        <v>45839</v>
      </c>
      <c r="BG167" s="2872" t="s">
        <v>61</v>
      </c>
      <c r="BH167" s="3449">
        <v>46022</v>
      </c>
      <c r="BI167" s="2872" t="s">
        <v>61</v>
      </c>
      <c r="BJ167" s="3446">
        <v>57.05</v>
      </c>
      <c r="BK167" s="3447"/>
      <c r="BL167" s="3446"/>
      <c r="BM167" s="3448"/>
      <c r="BN167" s="3449">
        <v>46023</v>
      </c>
      <c r="BO167" s="2872" t="s">
        <v>61</v>
      </c>
      <c r="BP167" s="3449">
        <v>46203</v>
      </c>
      <c r="BQ167" s="2872" t="s">
        <v>61</v>
      </c>
      <c r="BR167" s="3446">
        <v>63.5</v>
      </c>
      <c r="BS167" s="3447"/>
      <c r="BT167" s="3446"/>
      <c r="BU167" s="3448"/>
      <c r="BV167" s="3449">
        <v>46204</v>
      </c>
      <c r="BW167" s="2872" t="s">
        <v>61</v>
      </c>
      <c r="BX167" s="3449">
        <v>46387</v>
      </c>
      <c r="BY167" s="2872" t="s">
        <v>61</v>
      </c>
      <c r="BZ167" s="3446">
        <v>63.5</v>
      </c>
      <c r="CA167" s="3447"/>
      <c r="CB167" s="3446"/>
      <c r="CC167" s="3448"/>
      <c r="CD167" s="3449">
        <v>46388</v>
      </c>
      <c r="CE167" s="2872" t="s">
        <v>61</v>
      </c>
      <c r="CF167" s="3449">
        <v>46568</v>
      </c>
      <c r="CG167" s="2872" t="s">
        <v>61</v>
      </c>
      <c r="CH167" s="3446">
        <v>66.04</v>
      </c>
      <c r="CI167" s="3447"/>
      <c r="CJ167" s="3446"/>
      <c r="CK167" s="3448"/>
      <c r="CL167" s="3449">
        <v>46569</v>
      </c>
      <c r="CM167" s="2872" t="s">
        <v>61</v>
      </c>
      <c r="CN167" s="3449">
        <v>46752</v>
      </c>
      <c r="CO167" s="2872" t="s">
        <v>61</v>
      </c>
      <c r="CP167" s="3446">
        <v>66.04</v>
      </c>
      <c r="CQ167" s="3447"/>
      <c r="CR167" s="3446"/>
      <c r="CS167" s="3448"/>
      <c r="CT167" s="3449">
        <v>46753</v>
      </c>
      <c r="CU167" s="2872" t="s">
        <v>61</v>
      </c>
      <c r="CV167" s="3449">
        <v>46934</v>
      </c>
      <c r="CW167" s="2872" t="s">
        <v>61</v>
      </c>
      <c r="CX167" s="3446">
        <v>68.68</v>
      </c>
      <c r="CY167" s="3447"/>
      <c r="CZ167" s="3446"/>
      <c r="DA167" s="3448"/>
      <c r="DB167" s="3449">
        <v>46935</v>
      </c>
      <c r="DC167" s="2872" t="s">
        <v>61</v>
      </c>
      <c r="DD167" s="3449">
        <v>47118</v>
      </c>
      <c r="DE167" s="2872" t="s">
        <v>61</v>
      </c>
      <c r="DF167" s="3447"/>
      <c r="DG167" s="3811" t="s">
        <v>457</v>
      </c>
      <c r="DH167" s="3611">
        <f>STRCHECKDATE(V168:DF168)</f>
      </c>
      <c r="DI167" s="3790"/>
      <c r="DJ167" s="3790" t="str">
        <f>IF(T167="","",T167)</f>
        <v>вода</v>
      </c>
      <c r="DK167" s="3790"/>
      <c r="DL167" s="3790"/>
    </row>
    <row s="5603" customFormat="1" customHeight="1" ht="0.75">
      <c r="A168" s="3778"/>
      <c r="B168" s="3778"/>
      <c r="C168" s="3778"/>
      <c r="D168" s="3778"/>
      <c r="E168" s="3779"/>
      <c r="F168" s="3779" t="s">
        <v>90</v>
      </c>
      <c r="G168" s="3779"/>
      <c r="H168" s="3779"/>
      <c r="I168" s="3806"/>
      <c r="J168" s="3806"/>
      <c r="K168" s="3797"/>
      <c r="L168" s="3781"/>
      <c r="M168" s="3603"/>
      <c r="N168" s="3603"/>
      <c r="O168" s="3603"/>
      <c r="P168" s="3799"/>
      <c r="Q168" s="3799"/>
      <c r="R168" s="3807"/>
      <c r="S168" s="3813"/>
      <c r="T168" s="3788"/>
      <c r="U168" s="3788"/>
      <c r="V168" s="3447"/>
      <c r="W168" s="3447"/>
      <c r="X168" s="3447"/>
      <c r="Y168" s="3450" t="str">
        <f>Z167&amp;"-"&amp;AB167</f>
        <v>-</v>
      </c>
      <c r="Z168" s="3451"/>
      <c r="AA168" s="2872"/>
      <c r="AB168" s="3451"/>
      <c r="AC168" s="2872"/>
      <c r="AD168" s="3447"/>
      <c r="AE168" s="3447"/>
      <c r="AF168" s="3447"/>
      <c r="AG168" s="3450" t="str">
        <f>AH167&amp;"-"&amp;AJ167</f>
        <v>45292-45473</v>
      </c>
      <c r="AH168" s="3451"/>
      <c r="AI168" s="2872"/>
      <c r="AJ168" s="3451"/>
      <c r="AK168" s="2872"/>
      <c r="AL168" s="3447"/>
      <c r="AM168" s="3447"/>
      <c r="AN168" s="3447"/>
      <c r="AO168" s="3450" t="str">
        <f>AP167&amp;"-"&amp;AR167</f>
        <v>45474-45657</v>
      </c>
      <c r="AP168" s="3451"/>
      <c r="AQ168" s="2872"/>
      <c r="AR168" s="3451"/>
      <c r="AS168" s="2872"/>
      <c r="AT168" s="3447"/>
      <c r="AU168" s="3447"/>
      <c r="AV168" s="3447"/>
      <c r="AW168" s="3450" t="str">
        <f>AX167&amp;"-"&amp;AZ167</f>
        <v>45658-45838</v>
      </c>
      <c r="AX168" s="3451"/>
      <c r="AY168" s="2872"/>
      <c r="AZ168" s="3451"/>
      <c r="BA168" s="2872"/>
      <c r="BB168" s="3447"/>
      <c r="BC168" s="3447"/>
      <c r="BD168" s="3447"/>
      <c r="BE168" s="3450" t="str">
        <f>BF167&amp;"-"&amp;BH167</f>
        <v>45839-46022</v>
      </c>
      <c r="BF168" s="3451"/>
      <c r="BG168" s="2872"/>
      <c r="BH168" s="3451"/>
      <c r="BI168" s="2872"/>
      <c r="BJ168" s="3447"/>
      <c r="BK168" s="3447"/>
      <c r="BL168" s="3447"/>
      <c r="BM168" s="3450" t="str">
        <f>BN167&amp;"-"&amp;BP167</f>
        <v>46023-46203</v>
      </c>
      <c r="BN168" s="3451"/>
      <c r="BO168" s="2872"/>
      <c r="BP168" s="3451"/>
      <c r="BQ168" s="2872"/>
      <c r="BR168" s="3447"/>
      <c r="BS168" s="3447"/>
      <c r="BT168" s="3447"/>
      <c r="BU168" s="3450" t="str">
        <f>BV167&amp;"-"&amp;BX167</f>
        <v>46204-46387</v>
      </c>
      <c r="BV168" s="3451"/>
      <c r="BW168" s="2872"/>
      <c r="BX168" s="3451"/>
      <c r="BY168" s="2872"/>
      <c r="BZ168" s="3447"/>
      <c r="CA168" s="3447"/>
      <c r="CB168" s="3447"/>
      <c r="CC168" s="3450" t="str">
        <f>CD167&amp;"-"&amp;CF167</f>
        <v>46388-46568</v>
      </c>
      <c r="CD168" s="3451"/>
      <c r="CE168" s="2872"/>
      <c r="CF168" s="3451"/>
      <c r="CG168" s="2872"/>
      <c r="CH168" s="3447"/>
      <c r="CI168" s="3447"/>
      <c r="CJ168" s="3447"/>
      <c r="CK168" s="3450" t="str">
        <f>CL167&amp;"-"&amp;CN167</f>
        <v>46569-46752</v>
      </c>
      <c r="CL168" s="3451"/>
      <c r="CM168" s="2872"/>
      <c r="CN168" s="3451"/>
      <c r="CO168" s="2872"/>
      <c r="CP168" s="3447"/>
      <c r="CQ168" s="3447"/>
      <c r="CR168" s="3447"/>
      <c r="CS168" s="3450" t="str">
        <f>CT167&amp;"-"&amp;CV167</f>
        <v>46753-46934</v>
      </c>
      <c r="CT168" s="3451"/>
      <c r="CU168" s="2872"/>
      <c r="CV168" s="3451"/>
      <c r="CW168" s="2872"/>
      <c r="CX168" s="3447"/>
      <c r="CY168" s="3447"/>
      <c r="CZ168" s="3447"/>
      <c r="DA168" s="3450" t="str">
        <f>DB167&amp;"-"&amp;DD167</f>
        <v>46935-47118</v>
      </c>
      <c r="DB168" s="3451"/>
      <c r="DC168" s="2872"/>
      <c r="DD168" s="3451"/>
      <c r="DE168" s="2872"/>
      <c r="DF168" s="3447"/>
      <c r="DG168" s="3814"/>
      <c r="DH168" s="3611"/>
      <c r="DI168" s="3790"/>
      <c r="DJ168" s="3790" t="str">
        <f>IF(T168="","",T168)</f>
        <v/>
      </c>
      <c r="DK168" s="3790"/>
      <c r="DL168" s="3790"/>
    </row>
    <row s="5604" customFormat="1" customHeight="1" ht="15">
      <c r="A169" s="3778"/>
      <c r="B169" s="3778"/>
      <c r="C169" s="3778"/>
      <c r="D169" s="3778"/>
      <c r="E169" s="3779"/>
      <c r="F169" s="3779" t="s">
        <v>90</v>
      </c>
      <c r="G169" s="3779"/>
      <c r="H169" s="3779"/>
      <c r="I169" s="3806"/>
      <c r="J169" s="3797"/>
      <c r="K169" s="3778"/>
      <c r="L169" s="3781"/>
      <c r="M169" s="3603"/>
      <c r="N169" s="3603"/>
      <c r="O169" s="3798"/>
      <c r="P169" s="3799"/>
      <c r="Q169" s="3799"/>
      <c r="R169" s="3800"/>
      <c r="S169" s="5605"/>
      <c r="T169" s="5606" t="s">
        <v>458</v>
      </c>
      <c r="U169" s="5607"/>
      <c r="V169" s="5608"/>
      <c r="W169" s="5609"/>
      <c r="X169" s="5610"/>
      <c r="Y169" s="5611"/>
      <c r="Z169" s="5612"/>
      <c r="AA169" s="5613"/>
      <c r="AB169" s="5614"/>
      <c r="AC169" s="5615"/>
      <c r="AD169" s="5616"/>
      <c r="AE169" s="5617"/>
      <c r="AF169" s="5618"/>
      <c r="AG169" s="5619"/>
      <c r="AH169" s="5620"/>
      <c r="AI169" s="5621"/>
      <c r="AJ169" s="5622"/>
      <c r="AK169" s="5623"/>
      <c r="AL169" s="5624"/>
      <c r="AM169" s="5625"/>
      <c r="AN169" s="5626"/>
      <c r="AO169" s="5627"/>
      <c r="AP169" s="5628"/>
      <c r="AQ169" s="5629"/>
      <c r="AR169" s="5630"/>
      <c r="AS169" s="5631"/>
      <c r="AT169" s="5632"/>
      <c r="AU169" s="5633"/>
      <c r="AV169" s="5634"/>
      <c r="AW169" s="5635"/>
      <c r="AX169" s="5636"/>
      <c r="AY169" s="5637"/>
      <c r="AZ169" s="5638"/>
      <c r="BA169" s="5639"/>
      <c r="BB169" s="5640"/>
      <c r="BC169" s="5641"/>
      <c r="BD169" s="5642"/>
      <c r="BE169" s="5643"/>
      <c r="BF169" s="5644"/>
      <c r="BG169" s="5645"/>
      <c r="BH169" s="5646"/>
      <c r="BI169" s="5647"/>
      <c r="BJ169" s="5648"/>
      <c r="BK169" s="5649"/>
      <c r="BL169" s="5650"/>
      <c r="BM169" s="5651"/>
      <c r="BN169" s="5652"/>
      <c r="BO169" s="5653"/>
      <c r="BP169" s="5654"/>
      <c r="BQ169" s="5655"/>
      <c r="BR169" s="5656"/>
      <c r="BS169" s="5657"/>
      <c r="BT169" s="5658"/>
      <c r="BU169" s="5659"/>
      <c r="BV169" s="5660"/>
      <c r="BW169" s="5661"/>
      <c r="BX169" s="5662"/>
      <c r="BY169" s="5663"/>
      <c r="BZ169" s="5664"/>
      <c r="CA169" s="5665"/>
      <c r="CB169" s="5666"/>
      <c r="CC169" s="5667"/>
      <c r="CD169" s="5668"/>
      <c r="CE169" s="5669"/>
      <c r="CF169" s="5670"/>
      <c r="CG169" s="5671"/>
      <c r="CH169" s="5672"/>
      <c r="CI169" s="5673"/>
      <c r="CJ169" s="5674"/>
      <c r="CK169" s="5675"/>
      <c r="CL169" s="5676"/>
      <c r="CM169" s="5677"/>
      <c r="CN169" s="5678"/>
      <c r="CO169" s="5679"/>
      <c r="CP169" s="5680"/>
      <c r="CQ169" s="5681"/>
      <c r="CR169" s="5682"/>
      <c r="CS169" s="5683"/>
      <c r="CT169" s="5684"/>
      <c r="CU169" s="5685"/>
      <c r="CV169" s="5686"/>
      <c r="CW169" s="5687"/>
      <c r="CX169" s="5688"/>
      <c r="CY169" s="5689"/>
      <c r="CZ169" s="5690"/>
      <c r="DA169" s="5691"/>
      <c r="DB169" s="5692"/>
      <c r="DC169" s="5693"/>
      <c r="DD169" s="5694"/>
      <c r="DE169" s="5695"/>
      <c r="DF169" s="5696"/>
      <c r="DG169" s="3908"/>
      <c r="DH169" s="3611"/>
      <c r="DI169" s="3790"/>
      <c r="DJ169" s="3790" t="str">
        <f>IF(T169="","",T169)</f>
        <v>Добавить вид теплоносителя (параметры теплоносителя)</v>
      </c>
      <c r="DK169" s="3790"/>
      <c r="DL169" s="3790"/>
    </row>
    <row s="5697" customFormat="1" customHeight="1" ht="15">
      <c r="A170" s="3778"/>
      <c r="B170" s="3778"/>
      <c r="C170" s="3778"/>
      <c r="D170" s="3778"/>
      <c r="E170" s="3779"/>
      <c r="F170" s="3779" t="s">
        <v>90</v>
      </c>
      <c r="G170" s="3779"/>
      <c r="H170" s="3779"/>
      <c r="I170" s="3797"/>
      <c r="J170" s="3778"/>
      <c r="K170" s="3778"/>
      <c r="L170" s="3781"/>
      <c r="M170" s="3603"/>
      <c r="N170" s="3798"/>
      <c r="O170" s="3798"/>
      <c r="P170" s="3799"/>
      <c r="Q170" s="3799"/>
      <c r="R170" s="3800"/>
      <c r="S170" s="5698"/>
      <c r="T170" s="5699" t="s">
        <v>459</v>
      </c>
      <c r="U170" s="5700"/>
      <c r="V170" s="5701"/>
      <c r="W170" s="5702"/>
      <c r="X170" s="5703"/>
      <c r="Y170" s="5704"/>
      <c r="Z170" s="5705"/>
      <c r="AA170" s="5706"/>
      <c r="AB170" s="5707"/>
      <c r="AC170" s="5708"/>
      <c r="AD170" s="5709"/>
      <c r="AE170" s="5710"/>
      <c r="AF170" s="5711"/>
      <c r="AG170" s="5712"/>
      <c r="AH170" s="5713"/>
      <c r="AI170" s="5714"/>
      <c r="AJ170" s="5715"/>
      <c r="AK170" s="5716"/>
      <c r="AL170" s="5717"/>
      <c r="AM170" s="5718"/>
      <c r="AN170" s="5719"/>
      <c r="AO170" s="5720"/>
      <c r="AP170" s="5721"/>
      <c r="AQ170" s="5722"/>
      <c r="AR170" s="5723"/>
      <c r="AS170" s="5724"/>
      <c r="AT170" s="5725"/>
      <c r="AU170" s="5726"/>
      <c r="AV170" s="5727"/>
      <c r="AW170" s="5728"/>
      <c r="AX170" s="5729"/>
      <c r="AY170" s="5730"/>
      <c r="AZ170" s="5731"/>
      <c r="BA170" s="5732"/>
      <c r="BB170" s="5733"/>
      <c r="BC170" s="5734"/>
      <c r="BD170" s="5735"/>
      <c r="BE170" s="5736"/>
      <c r="BF170" s="5737"/>
      <c r="BG170" s="5738"/>
      <c r="BH170" s="5739"/>
      <c r="BI170" s="5740"/>
      <c r="BJ170" s="5741"/>
      <c r="BK170" s="5742"/>
      <c r="BL170" s="5743"/>
      <c r="BM170" s="5744"/>
      <c r="BN170" s="5745"/>
      <c r="BO170" s="5746"/>
      <c r="BP170" s="5747"/>
      <c r="BQ170" s="5748"/>
      <c r="BR170" s="5749"/>
      <c r="BS170" s="5750"/>
      <c r="BT170" s="5751"/>
      <c r="BU170" s="5752"/>
      <c r="BV170" s="5753"/>
      <c r="BW170" s="5754"/>
      <c r="BX170" s="5755"/>
      <c r="BY170" s="5756"/>
      <c r="BZ170" s="5757"/>
      <c r="CA170" s="5758"/>
      <c r="CB170" s="5759"/>
      <c r="CC170" s="5760"/>
      <c r="CD170" s="5761"/>
      <c r="CE170" s="5762"/>
      <c r="CF170" s="5763"/>
      <c r="CG170" s="5764"/>
      <c r="CH170" s="5765"/>
      <c r="CI170" s="5766"/>
      <c r="CJ170" s="5767"/>
      <c r="CK170" s="5768"/>
      <c r="CL170" s="5769"/>
      <c r="CM170" s="5770"/>
      <c r="CN170" s="5771"/>
      <c r="CO170" s="5772"/>
      <c r="CP170" s="5773"/>
      <c r="CQ170" s="5774"/>
      <c r="CR170" s="5775"/>
      <c r="CS170" s="5776"/>
      <c r="CT170" s="5777"/>
      <c r="CU170" s="5778"/>
      <c r="CV170" s="5779"/>
      <c r="CW170" s="5780"/>
      <c r="CX170" s="5781"/>
      <c r="CY170" s="5782"/>
      <c r="CZ170" s="5783"/>
      <c r="DA170" s="5784"/>
      <c r="DB170" s="5785"/>
      <c r="DC170" s="5786"/>
      <c r="DD170" s="5787"/>
      <c r="DE170" s="5788"/>
      <c r="DF170" s="5789"/>
      <c r="DG170" s="5790"/>
      <c r="DH170" s="3611"/>
      <c r="DI170" s="3790"/>
      <c r="DJ170" s="3790" t="str">
        <f>IF(T170="","",T170)</f>
        <v>Добавить группу потребителей</v>
      </c>
      <c r="DK170" s="3790"/>
      <c r="DL170" s="3790"/>
    </row>
    <row s="5791" customFormat="1" customHeight="1" ht="14.25">
      <c r="A171" s="3778"/>
      <c r="B171" s="3778"/>
      <c r="C171" s="3778"/>
      <c r="D171" s="3778"/>
      <c r="E171" s="3779"/>
      <c r="F171" s="3779" t="s">
        <v>90</v>
      </c>
      <c r="G171" s="3779"/>
      <c r="H171" s="3780"/>
      <c r="I171" s="3778"/>
      <c r="J171" s="3778"/>
      <c r="K171" s="3778"/>
      <c r="L171" s="3781"/>
      <c r="M171" s="3782"/>
      <c r="N171" s="3782"/>
      <c r="O171" s="3603"/>
      <c r="P171" s="4004"/>
      <c r="Q171" s="4005"/>
      <c r="R171" s="4006"/>
      <c r="S171" s="4007"/>
      <c r="T171" s="4008"/>
      <c r="U171" s="3599"/>
      <c r="V171" s="3599"/>
      <c r="W171" s="3599"/>
      <c r="X171" s="3599"/>
      <c r="Y171" s="3599"/>
      <c r="Z171" s="3599"/>
      <c r="AA171" s="3599"/>
      <c r="AB171" s="3599"/>
      <c r="AC171" s="3599"/>
      <c r="AD171" s="3599"/>
      <c r="AE171" s="3599"/>
      <c r="AF171" s="3599"/>
      <c r="AG171" s="3599"/>
      <c r="AH171" s="3599"/>
      <c r="AI171" s="3599"/>
      <c r="AJ171" s="3599"/>
      <c r="AK171" s="3599"/>
      <c r="AL171" s="3599"/>
      <c r="AM171" s="3599"/>
      <c r="AN171" s="3599"/>
      <c r="AO171" s="3599"/>
      <c r="AP171" s="3599"/>
      <c r="AQ171" s="3599"/>
      <c r="AR171" s="3599"/>
      <c r="AS171" s="3599"/>
      <c r="AT171" s="3599"/>
      <c r="AU171" s="3599"/>
      <c r="AV171" s="3599"/>
      <c r="AW171" s="3599"/>
      <c r="AX171" s="3599"/>
      <c r="AY171" s="3599"/>
      <c r="AZ171" s="3599"/>
      <c r="BA171" s="3599"/>
      <c r="BB171" s="3599"/>
      <c r="BC171" s="3599"/>
      <c r="BD171" s="3599"/>
      <c r="BE171" s="3599"/>
      <c r="BF171" s="3599"/>
      <c r="BG171" s="3599"/>
      <c r="BH171" s="3599"/>
      <c r="BI171" s="3599"/>
      <c r="BJ171" s="3599"/>
      <c r="BK171" s="3599"/>
      <c r="BL171" s="3599"/>
      <c r="BM171" s="3599"/>
      <c r="BN171" s="3599"/>
      <c r="BO171" s="3599"/>
      <c r="BP171" s="3599"/>
      <c r="BQ171" s="3599"/>
      <c r="BR171" s="3599"/>
      <c r="BS171" s="3599"/>
      <c r="BT171" s="3599"/>
      <c r="BU171" s="3599"/>
      <c r="BV171" s="3599"/>
      <c r="BW171" s="3599"/>
      <c r="BX171" s="3599"/>
      <c r="BY171" s="3599"/>
      <c r="BZ171" s="3599"/>
      <c r="CA171" s="3599"/>
      <c r="CB171" s="3599"/>
      <c r="CC171" s="3599"/>
      <c r="CD171" s="3599"/>
      <c r="CE171" s="3599"/>
      <c r="CF171" s="3599"/>
      <c r="CG171" s="3599"/>
      <c r="CH171" s="3599"/>
      <c r="CI171" s="3599"/>
      <c r="CJ171" s="3599"/>
      <c r="CK171" s="3599"/>
      <c r="CL171" s="3599"/>
      <c r="CM171" s="3599"/>
      <c r="CN171" s="3599"/>
      <c r="CO171" s="3599"/>
      <c r="CP171" s="3599"/>
      <c r="CQ171" s="3599"/>
      <c r="CR171" s="3599"/>
      <c r="CS171" s="3599"/>
      <c r="CT171" s="3599"/>
      <c r="CU171" s="3599"/>
      <c r="CV171" s="3599"/>
      <c r="CW171" s="3599"/>
      <c r="CX171" s="3599"/>
      <c r="CY171" s="3599"/>
      <c r="CZ171" s="3599"/>
      <c r="DA171" s="3599"/>
      <c r="DB171" s="3599"/>
      <c r="DC171" s="3599"/>
      <c r="DD171" s="3599"/>
      <c r="DE171" s="3599"/>
      <c r="DF171" s="3599"/>
      <c r="DG171" s="4009"/>
      <c r="DH171" s="3611"/>
      <c r="DI171" s="3790"/>
      <c r="DJ171" s="3790" t="str">
        <f>IF(T171="","",T171)</f>
        <v/>
      </c>
      <c r="DK171" s="3790"/>
      <c r="DL171" s="3790"/>
    </row>
    <row s="5792" customFormat="1" customHeight="1" ht="21">
      <c r="A172" s="3778"/>
      <c r="B172" s="3778"/>
      <c r="C172" s="3778"/>
      <c r="D172" s="3778" t="s">
        <v>229</v>
      </c>
      <c r="E172" s="3779"/>
      <c r="F172" s="3779"/>
      <c r="G172" s="3779"/>
      <c r="H172" s="3780" t="s">
        <v>102</v>
      </c>
      <c r="I172" s="3778"/>
      <c r="J172" s="3778"/>
      <c r="K172" s="3778"/>
      <c r="L172" s="3781"/>
      <c r="M172" s="3782"/>
      <c r="N172" s="3782"/>
      <c r="O172" s="3782"/>
      <c r="P172" s="3792"/>
      <c r="Q172" s="3784"/>
      <c r="R172" s="3785"/>
      <c r="S172" s="3786" t="str">
        <f>INDEX(PT_DIFFERENTIATION_NUM_IST_TE,MATCH(D172,PT_DIFFERENTIATION_IST_TE_ID,0))</f>
        <v>2.5.1.2</v>
      </c>
      <c r="T172" s="3795" t="s">
        <v>448</v>
      </c>
      <c r="U172" s="3788"/>
      <c r="V172" s="3430"/>
      <c r="W172" s="3431"/>
      <c r="X172" s="3431"/>
      <c r="Y172" s="3431"/>
      <c r="Z172" s="3431"/>
      <c r="AA172" s="3431"/>
      <c r="AB172" s="3431"/>
      <c r="AC172" s="3432"/>
      <c r="AD172" s="3430" t="str">
        <f>INDEX(PT_DIFFERENTIATION_IST_TE,MATCH(D172,PT_DIFFERENTIATION_IST_TE_ID,0))</f>
        <v>город Кандалакша (микрорайон Нива-3)</v>
      </c>
      <c r="AE172" s="3431"/>
      <c r="AF172" s="3431"/>
      <c r="AG172" s="3431"/>
      <c r="AH172" s="3431"/>
      <c r="AI172" s="3431"/>
      <c r="AJ172" s="3431"/>
      <c r="AK172" s="3431"/>
      <c r="AL172" s="3430"/>
      <c r="AM172" s="3431"/>
      <c r="AN172" s="3431"/>
      <c r="AO172" s="3431"/>
      <c r="AP172" s="3431"/>
      <c r="AQ172" s="3431"/>
      <c r="AR172" s="3431"/>
      <c r="AS172" s="3432"/>
      <c r="AT172" s="3430"/>
      <c r="AU172" s="3431"/>
      <c r="AV172" s="3431"/>
      <c r="AW172" s="3431"/>
      <c r="AX172" s="3431"/>
      <c r="AY172" s="3431"/>
      <c r="AZ172" s="3431"/>
      <c r="BA172" s="3432"/>
      <c r="BB172" s="3430"/>
      <c r="BC172" s="3431"/>
      <c r="BD172" s="3431"/>
      <c r="BE172" s="3431"/>
      <c r="BF172" s="3431"/>
      <c r="BG172" s="3431"/>
      <c r="BH172" s="3431"/>
      <c r="BI172" s="3432"/>
      <c r="BJ172" s="3430"/>
      <c r="BK172" s="3431"/>
      <c r="BL172" s="3431"/>
      <c r="BM172" s="3431"/>
      <c r="BN172" s="3431"/>
      <c r="BO172" s="3431"/>
      <c r="BP172" s="3431"/>
      <c r="BQ172" s="3432"/>
      <c r="BR172" s="3430"/>
      <c r="BS172" s="3431"/>
      <c r="BT172" s="3431"/>
      <c r="BU172" s="3431"/>
      <c r="BV172" s="3431"/>
      <c r="BW172" s="3431"/>
      <c r="BX172" s="3431"/>
      <c r="BY172" s="3432"/>
      <c r="BZ172" s="3430"/>
      <c r="CA172" s="3431"/>
      <c r="CB172" s="3431"/>
      <c r="CC172" s="3431"/>
      <c r="CD172" s="3431"/>
      <c r="CE172" s="3431"/>
      <c r="CF172" s="3431"/>
      <c r="CG172" s="3432"/>
      <c r="CH172" s="3430"/>
      <c r="CI172" s="3431"/>
      <c r="CJ172" s="3431"/>
      <c r="CK172" s="3431"/>
      <c r="CL172" s="3431"/>
      <c r="CM172" s="3431"/>
      <c r="CN172" s="3431"/>
      <c r="CO172" s="3432"/>
      <c r="CP172" s="3430"/>
      <c r="CQ172" s="3431"/>
      <c r="CR172" s="3431"/>
      <c r="CS172" s="3431"/>
      <c r="CT172" s="3431"/>
      <c r="CU172" s="3431"/>
      <c r="CV172" s="3431"/>
      <c r="CW172" s="3432"/>
      <c r="CX172" s="3430"/>
      <c r="CY172" s="3431"/>
      <c r="CZ172" s="3431"/>
      <c r="DA172" s="3431"/>
      <c r="DB172" s="3431"/>
      <c r="DC172" s="3431"/>
      <c r="DD172" s="3431"/>
      <c r="DE172" s="3432"/>
      <c r="DF172" s="3432"/>
      <c r="DG172" s="3789" t="s">
        <v>449</v>
      </c>
      <c r="DH172" s="3611"/>
      <c r="DI172" s="3790"/>
      <c r="DJ172" s="3790" t="str">
        <f>IF(T172="","",T172)</f>
        <v>Источник тепловой энергии  </v>
      </c>
      <c r="DK172" s="3790"/>
      <c r="DL172" s="3790"/>
    </row>
    <row s="5793" customFormat="1" customHeight="1" ht="14.25">
      <c r="A173" s="3778"/>
      <c r="B173" s="3778"/>
      <c r="C173" s="3778"/>
      <c r="D173" s="3778"/>
      <c r="E173" s="3779"/>
      <c r="F173" s="3779"/>
      <c r="G173" s="3779"/>
      <c r="H173" s="3779">
        <v>1</v>
      </c>
      <c r="I173" s="3797" t="str">
        <f>S172&amp;".1"</f>
        <v>2.5.1.2.1</v>
      </c>
      <c r="J173" s="3778"/>
      <c r="K173" s="3778"/>
      <c r="L173" s="3781" t="s">
        <v>450</v>
      </c>
      <c r="M173" s="3603"/>
      <c r="N173" s="3798"/>
      <c r="O173" s="3798"/>
      <c r="P173" s="3799">
        <v>1</v>
      </c>
      <c r="Q173" s="3799"/>
      <c r="R173" s="3800"/>
      <c r="S173" s="3801"/>
      <c r="T173" s="3802"/>
      <c r="U173" s="3803"/>
      <c r="V173" s="3439"/>
      <c r="W173" s="3440"/>
      <c r="X173" s="3440"/>
      <c r="Y173" s="3440"/>
      <c r="Z173" s="3440"/>
      <c r="AA173" s="3440"/>
      <c r="AB173" s="3440"/>
      <c r="AC173" s="3441"/>
      <c r="AD173" s="3439"/>
      <c r="AE173" s="3440"/>
      <c r="AF173" s="3440"/>
      <c r="AG173" s="3440"/>
      <c r="AH173" s="3440"/>
      <c r="AI173" s="3440"/>
      <c r="AJ173" s="3440"/>
      <c r="AK173" s="3440"/>
      <c r="AL173" s="3439"/>
      <c r="AM173" s="3440"/>
      <c r="AN173" s="3440"/>
      <c r="AO173" s="3440"/>
      <c r="AP173" s="3440"/>
      <c r="AQ173" s="3440"/>
      <c r="AR173" s="3440"/>
      <c r="AS173" s="3441"/>
      <c r="AT173" s="3439"/>
      <c r="AU173" s="3440"/>
      <c r="AV173" s="3440"/>
      <c r="AW173" s="3440"/>
      <c r="AX173" s="3440"/>
      <c r="AY173" s="3440"/>
      <c r="AZ173" s="3440"/>
      <c r="BA173" s="3441"/>
      <c r="BB173" s="3439"/>
      <c r="BC173" s="3440"/>
      <c r="BD173" s="3440"/>
      <c r="BE173" s="3440"/>
      <c r="BF173" s="3440"/>
      <c r="BG173" s="3440"/>
      <c r="BH173" s="3440"/>
      <c r="BI173" s="3441"/>
      <c r="BJ173" s="3439"/>
      <c r="BK173" s="3440"/>
      <c r="BL173" s="3440"/>
      <c r="BM173" s="3440"/>
      <c r="BN173" s="3440"/>
      <c r="BO173" s="3440"/>
      <c r="BP173" s="3440"/>
      <c r="BQ173" s="3441"/>
      <c r="BR173" s="3439"/>
      <c r="BS173" s="3440"/>
      <c r="BT173" s="3440"/>
      <c r="BU173" s="3440"/>
      <c r="BV173" s="3440"/>
      <c r="BW173" s="3440"/>
      <c r="BX173" s="3440"/>
      <c r="BY173" s="3441"/>
      <c r="BZ173" s="3439"/>
      <c r="CA173" s="3440"/>
      <c r="CB173" s="3440"/>
      <c r="CC173" s="3440"/>
      <c r="CD173" s="3440"/>
      <c r="CE173" s="3440"/>
      <c r="CF173" s="3440"/>
      <c r="CG173" s="3441"/>
      <c r="CH173" s="3439"/>
      <c r="CI173" s="3440"/>
      <c r="CJ173" s="3440"/>
      <c r="CK173" s="3440"/>
      <c r="CL173" s="3440"/>
      <c r="CM173" s="3440"/>
      <c r="CN173" s="3440"/>
      <c r="CO173" s="3441"/>
      <c r="CP173" s="3439"/>
      <c r="CQ173" s="3440"/>
      <c r="CR173" s="3440"/>
      <c r="CS173" s="3440"/>
      <c r="CT173" s="3440"/>
      <c r="CU173" s="3440"/>
      <c r="CV173" s="3440"/>
      <c r="CW173" s="3441"/>
      <c r="CX173" s="3439"/>
      <c r="CY173" s="3440"/>
      <c r="CZ173" s="3440"/>
      <c r="DA173" s="3440"/>
      <c r="DB173" s="3440"/>
      <c r="DC173" s="3440"/>
      <c r="DD173" s="3440"/>
      <c r="DE173" s="3441"/>
      <c r="DF173" s="3441"/>
      <c r="DG173" s="3804"/>
      <c r="DH173" s="3611"/>
      <c r="DI173" s="3790"/>
      <c r="DJ173" s="3790" t="str">
        <f>IF(T173="","",T173)</f>
        <v/>
      </c>
      <c r="DK173" s="3790"/>
      <c r="DL173" s="3790"/>
    </row>
    <row s="5794" customFormat="1" customHeight="1" ht="21">
      <c r="A174" s="3778"/>
      <c r="B174" s="3778"/>
      <c r="C174" s="3778"/>
      <c r="D174" s="3778"/>
      <c r="E174" s="3779"/>
      <c r="F174" s="3779"/>
      <c r="G174" s="3779"/>
      <c r="H174" s="3779">
        <v>1</v>
      </c>
      <c r="I174" s="3806"/>
      <c r="J174" s="3797" t="str">
        <f>I173&amp;".1"</f>
        <v>2.5.1.2.1.1</v>
      </c>
      <c r="K174" s="3778"/>
      <c r="L174" s="3781" t="s">
        <v>453</v>
      </c>
      <c r="M174" s="3603"/>
      <c r="N174" s="3603"/>
      <c r="O174" s="3798"/>
      <c r="P174" s="3799"/>
      <c r="Q174" s="3799">
        <v>1</v>
      </c>
      <c r="R174" s="3807"/>
      <c r="S174" s="3786" t="str">
        <f>$J174</f>
        <v>2.5.1.2.1.1</v>
      </c>
      <c r="T174" s="3808" t="s">
        <v>454</v>
      </c>
      <c r="U174" s="3788"/>
      <c r="V174" s="3443"/>
      <c r="W174" s="3444"/>
      <c r="X174" s="3444"/>
      <c r="Y174" s="3444"/>
      <c r="Z174" s="3444"/>
      <c r="AA174" s="3444"/>
      <c r="AB174" s="3444"/>
      <c r="AC174" s="3445"/>
      <c r="AD174" s="3443" t="s">
        <v>497</v>
      </c>
      <c r="AE174" s="3444"/>
      <c r="AF174" s="3444"/>
      <c r="AG174" s="3444"/>
      <c r="AH174" s="3444"/>
      <c r="AI174" s="3444"/>
      <c r="AJ174" s="3444"/>
      <c r="AK174" s="3444"/>
      <c r="AL174" s="3443"/>
      <c r="AM174" s="3444"/>
      <c r="AN174" s="3444"/>
      <c r="AO174" s="3444"/>
      <c r="AP174" s="3444"/>
      <c r="AQ174" s="3444"/>
      <c r="AR174" s="3444"/>
      <c r="AS174" s="3445"/>
      <c r="AT174" s="3443"/>
      <c r="AU174" s="3444"/>
      <c r="AV174" s="3444"/>
      <c r="AW174" s="3444"/>
      <c r="AX174" s="3444"/>
      <c r="AY174" s="3444"/>
      <c r="AZ174" s="3444"/>
      <c r="BA174" s="3445"/>
      <c r="BB174" s="3443"/>
      <c r="BC174" s="3444"/>
      <c r="BD174" s="3444"/>
      <c r="BE174" s="3444"/>
      <c r="BF174" s="3444"/>
      <c r="BG174" s="3444"/>
      <c r="BH174" s="3444"/>
      <c r="BI174" s="3445"/>
      <c r="BJ174" s="3443"/>
      <c r="BK174" s="3444"/>
      <c r="BL174" s="3444"/>
      <c r="BM174" s="3444"/>
      <c r="BN174" s="3444"/>
      <c r="BO174" s="3444"/>
      <c r="BP174" s="3444"/>
      <c r="BQ174" s="3445"/>
      <c r="BR174" s="3443"/>
      <c r="BS174" s="3444"/>
      <c r="BT174" s="3444"/>
      <c r="BU174" s="3444"/>
      <c r="BV174" s="3444"/>
      <c r="BW174" s="3444"/>
      <c r="BX174" s="3444"/>
      <c r="BY174" s="3445"/>
      <c r="BZ174" s="3443"/>
      <c r="CA174" s="3444"/>
      <c r="CB174" s="3444"/>
      <c r="CC174" s="3444"/>
      <c r="CD174" s="3444"/>
      <c r="CE174" s="3444"/>
      <c r="CF174" s="3444"/>
      <c r="CG174" s="3445"/>
      <c r="CH174" s="3443"/>
      <c r="CI174" s="3444"/>
      <c r="CJ174" s="3444"/>
      <c r="CK174" s="3444"/>
      <c r="CL174" s="3444"/>
      <c r="CM174" s="3444"/>
      <c r="CN174" s="3444"/>
      <c r="CO174" s="3445"/>
      <c r="CP174" s="3443"/>
      <c r="CQ174" s="3444"/>
      <c r="CR174" s="3444"/>
      <c r="CS174" s="3444"/>
      <c r="CT174" s="3444"/>
      <c r="CU174" s="3444"/>
      <c r="CV174" s="3444"/>
      <c r="CW174" s="3445"/>
      <c r="CX174" s="3443"/>
      <c r="CY174" s="3444"/>
      <c r="CZ174" s="3444"/>
      <c r="DA174" s="3444"/>
      <c r="DB174" s="3444"/>
      <c r="DC174" s="3444"/>
      <c r="DD174" s="3444"/>
      <c r="DE174" s="3445"/>
      <c r="DF174" s="3445"/>
      <c r="DG174" s="3789" t="s">
        <v>455</v>
      </c>
      <c r="DH174" s="3611"/>
      <c r="DI174" s="3790"/>
      <c r="DJ174" s="3790" t="str">
        <f>IF(T174="","",T174)</f>
        <v>Группа потребителей</v>
      </c>
      <c r="DK174" s="3790"/>
      <c r="DL174" s="3790"/>
    </row>
    <row s="5795" customFormat="1" customHeight="1" ht="21">
      <c r="A175" s="3778"/>
      <c r="B175" s="3778"/>
      <c r="C175" s="3778"/>
      <c r="D175" s="3778"/>
      <c r="E175" s="3779"/>
      <c r="F175" s="3779"/>
      <c r="G175" s="3779"/>
      <c r="H175" s="3779">
        <v>1</v>
      </c>
      <c r="I175" s="3806"/>
      <c r="J175" s="3806"/>
      <c r="K175" s="3797" t="str">
        <f>J174&amp;".1"</f>
        <v>2.5.1.2.1.1.1</v>
      </c>
      <c r="L175" s="3781" t="s">
        <v>456</v>
      </c>
      <c r="M175" s="3603"/>
      <c r="N175" s="3603"/>
      <c r="O175" s="3603"/>
      <c r="P175" s="3799"/>
      <c r="Q175" s="3799"/>
      <c r="R175" s="3807">
        <v>1</v>
      </c>
      <c r="S175" s="3786" t="str">
        <f>$K175</f>
        <v>2.5.1.2.1.1.1</v>
      </c>
      <c r="T175" s="3810" t="s">
        <v>495</v>
      </c>
      <c r="U175" s="3788"/>
      <c r="V175" s="3446"/>
      <c r="W175" s="3447"/>
      <c r="X175" s="3446"/>
      <c r="Y175" s="3448"/>
      <c r="Z175" s="3449"/>
      <c r="AA175" s="2872" t="s">
        <v>61</v>
      </c>
      <c r="AB175" s="3449"/>
      <c r="AC175" s="2872" t="s">
        <v>61</v>
      </c>
      <c r="AD175" s="3446">
        <v>45</v>
      </c>
      <c r="AE175" s="3447"/>
      <c r="AF175" s="3446"/>
      <c r="AG175" s="3448"/>
      <c r="AH175" s="3449">
        <v>45292</v>
      </c>
      <c r="AI175" s="2872" t="s">
        <v>61</v>
      </c>
      <c r="AJ175" s="3449">
        <v>45473</v>
      </c>
      <c r="AK175" s="2872" t="s">
        <v>61</v>
      </c>
      <c r="AL175" s="3446">
        <v>50.67</v>
      </c>
      <c r="AM175" s="3447"/>
      <c r="AN175" s="3446"/>
      <c r="AO175" s="3448"/>
      <c r="AP175" s="3449">
        <v>45474</v>
      </c>
      <c r="AQ175" s="2872" t="s">
        <v>61</v>
      </c>
      <c r="AR175" s="3449">
        <v>45657</v>
      </c>
      <c r="AS175" s="2872" t="s">
        <v>61</v>
      </c>
      <c r="AT175" s="3446">
        <v>50.67</v>
      </c>
      <c r="AU175" s="3447"/>
      <c r="AV175" s="3446"/>
      <c r="AW175" s="3448"/>
      <c r="AX175" s="3449">
        <v>45658</v>
      </c>
      <c r="AY175" s="2872" t="s">
        <v>61</v>
      </c>
      <c r="AZ175" s="3449">
        <v>45838</v>
      </c>
      <c r="BA175" s="2872" t="s">
        <v>61</v>
      </c>
      <c r="BB175" s="3446">
        <v>57.04</v>
      </c>
      <c r="BC175" s="3447"/>
      <c r="BD175" s="3446"/>
      <c r="BE175" s="3448"/>
      <c r="BF175" s="3449">
        <v>45839</v>
      </c>
      <c r="BG175" s="2872" t="s">
        <v>61</v>
      </c>
      <c r="BH175" s="3449">
        <v>46022</v>
      </c>
      <c r="BI175" s="2872" t="s">
        <v>61</v>
      </c>
      <c r="BJ175" s="3446">
        <v>57.04</v>
      </c>
      <c r="BK175" s="3447"/>
      <c r="BL175" s="3446"/>
      <c r="BM175" s="3448"/>
      <c r="BN175" s="3449">
        <v>46023</v>
      </c>
      <c r="BO175" s="2872" t="s">
        <v>61</v>
      </c>
      <c r="BP175" s="3449">
        <v>46203</v>
      </c>
      <c r="BQ175" s="2872" t="s">
        <v>61</v>
      </c>
      <c r="BR175" s="3446">
        <v>58.27</v>
      </c>
      <c r="BS175" s="3447"/>
      <c r="BT175" s="3446"/>
      <c r="BU175" s="3448"/>
      <c r="BV175" s="3449">
        <v>46204</v>
      </c>
      <c r="BW175" s="2872" t="s">
        <v>61</v>
      </c>
      <c r="BX175" s="3449">
        <v>46387</v>
      </c>
      <c r="BY175" s="2872" t="s">
        <v>61</v>
      </c>
      <c r="BZ175" s="3446">
        <v>58.27</v>
      </c>
      <c r="CA175" s="3447"/>
      <c r="CB175" s="3446"/>
      <c r="CC175" s="3448"/>
      <c r="CD175" s="3449">
        <v>46388</v>
      </c>
      <c r="CE175" s="2872" t="s">
        <v>61</v>
      </c>
      <c r="CF175" s="3449">
        <v>46568</v>
      </c>
      <c r="CG175" s="2872" t="s">
        <v>61</v>
      </c>
      <c r="CH175" s="3446">
        <v>60.6</v>
      </c>
      <c r="CI175" s="3447"/>
      <c r="CJ175" s="3446"/>
      <c r="CK175" s="3448"/>
      <c r="CL175" s="3449">
        <v>46569</v>
      </c>
      <c r="CM175" s="2872" t="s">
        <v>61</v>
      </c>
      <c r="CN175" s="3449">
        <v>46752</v>
      </c>
      <c r="CO175" s="2872" t="s">
        <v>61</v>
      </c>
      <c r="CP175" s="3446">
        <v>60.6</v>
      </c>
      <c r="CQ175" s="3447"/>
      <c r="CR175" s="3446"/>
      <c r="CS175" s="3448"/>
      <c r="CT175" s="3449">
        <v>46753</v>
      </c>
      <c r="CU175" s="2872" t="s">
        <v>61</v>
      </c>
      <c r="CV175" s="3449">
        <v>46934</v>
      </c>
      <c r="CW175" s="2872" t="s">
        <v>61</v>
      </c>
      <c r="CX175" s="3446">
        <v>63.02</v>
      </c>
      <c r="CY175" s="3447"/>
      <c r="CZ175" s="3446"/>
      <c r="DA175" s="3448"/>
      <c r="DB175" s="3449">
        <v>46935</v>
      </c>
      <c r="DC175" s="2872" t="s">
        <v>61</v>
      </c>
      <c r="DD175" s="3449">
        <v>47118</v>
      </c>
      <c r="DE175" s="2872" t="s">
        <v>61</v>
      </c>
      <c r="DF175" s="3447"/>
      <c r="DG175" s="3811" t="s">
        <v>457</v>
      </c>
      <c r="DH175" s="3611">
        <f>STRCHECKDATE(V176:DF176)</f>
      </c>
      <c r="DI175" s="3790"/>
      <c r="DJ175" s="3790" t="str">
        <f>IF(T175="","",T175)</f>
        <v>вода</v>
      </c>
      <c r="DK175" s="3790"/>
      <c r="DL175" s="3790"/>
    </row>
    <row s="5796" customFormat="1" customHeight="1" ht="0.75">
      <c r="A176" s="3778"/>
      <c r="B176" s="3778"/>
      <c r="C176" s="3778"/>
      <c r="D176" s="3778"/>
      <c r="E176" s="3779"/>
      <c r="F176" s="3779"/>
      <c r="G176" s="3779"/>
      <c r="H176" s="3779">
        <v>1</v>
      </c>
      <c r="I176" s="3806"/>
      <c r="J176" s="3806"/>
      <c r="K176" s="3797"/>
      <c r="L176" s="3781"/>
      <c r="M176" s="3603"/>
      <c r="N176" s="3603"/>
      <c r="O176" s="3603"/>
      <c r="P176" s="3799"/>
      <c r="Q176" s="3799"/>
      <c r="R176" s="3807"/>
      <c r="S176" s="3813"/>
      <c r="T176" s="3788"/>
      <c r="U176" s="3788"/>
      <c r="V176" s="3447"/>
      <c r="W176" s="3447"/>
      <c r="X176" s="3447"/>
      <c r="Y176" s="3450" t="str">
        <f>Z175&amp;"-"&amp;AB175</f>
        <v>-</v>
      </c>
      <c r="Z176" s="3451"/>
      <c r="AA176" s="2872"/>
      <c r="AB176" s="3451"/>
      <c r="AC176" s="2872"/>
      <c r="AD176" s="3447"/>
      <c r="AE176" s="3447"/>
      <c r="AF176" s="3447"/>
      <c r="AG176" s="3450" t="str">
        <f>AH175&amp;"-"&amp;AJ175</f>
        <v>45292-45473</v>
      </c>
      <c r="AH176" s="3451"/>
      <c r="AI176" s="2872"/>
      <c r="AJ176" s="3451"/>
      <c r="AK176" s="2872"/>
      <c r="AL176" s="3447"/>
      <c r="AM176" s="3447"/>
      <c r="AN176" s="3447"/>
      <c r="AO176" s="3450" t="str">
        <f>AP175&amp;"-"&amp;AR175</f>
        <v>45474-45657</v>
      </c>
      <c r="AP176" s="3451"/>
      <c r="AQ176" s="2872"/>
      <c r="AR176" s="3451"/>
      <c r="AS176" s="2872"/>
      <c r="AT176" s="3447"/>
      <c r="AU176" s="3447"/>
      <c r="AV176" s="3447"/>
      <c r="AW176" s="3450" t="str">
        <f>AX175&amp;"-"&amp;AZ175</f>
        <v>45658-45838</v>
      </c>
      <c r="AX176" s="3451"/>
      <c r="AY176" s="2872"/>
      <c r="AZ176" s="3451"/>
      <c r="BA176" s="2872"/>
      <c r="BB176" s="3447"/>
      <c r="BC176" s="3447"/>
      <c r="BD176" s="3447"/>
      <c r="BE176" s="3450" t="str">
        <f>BF175&amp;"-"&amp;BH175</f>
        <v>45839-46022</v>
      </c>
      <c r="BF176" s="3451"/>
      <c r="BG176" s="2872"/>
      <c r="BH176" s="3451"/>
      <c r="BI176" s="2872"/>
      <c r="BJ176" s="3447"/>
      <c r="BK176" s="3447"/>
      <c r="BL176" s="3447"/>
      <c r="BM176" s="3450" t="str">
        <f>BN175&amp;"-"&amp;BP175</f>
        <v>46023-46203</v>
      </c>
      <c r="BN176" s="3451"/>
      <c r="BO176" s="2872"/>
      <c r="BP176" s="3451"/>
      <c r="BQ176" s="2872"/>
      <c r="BR176" s="3447"/>
      <c r="BS176" s="3447"/>
      <c r="BT176" s="3447"/>
      <c r="BU176" s="3450" t="str">
        <f>BV175&amp;"-"&amp;BX175</f>
        <v>46204-46387</v>
      </c>
      <c r="BV176" s="3451"/>
      <c r="BW176" s="2872"/>
      <c r="BX176" s="3451"/>
      <c r="BY176" s="2872"/>
      <c r="BZ176" s="3447"/>
      <c r="CA176" s="3447"/>
      <c r="CB176" s="3447"/>
      <c r="CC176" s="3450" t="str">
        <f>CD175&amp;"-"&amp;CF175</f>
        <v>46388-46568</v>
      </c>
      <c r="CD176" s="3451"/>
      <c r="CE176" s="2872"/>
      <c r="CF176" s="3451"/>
      <c r="CG176" s="2872"/>
      <c r="CH176" s="3447"/>
      <c r="CI176" s="3447"/>
      <c r="CJ176" s="3447"/>
      <c r="CK176" s="3450" t="str">
        <f>CL175&amp;"-"&amp;CN175</f>
        <v>46569-46752</v>
      </c>
      <c r="CL176" s="3451"/>
      <c r="CM176" s="2872"/>
      <c r="CN176" s="3451"/>
      <c r="CO176" s="2872"/>
      <c r="CP176" s="3447"/>
      <c r="CQ176" s="3447"/>
      <c r="CR176" s="3447"/>
      <c r="CS176" s="3450" t="str">
        <f>CT175&amp;"-"&amp;CV175</f>
        <v>46753-46934</v>
      </c>
      <c r="CT176" s="3451"/>
      <c r="CU176" s="2872"/>
      <c r="CV176" s="3451"/>
      <c r="CW176" s="2872"/>
      <c r="CX176" s="3447"/>
      <c r="CY176" s="3447"/>
      <c r="CZ176" s="3447"/>
      <c r="DA176" s="3450" t="str">
        <f>DB175&amp;"-"&amp;DD175</f>
        <v>46935-47118</v>
      </c>
      <c r="DB176" s="3451"/>
      <c r="DC176" s="2872"/>
      <c r="DD176" s="3451"/>
      <c r="DE176" s="2872"/>
      <c r="DF176" s="3447"/>
      <c r="DG176" s="3814"/>
      <c r="DH176" s="3611"/>
      <c r="DI176" s="3790"/>
      <c r="DJ176" s="3790" t="str">
        <f>IF(T176="","",T176)</f>
        <v/>
      </c>
      <c r="DK176" s="3790"/>
      <c r="DL176" s="3790"/>
    </row>
    <row s="5797" customFormat="1" customHeight="1" ht="15">
      <c r="A177" s="3778"/>
      <c r="B177" s="3778"/>
      <c r="C177" s="3778"/>
      <c r="D177" s="3778"/>
      <c r="E177" s="3779"/>
      <c r="F177" s="3779"/>
      <c r="G177" s="3779"/>
      <c r="H177" s="3779">
        <v>1</v>
      </c>
      <c r="I177" s="3806"/>
      <c r="J177" s="3797"/>
      <c r="K177" s="3778"/>
      <c r="L177" s="3781"/>
      <c r="M177" s="3603"/>
      <c r="N177" s="3603"/>
      <c r="O177" s="3798"/>
      <c r="P177" s="3799"/>
      <c r="Q177" s="3799"/>
      <c r="R177" s="3800"/>
      <c r="S177" s="5798"/>
      <c r="T177" s="5799" t="s">
        <v>458</v>
      </c>
      <c r="U177" s="5800"/>
      <c r="V177" s="5801"/>
      <c r="W177" s="5802"/>
      <c r="X177" s="5803"/>
      <c r="Y177" s="5804"/>
      <c r="Z177" s="5805"/>
      <c r="AA177" s="5806"/>
      <c r="AB177" s="5807"/>
      <c r="AC177" s="5808"/>
      <c r="AD177" s="5809"/>
      <c r="AE177" s="5810"/>
      <c r="AF177" s="5811"/>
      <c r="AG177" s="5812"/>
      <c r="AH177" s="5813"/>
      <c r="AI177" s="5814"/>
      <c r="AJ177" s="5815"/>
      <c r="AK177" s="5816"/>
      <c r="AL177" s="5817"/>
      <c r="AM177" s="5818"/>
      <c r="AN177" s="5819"/>
      <c r="AO177" s="5820"/>
      <c r="AP177" s="5821"/>
      <c r="AQ177" s="5822"/>
      <c r="AR177" s="5823"/>
      <c r="AS177" s="5824"/>
      <c r="AT177" s="5825"/>
      <c r="AU177" s="5826"/>
      <c r="AV177" s="5827"/>
      <c r="AW177" s="5828"/>
      <c r="AX177" s="5829"/>
      <c r="AY177" s="5830"/>
      <c r="AZ177" s="5831"/>
      <c r="BA177" s="5832"/>
      <c r="BB177" s="5833"/>
      <c r="BC177" s="5834"/>
      <c r="BD177" s="5835"/>
      <c r="BE177" s="5836"/>
      <c r="BF177" s="5837"/>
      <c r="BG177" s="5838"/>
      <c r="BH177" s="5839"/>
      <c r="BI177" s="5840"/>
      <c r="BJ177" s="5841"/>
      <c r="BK177" s="5842"/>
      <c r="BL177" s="5843"/>
      <c r="BM177" s="5844"/>
      <c r="BN177" s="5845"/>
      <c r="BO177" s="5846"/>
      <c r="BP177" s="5847"/>
      <c r="BQ177" s="5848"/>
      <c r="BR177" s="5849"/>
      <c r="BS177" s="5850"/>
      <c r="BT177" s="5851"/>
      <c r="BU177" s="5852"/>
      <c r="BV177" s="5853"/>
      <c r="BW177" s="5854"/>
      <c r="BX177" s="5855"/>
      <c r="BY177" s="5856"/>
      <c r="BZ177" s="5857"/>
      <c r="CA177" s="5858"/>
      <c r="CB177" s="5859"/>
      <c r="CC177" s="5860"/>
      <c r="CD177" s="5861"/>
      <c r="CE177" s="5862"/>
      <c r="CF177" s="5863"/>
      <c r="CG177" s="5864"/>
      <c r="CH177" s="5865"/>
      <c r="CI177" s="5866"/>
      <c r="CJ177" s="5867"/>
      <c r="CK177" s="5868"/>
      <c r="CL177" s="5869"/>
      <c r="CM177" s="5870"/>
      <c r="CN177" s="5871"/>
      <c r="CO177" s="5872"/>
      <c r="CP177" s="5873"/>
      <c r="CQ177" s="5874"/>
      <c r="CR177" s="5875"/>
      <c r="CS177" s="5876"/>
      <c r="CT177" s="5877"/>
      <c r="CU177" s="5878"/>
      <c r="CV177" s="5879"/>
      <c r="CW177" s="5880"/>
      <c r="CX177" s="5881"/>
      <c r="CY177" s="5882"/>
      <c r="CZ177" s="5883"/>
      <c r="DA177" s="5884"/>
      <c r="DB177" s="5885"/>
      <c r="DC177" s="5886"/>
      <c r="DD177" s="5887"/>
      <c r="DE177" s="5888"/>
      <c r="DF177" s="5889"/>
      <c r="DG177" s="3908"/>
      <c r="DH177" s="3611"/>
      <c r="DI177" s="3790"/>
      <c r="DJ177" s="3790" t="str">
        <f>IF(T177="","",T177)</f>
        <v>Добавить вид теплоносителя (параметры теплоносителя)</v>
      </c>
      <c r="DK177" s="3790"/>
      <c r="DL177" s="3790"/>
    </row>
    <row s="5890" customFormat="1" customHeight="1" ht="15">
      <c r="A178" s="3778"/>
      <c r="B178" s="3778"/>
      <c r="C178" s="3778"/>
      <c r="D178" s="3778"/>
      <c r="E178" s="3779"/>
      <c r="F178" s="3779"/>
      <c r="G178" s="3779"/>
      <c r="H178" s="3779">
        <v>1</v>
      </c>
      <c r="I178" s="3797"/>
      <c r="J178" s="3778"/>
      <c r="K178" s="3778"/>
      <c r="L178" s="3781"/>
      <c r="M178" s="3603"/>
      <c r="N178" s="3798"/>
      <c r="O178" s="3798"/>
      <c r="P178" s="3799"/>
      <c r="Q178" s="3799"/>
      <c r="R178" s="3800"/>
      <c r="S178" s="5891"/>
      <c r="T178" s="5892" t="s">
        <v>459</v>
      </c>
      <c r="U178" s="5893"/>
      <c r="V178" s="5894"/>
      <c r="W178" s="5895"/>
      <c r="X178" s="5896"/>
      <c r="Y178" s="5897"/>
      <c r="Z178" s="5898"/>
      <c r="AA178" s="5899"/>
      <c r="AB178" s="5900"/>
      <c r="AC178" s="5901"/>
      <c r="AD178" s="5902"/>
      <c r="AE178" s="5903"/>
      <c r="AF178" s="5904"/>
      <c r="AG178" s="5905"/>
      <c r="AH178" s="5906"/>
      <c r="AI178" s="5907"/>
      <c r="AJ178" s="5908"/>
      <c r="AK178" s="5909"/>
      <c r="AL178" s="5910"/>
      <c r="AM178" s="5911"/>
      <c r="AN178" s="5912"/>
      <c r="AO178" s="5913"/>
      <c r="AP178" s="5914"/>
      <c r="AQ178" s="5915"/>
      <c r="AR178" s="5916"/>
      <c r="AS178" s="5917"/>
      <c r="AT178" s="5918"/>
      <c r="AU178" s="5919"/>
      <c r="AV178" s="5920"/>
      <c r="AW178" s="5921"/>
      <c r="AX178" s="5922"/>
      <c r="AY178" s="5923"/>
      <c r="AZ178" s="5924"/>
      <c r="BA178" s="5925"/>
      <c r="BB178" s="5926"/>
      <c r="BC178" s="5927"/>
      <c r="BD178" s="5928"/>
      <c r="BE178" s="5929"/>
      <c r="BF178" s="5930"/>
      <c r="BG178" s="5931"/>
      <c r="BH178" s="5932"/>
      <c r="BI178" s="5933"/>
      <c r="BJ178" s="5934"/>
      <c r="BK178" s="5935"/>
      <c r="BL178" s="5936"/>
      <c r="BM178" s="5937"/>
      <c r="BN178" s="5938"/>
      <c r="BO178" s="5939"/>
      <c r="BP178" s="5940"/>
      <c r="BQ178" s="5941"/>
      <c r="BR178" s="5942"/>
      <c r="BS178" s="5943"/>
      <c r="BT178" s="5944"/>
      <c r="BU178" s="5945"/>
      <c r="BV178" s="5946"/>
      <c r="BW178" s="5947"/>
      <c r="BX178" s="5948"/>
      <c r="BY178" s="5949"/>
      <c r="BZ178" s="5950"/>
      <c r="CA178" s="5951"/>
      <c r="CB178" s="5952"/>
      <c r="CC178" s="5953"/>
      <c r="CD178" s="5954"/>
      <c r="CE178" s="5955"/>
      <c r="CF178" s="5956"/>
      <c r="CG178" s="5957"/>
      <c r="CH178" s="5958"/>
      <c r="CI178" s="5959"/>
      <c r="CJ178" s="5960"/>
      <c r="CK178" s="5961"/>
      <c r="CL178" s="5962"/>
      <c r="CM178" s="5963"/>
      <c r="CN178" s="5964"/>
      <c r="CO178" s="5965"/>
      <c r="CP178" s="5966"/>
      <c r="CQ178" s="5967"/>
      <c r="CR178" s="5968"/>
      <c r="CS178" s="5969"/>
      <c r="CT178" s="5970"/>
      <c r="CU178" s="5971"/>
      <c r="CV178" s="5972"/>
      <c r="CW178" s="5973"/>
      <c r="CX178" s="5974"/>
      <c r="CY178" s="5975"/>
      <c r="CZ178" s="5976"/>
      <c r="DA178" s="5977"/>
      <c r="DB178" s="5978"/>
      <c r="DC178" s="5979"/>
      <c r="DD178" s="5980"/>
      <c r="DE178" s="5981"/>
      <c r="DF178" s="5982"/>
      <c r="DG178" s="5983"/>
      <c r="DH178" s="3611"/>
      <c r="DI178" s="3790"/>
      <c r="DJ178" s="3790" t="str">
        <f>IF(T178="","",T178)</f>
        <v>Добавить группу потребителей</v>
      </c>
      <c r="DK178" s="3790"/>
      <c r="DL178" s="3790"/>
    </row>
    <row s="5984" customFormat="1" customHeight="1" ht="14.25">
      <c r="A179" s="3778"/>
      <c r="B179" s="3778"/>
      <c r="C179" s="3778"/>
      <c r="D179" s="3778"/>
      <c r="E179" s="3779"/>
      <c r="F179" s="3779"/>
      <c r="G179" s="3779"/>
      <c r="H179" s="3780">
        <v>1</v>
      </c>
      <c r="I179" s="3778"/>
      <c r="J179" s="3778"/>
      <c r="K179" s="3778"/>
      <c r="L179" s="3781"/>
      <c r="M179" s="3782"/>
      <c r="N179" s="3782"/>
      <c r="O179" s="3603"/>
      <c r="P179" s="4004"/>
      <c r="Q179" s="4005"/>
      <c r="R179" s="4006"/>
      <c r="S179" s="4007"/>
      <c r="T179" s="4008"/>
      <c r="U179" s="3599"/>
      <c r="V179" s="3599"/>
      <c r="W179" s="3599"/>
      <c r="X179" s="3599"/>
      <c r="Y179" s="3599"/>
      <c r="Z179" s="3599"/>
      <c r="AA179" s="3599"/>
      <c r="AB179" s="3599"/>
      <c r="AC179" s="3599"/>
      <c r="AD179" s="3599"/>
      <c r="AE179" s="3599"/>
      <c r="AF179" s="3599"/>
      <c r="AG179" s="3599"/>
      <c r="AH179" s="3599"/>
      <c r="AI179" s="3599"/>
      <c r="AJ179" s="3599"/>
      <c r="AK179" s="3599"/>
      <c r="AL179" s="3599"/>
      <c r="AM179" s="3599"/>
      <c r="AN179" s="3599"/>
      <c r="AO179" s="3599"/>
      <c r="AP179" s="3599"/>
      <c r="AQ179" s="3599"/>
      <c r="AR179" s="3599"/>
      <c r="AS179" s="3599"/>
      <c r="AT179" s="3599"/>
      <c r="AU179" s="3599"/>
      <c r="AV179" s="3599"/>
      <c r="AW179" s="3599"/>
      <c r="AX179" s="3599"/>
      <c r="AY179" s="3599"/>
      <c r="AZ179" s="3599"/>
      <c r="BA179" s="3599"/>
      <c r="BB179" s="3599"/>
      <c r="BC179" s="3599"/>
      <c r="BD179" s="3599"/>
      <c r="BE179" s="3599"/>
      <c r="BF179" s="3599"/>
      <c r="BG179" s="3599"/>
      <c r="BH179" s="3599"/>
      <c r="BI179" s="3599"/>
      <c r="BJ179" s="3599"/>
      <c r="BK179" s="3599"/>
      <c r="BL179" s="3599"/>
      <c r="BM179" s="3599"/>
      <c r="BN179" s="3599"/>
      <c r="BO179" s="3599"/>
      <c r="BP179" s="3599"/>
      <c r="BQ179" s="3599"/>
      <c r="BR179" s="3599"/>
      <c r="BS179" s="3599"/>
      <c r="BT179" s="3599"/>
      <c r="BU179" s="3599"/>
      <c r="BV179" s="3599"/>
      <c r="BW179" s="3599"/>
      <c r="BX179" s="3599"/>
      <c r="BY179" s="3599"/>
      <c r="BZ179" s="3599"/>
      <c r="CA179" s="3599"/>
      <c r="CB179" s="3599"/>
      <c r="CC179" s="3599"/>
      <c r="CD179" s="3599"/>
      <c r="CE179" s="3599"/>
      <c r="CF179" s="3599"/>
      <c r="CG179" s="3599"/>
      <c r="CH179" s="3599"/>
      <c r="CI179" s="3599"/>
      <c r="CJ179" s="3599"/>
      <c r="CK179" s="3599"/>
      <c r="CL179" s="3599"/>
      <c r="CM179" s="3599"/>
      <c r="CN179" s="3599"/>
      <c r="CO179" s="3599"/>
      <c r="CP179" s="3599"/>
      <c r="CQ179" s="3599"/>
      <c r="CR179" s="3599"/>
      <c r="CS179" s="3599"/>
      <c r="CT179" s="3599"/>
      <c r="CU179" s="3599"/>
      <c r="CV179" s="3599"/>
      <c r="CW179" s="3599"/>
      <c r="CX179" s="3599"/>
      <c r="CY179" s="3599"/>
      <c r="CZ179" s="3599"/>
      <c r="DA179" s="3599"/>
      <c r="DB179" s="3599"/>
      <c r="DC179" s="3599"/>
      <c r="DD179" s="3599"/>
      <c r="DE179" s="3599"/>
      <c r="DF179" s="3599"/>
      <c r="DG179" s="4009"/>
      <c r="DH179" s="3611"/>
      <c r="DI179" s="3790"/>
      <c r="DJ179" s="3790" t="str">
        <f>IF(T179="","",T179)</f>
        <v/>
      </c>
      <c r="DK179" s="3790"/>
      <c r="DL179" s="3790"/>
    </row>
    <row s="5985" customFormat="1" customHeight="1" ht="0.75">
      <c r="A180" s="4011"/>
      <c r="B180" s="4011"/>
      <c r="C180" s="4011"/>
      <c r="D180" s="4011"/>
      <c r="E180" s="3779"/>
      <c r="F180" s="3779" t="s">
        <v>90</v>
      </c>
      <c r="G180" s="3780"/>
      <c r="H180" s="4011"/>
      <c r="I180" s="4011"/>
      <c r="J180" s="4011"/>
      <c r="K180" s="4011"/>
      <c r="L180" s="4012"/>
      <c r="M180" s="4013"/>
      <c r="N180" s="4013"/>
      <c r="O180" s="3611"/>
      <c r="P180" s="4014"/>
      <c r="Q180" s="4015"/>
      <c r="R180" s="4014"/>
      <c r="S180" s="4016"/>
      <c r="T180" s="4017" t="s">
        <v>191</v>
      </c>
      <c r="U180" s="3601"/>
      <c r="V180" s="3601"/>
      <c r="W180" s="3601"/>
      <c r="X180" s="3601"/>
      <c r="Y180" s="3601"/>
      <c r="Z180" s="3601"/>
      <c r="AA180" s="3601"/>
      <c r="AB180" s="3601"/>
      <c r="AC180" s="3601"/>
      <c r="AD180" s="3601"/>
      <c r="AE180" s="3601"/>
      <c r="AF180" s="3601"/>
      <c r="AG180" s="3601"/>
      <c r="AH180" s="3601"/>
      <c r="AI180" s="3601"/>
      <c r="AJ180" s="3601"/>
      <c r="AK180" s="3601"/>
      <c r="AL180" s="3601"/>
      <c r="AM180" s="3601"/>
      <c r="AN180" s="3601"/>
      <c r="AO180" s="3601"/>
      <c r="AP180" s="3601"/>
      <c r="AQ180" s="3601"/>
      <c r="AR180" s="3601"/>
      <c r="AS180" s="3601"/>
      <c r="AT180" s="3601"/>
      <c r="AU180" s="3601"/>
      <c r="AV180" s="3601"/>
      <c r="AW180" s="3601"/>
      <c r="AX180" s="3601"/>
      <c r="AY180" s="3601"/>
      <c r="AZ180" s="3601"/>
      <c r="BA180" s="3601"/>
      <c r="BB180" s="3601"/>
      <c r="BC180" s="3601"/>
      <c r="BD180" s="3601"/>
      <c r="BE180" s="3601"/>
      <c r="BF180" s="3601"/>
      <c r="BG180" s="3601"/>
      <c r="BH180" s="3601"/>
      <c r="BI180" s="3601"/>
      <c r="BJ180" s="3601"/>
      <c r="BK180" s="3601"/>
      <c r="BL180" s="3601"/>
      <c r="BM180" s="3601"/>
      <c r="BN180" s="3601"/>
      <c r="BO180" s="3601"/>
      <c r="BP180" s="3601"/>
      <c r="BQ180" s="3601"/>
      <c r="BR180" s="3601"/>
      <c r="BS180" s="3601"/>
      <c r="BT180" s="3601"/>
      <c r="BU180" s="3601"/>
      <c r="BV180" s="3601"/>
      <c r="BW180" s="3601"/>
      <c r="BX180" s="3601"/>
      <c r="BY180" s="3601"/>
      <c r="BZ180" s="3601"/>
      <c r="CA180" s="3601"/>
      <c r="CB180" s="3601"/>
      <c r="CC180" s="3601"/>
      <c r="CD180" s="3601"/>
      <c r="CE180" s="3601"/>
      <c r="CF180" s="3601"/>
      <c r="CG180" s="3601"/>
      <c r="CH180" s="3601"/>
      <c r="CI180" s="3601"/>
      <c r="CJ180" s="3601"/>
      <c r="CK180" s="3601"/>
      <c r="CL180" s="3601"/>
      <c r="CM180" s="3601"/>
      <c r="CN180" s="3601"/>
      <c r="CO180" s="3601"/>
      <c r="CP180" s="3601"/>
      <c r="CQ180" s="3601"/>
      <c r="CR180" s="3601"/>
      <c r="CS180" s="3601"/>
      <c r="CT180" s="3601"/>
      <c r="CU180" s="3601"/>
      <c r="CV180" s="3601"/>
      <c r="CW180" s="3601"/>
      <c r="CX180" s="3601"/>
      <c r="CY180" s="3601"/>
      <c r="CZ180" s="3601"/>
      <c r="DA180" s="3601"/>
      <c r="DB180" s="3601"/>
      <c r="DC180" s="3601"/>
      <c r="DD180" s="3601"/>
      <c r="DE180" s="3601"/>
      <c r="DF180" s="3601"/>
      <c r="DG180" s="3601"/>
      <c r="DH180" s="3611"/>
      <c r="DI180" s="3790"/>
      <c r="DJ180" s="3790" t="str">
        <f>IF(T180="","",T180)</f>
        <v>Добавить источник для дифференциации</v>
      </c>
      <c r="DK180" s="3790"/>
      <c r="DL180" s="3790"/>
    </row>
    <row s="5986" customFormat="1" customHeight="1" ht="0.75">
      <c r="A181" s="4011"/>
      <c r="B181" s="4011"/>
      <c r="C181" s="4011"/>
      <c r="D181" s="4011"/>
      <c r="E181" s="3779"/>
      <c r="F181" s="3780" t="s">
        <v>90</v>
      </c>
      <c r="G181" s="4011"/>
      <c r="H181" s="4011"/>
      <c r="I181" s="4011"/>
      <c r="J181" s="4011"/>
      <c r="K181" s="4011"/>
      <c r="L181" s="4012"/>
      <c r="M181" s="4019"/>
      <c r="N181" s="4019"/>
      <c r="O181" s="3611"/>
      <c r="P181" s="4014"/>
      <c r="Q181" s="4015"/>
      <c r="R181" s="4014"/>
      <c r="S181" s="4020"/>
      <c r="T181" s="4021" t="s">
        <v>192</v>
      </c>
      <c r="U181" s="3602"/>
      <c r="V181" s="3602"/>
      <c r="W181" s="3602"/>
      <c r="X181" s="3602"/>
      <c r="Y181" s="3602"/>
      <c r="Z181" s="3602"/>
      <c r="AA181" s="3602"/>
      <c r="AB181" s="3602"/>
      <c r="AC181" s="3602"/>
      <c r="AD181" s="3602"/>
      <c r="AE181" s="3602"/>
      <c r="AF181" s="3602"/>
      <c r="AG181" s="3602"/>
      <c r="AH181" s="3602"/>
      <c r="AI181" s="3602"/>
      <c r="AJ181" s="3602"/>
      <c r="AK181" s="3602"/>
      <c r="AL181" s="3602"/>
      <c r="AM181" s="3602"/>
      <c r="AN181" s="3602"/>
      <c r="AO181" s="3602"/>
      <c r="AP181" s="3602"/>
      <c r="AQ181" s="3602"/>
      <c r="AR181" s="3602"/>
      <c r="AS181" s="3602"/>
      <c r="AT181" s="3602"/>
      <c r="AU181" s="3602"/>
      <c r="AV181" s="3602"/>
      <c r="AW181" s="3602"/>
      <c r="AX181" s="3602"/>
      <c r="AY181" s="3602"/>
      <c r="AZ181" s="3602"/>
      <c r="BA181" s="3602"/>
      <c r="BB181" s="3602"/>
      <c r="BC181" s="3602"/>
      <c r="BD181" s="3602"/>
      <c r="BE181" s="3602"/>
      <c r="BF181" s="3602"/>
      <c r="BG181" s="3602"/>
      <c r="BH181" s="3602"/>
      <c r="BI181" s="3602"/>
      <c r="BJ181" s="3602"/>
      <c r="BK181" s="3602"/>
      <c r="BL181" s="3602"/>
      <c r="BM181" s="3602"/>
      <c r="BN181" s="3602"/>
      <c r="BO181" s="3602"/>
      <c r="BP181" s="3602"/>
      <c r="BQ181" s="3602"/>
      <c r="BR181" s="3602"/>
      <c r="BS181" s="3602"/>
      <c r="BT181" s="3602"/>
      <c r="BU181" s="3602"/>
      <c r="BV181" s="3602"/>
      <c r="BW181" s="3602"/>
      <c r="BX181" s="3602"/>
      <c r="BY181" s="3602"/>
      <c r="BZ181" s="3602"/>
      <c r="CA181" s="3602"/>
      <c r="CB181" s="3602"/>
      <c r="CC181" s="3602"/>
      <c r="CD181" s="3602"/>
      <c r="CE181" s="3602"/>
      <c r="CF181" s="3602"/>
      <c r="CG181" s="3602"/>
      <c r="CH181" s="3602"/>
      <c r="CI181" s="3602"/>
      <c r="CJ181" s="3602"/>
      <c r="CK181" s="3602"/>
      <c r="CL181" s="3602"/>
      <c r="CM181" s="3602"/>
      <c r="CN181" s="3602"/>
      <c r="CO181" s="3602"/>
      <c r="CP181" s="3602"/>
      <c r="CQ181" s="3602"/>
      <c r="CR181" s="3602"/>
      <c r="CS181" s="3602"/>
      <c r="CT181" s="3602"/>
      <c r="CU181" s="3602"/>
      <c r="CV181" s="3602"/>
      <c r="CW181" s="3602"/>
      <c r="CX181" s="3602"/>
      <c r="CY181" s="3602"/>
      <c r="CZ181" s="3602"/>
      <c r="DA181" s="3602"/>
      <c r="DB181" s="3602"/>
      <c r="DC181" s="3602"/>
      <c r="DD181" s="3602"/>
      <c r="DE181" s="3602"/>
      <c r="DF181" s="3602"/>
      <c r="DG181" s="3602"/>
      <c r="DH181" s="3611"/>
      <c r="DI181" s="3790"/>
      <c r="DJ181" s="3790" t="str">
        <f>IF(T181="","",T181)</f>
        <v>Добавить централизованную систему для дифференциации</v>
      </c>
      <c r="DK181" s="3790"/>
      <c r="DL181" s="3790"/>
    </row>
    <row s="5987" customFormat="1" customHeight="1" ht="0.75">
      <c r="A182" s="4011"/>
      <c r="B182" s="4011"/>
      <c r="C182" s="4011"/>
      <c r="D182" s="4011"/>
      <c r="E182" s="3780">
        <v>1</v>
      </c>
      <c r="F182" s="4011"/>
      <c r="G182" s="4011"/>
      <c r="H182" s="4011"/>
      <c r="I182" s="4011"/>
      <c r="J182" s="4011"/>
      <c r="K182" s="4011"/>
      <c r="L182" s="4012"/>
      <c r="M182" s="4019"/>
      <c r="N182" s="4019"/>
      <c r="O182" s="3611"/>
      <c r="P182" s="4014"/>
      <c r="Q182" s="4015"/>
      <c r="R182" s="4014"/>
      <c r="S182" s="4020"/>
      <c r="T182" s="5988" t="s">
        <v>211</v>
      </c>
      <c r="U182" s="3602"/>
      <c r="V182" s="3602"/>
      <c r="W182" s="3602"/>
      <c r="X182" s="3602"/>
      <c r="Y182" s="3602"/>
      <c r="Z182" s="3602"/>
      <c r="AA182" s="3602"/>
      <c r="AB182" s="3602"/>
      <c r="AC182" s="3602"/>
      <c r="AD182" s="3602"/>
      <c r="AE182" s="3602"/>
      <c r="AF182" s="3602"/>
      <c r="AG182" s="3602"/>
      <c r="AH182" s="3602"/>
      <c r="AI182" s="3602"/>
      <c r="AJ182" s="3602"/>
      <c r="AK182" s="3602"/>
      <c r="AL182" s="3602"/>
      <c r="AM182" s="3602"/>
      <c r="AN182" s="3602"/>
      <c r="AO182" s="3602"/>
      <c r="AP182" s="3602"/>
      <c r="AQ182" s="3602"/>
      <c r="AR182" s="3602"/>
      <c r="AS182" s="3602"/>
      <c r="AT182" s="3602"/>
      <c r="AU182" s="3602"/>
      <c r="AV182" s="3602"/>
      <c r="AW182" s="3602"/>
      <c r="AX182" s="3602"/>
      <c r="AY182" s="3602"/>
      <c r="AZ182" s="3602"/>
      <c r="BA182" s="3602"/>
      <c r="BB182" s="3602"/>
      <c r="BC182" s="3602"/>
      <c r="BD182" s="3602"/>
      <c r="BE182" s="3602"/>
      <c r="BF182" s="3602"/>
      <c r="BG182" s="3602"/>
      <c r="BH182" s="3602"/>
      <c r="BI182" s="3602"/>
      <c r="BJ182" s="3602"/>
      <c r="BK182" s="3602"/>
      <c r="BL182" s="3602"/>
      <c r="BM182" s="3602"/>
      <c r="BN182" s="3602"/>
      <c r="BO182" s="3602"/>
      <c r="BP182" s="3602"/>
      <c r="BQ182" s="3602"/>
      <c r="BR182" s="3602"/>
      <c r="BS182" s="3602"/>
      <c r="BT182" s="3602"/>
      <c r="BU182" s="3602"/>
      <c r="BV182" s="3602"/>
      <c r="BW182" s="3602"/>
      <c r="BX182" s="3602"/>
      <c r="BY182" s="3602"/>
      <c r="BZ182" s="3602"/>
      <c r="CA182" s="3602"/>
      <c r="CB182" s="3602"/>
      <c r="CC182" s="3602"/>
      <c r="CD182" s="3602"/>
      <c r="CE182" s="3602"/>
      <c r="CF182" s="3602"/>
      <c r="CG182" s="3602"/>
      <c r="CH182" s="3602"/>
      <c r="CI182" s="3602"/>
      <c r="CJ182" s="3602"/>
      <c r="CK182" s="3602"/>
      <c r="CL182" s="3602"/>
      <c r="CM182" s="3602"/>
      <c r="CN182" s="3602"/>
      <c r="CO182" s="3602"/>
      <c r="CP182" s="3602"/>
      <c r="CQ182" s="3602"/>
      <c r="CR182" s="3602"/>
      <c r="CS182" s="3602"/>
      <c r="CT182" s="3602"/>
      <c r="CU182" s="3602"/>
      <c r="CV182" s="3602"/>
      <c r="CW182" s="3602"/>
      <c r="CX182" s="3602"/>
      <c r="CY182" s="3602"/>
      <c r="CZ182" s="3602"/>
      <c r="DA182" s="3602"/>
      <c r="DB182" s="3602"/>
      <c r="DC182" s="3602"/>
      <c r="DD182" s="3602"/>
      <c r="DE182" s="3602"/>
      <c r="DF182" s="3602"/>
      <c r="DG182" s="3602"/>
      <c r="DH182" s="3611"/>
      <c r="DI182" s="3790"/>
      <c r="DJ182" s="3790" t="str">
        <f>IF(T182="","",T182)</f>
        <v>Добавить территорию для дифференциации</v>
      </c>
      <c r="DK182" s="3790"/>
      <c r="DL182" s="3790"/>
    </row>
    <row s="3312" customFormat="1" customHeight="1" ht="0.75">
      <c r="A183" s="1344"/>
      <c r="B183" s="1344"/>
      <c r="C183" s="1344"/>
      <c r="D183" s="1344"/>
      <c r="E183" s="1373"/>
      <c r="F183" s="1344"/>
      <c r="G183" s="1344"/>
      <c r="H183" s="1344"/>
      <c r="I183" s="1344"/>
      <c r="J183" s="1344"/>
      <c r="K183" s="1344"/>
      <c r="L183" s="1369"/>
      <c r="M183" s="1351"/>
      <c r="N183" s="1351"/>
      <c r="P183" s="1346"/>
      <c r="Q183" s="1347"/>
      <c r="R183" s="1346"/>
      <c r="S183" s="1352"/>
      <c r="T183" s="1355" t="s">
        <v>230</v>
      </c>
      <c r="U183" s="1354"/>
      <c r="V183" s="1354"/>
      <c r="W183" s="1354"/>
      <c r="X183" s="1354"/>
      <c r="Y183" s="1354"/>
      <c r="Z183" s="1354"/>
      <c r="AA183" s="1354"/>
      <c r="AB183" s="1354"/>
      <c r="AC183" s="1354"/>
      <c r="AD183" s="1354"/>
      <c r="AE183" s="1354"/>
      <c r="AF183" s="1354"/>
      <c r="AG183" s="1354"/>
      <c r="AH183" s="1354"/>
      <c r="AI183" s="1354"/>
      <c r="AJ183" s="1354"/>
      <c r="AK183" s="1354"/>
      <c r="AL183" s="3602"/>
      <c r="AM183" s="3602"/>
      <c r="AN183" s="3602"/>
      <c r="AO183" s="3602"/>
      <c r="AP183" s="3602"/>
      <c r="AQ183" s="3602"/>
      <c r="AR183" s="3602"/>
      <c r="AS183" s="3602"/>
      <c r="AT183" s="3602"/>
      <c r="AU183" s="3602"/>
      <c r="AV183" s="3602"/>
      <c r="AW183" s="3602"/>
      <c r="AX183" s="3602"/>
      <c r="AY183" s="3602"/>
      <c r="AZ183" s="3602"/>
      <c r="BA183" s="3602"/>
      <c r="BB183" s="3602"/>
      <c r="BC183" s="3602"/>
      <c r="BD183" s="3602"/>
      <c r="BE183" s="3602"/>
      <c r="BF183" s="3602"/>
      <c r="BG183" s="3602"/>
      <c r="BH183" s="3602"/>
      <c r="BI183" s="3602"/>
      <c r="BJ183" s="3602"/>
      <c r="BK183" s="3602"/>
      <c r="BL183" s="3602"/>
      <c r="BM183" s="3602"/>
      <c r="BN183" s="3602"/>
      <c r="BO183" s="3602"/>
      <c r="BP183" s="3602"/>
      <c r="BQ183" s="3602"/>
      <c r="BR183" s="3602"/>
      <c r="BS183" s="3602"/>
      <c r="BT183" s="3602"/>
      <c r="BU183" s="3602"/>
      <c r="BV183" s="3602"/>
      <c r="BW183" s="3602"/>
      <c r="BX183" s="3602"/>
      <c r="BY183" s="3602"/>
      <c r="BZ183" s="3602"/>
      <c r="CA183" s="3602"/>
      <c r="CB183" s="3602"/>
      <c r="CC183" s="3602"/>
      <c r="CD183" s="3602"/>
      <c r="CE183" s="3602"/>
      <c r="CF183" s="3602"/>
      <c r="CG183" s="3602"/>
      <c r="CH183" s="3602"/>
      <c r="CI183" s="3602"/>
      <c r="CJ183" s="3602"/>
      <c r="CK183" s="3602"/>
      <c r="CL183" s="3602"/>
      <c r="CM183" s="3602"/>
      <c r="CN183" s="3602"/>
      <c r="CO183" s="3602"/>
      <c r="CP183" s="3602"/>
      <c r="CQ183" s="3602"/>
      <c r="CR183" s="3602"/>
      <c r="CS183" s="3602"/>
      <c r="CT183" s="3602"/>
      <c r="CU183" s="3602"/>
      <c r="CV183" s="3602"/>
      <c r="CW183" s="3602"/>
      <c r="CX183" s="3602"/>
      <c r="CY183" s="3602"/>
      <c r="CZ183" s="3602"/>
      <c r="DA183" s="3602"/>
      <c r="DB183" s="3602"/>
      <c r="DC183" s="3602"/>
      <c r="DD183" s="3602"/>
      <c r="DE183" s="3602"/>
      <c r="DF183" s="1354"/>
      <c r="DG183" s="1354"/>
      <c r="DI183" s="795"/>
      <c r="DJ183" s="795" t="str">
        <f>IF(T183="","",T183)</f>
        <v>Добавить наименование тарифа</v>
      </c>
      <c r="DK183" s="795"/>
      <c r="DL183" s="795"/>
    </row>
    <row customHeight="1" ht="11.25">
      <c r="M184" s="1168"/>
      <c r="N184" s="1168"/>
      <c r="O184" s="543"/>
      <c r="P184" s="1163"/>
      <c r="Q184" s="1163"/>
      <c r="R184" s="1163"/>
      <c r="S184" s="1163"/>
      <c r="AL184" s="3429"/>
      <c r="AM184" s="3429"/>
      <c r="AN184" s="3429"/>
      <c r="AO184" s="3429"/>
      <c r="AP184" s="3429"/>
      <c r="AQ184" s="3429"/>
      <c r="AR184" s="3429"/>
      <c r="AS184" s="3429"/>
      <c r="AT184" s="3429"/>
      <c r="AU184" s="3429"/>
      <c r="AV184" s="3429"/>
      <c r="AW184" s="3429"/>
      <c r="AX184" s="3429"/>
      <c r="AY184" s="3429"/>
      <c r="AZ184" s="3429"/>
      <c r="BA184" s="3429"/>
      <c r="BB184" s="3429"/>
      <c r="BC184" s="3429"/>
      <c r="BD184" s="3429"/>
      <c r="BE184" s="3429"/>
      <c r="BF184" s="3429"/>
      <c r="BG184" s="3429"/>
      <c r="BH184" s="3429"/>
      <c r="BI184" s="3429"/>
      <c r="BJ184" s="3429"/>
      <c r="BK184" s="3429"/>
      <c r="BL184" s="3429"/>
      <c r="BM184" s="3429"/>
      <c r="BN184" s="3429"/>
      <c r="BO184" s="3429"/>
      <c r="BP184" s="3429"/>
      <c r="BQ184" s="3429"/>
      <c r="BR184" s="3429"/>
      <c r="BS184" s="3429"/>
      <c r="BT184" s="3429"/>
      <c r="BU184" s="3429"/>
      <c r="BV184" s="3429"/>
      <c r="BW184" s="3429"/>
      <c r="BX184" s="3429"/>
      <c r="BY184" s="3429"/>
      <c r="BZ184" s="3429"/>
      <c r="CA184" s="3429"/>
      <c r="CB184" s="3429"/>
      <c r="CC184" s="3429"/>
      <c r="CD184" s="3429"/>
      <c r="CE184" s="3429"/>
      <c r="CF184" s="3429"/>
      <c r="CG184" s="3429"/>
      <c r="CH184" s="3429"/>
      <c r="CI184" s="3429"/>
      <c r="CJ184" s="3429"/>
      <c r="CK184" s="3429"/>
      <c r="CL184" s="3429"/>
      <c r="CM184" s="3429"/>
      <c r="CN184" s="3429"/>
      <c r="CO184" s="3429"/>
      <c r="CP184" s="3429"/>
      <c r="CQ184" s="3429"/>
      <c r="CR184" s="3429"/>
      <c r="CS184" s="3429"/>
      <c r="CT184" s="3429"/>
      <c r="CU184" s="3429"/>
      <c r="CV184" s="3429"/>
      <c r="CW184" s="3429"/>
      <c r="CX184" s="3429"/>
      <c r="CY184" s="3429"/>
      <c r="CZ184" s="3429"/>
      <c r="DA184" s="3429"/>
      <c r="DB184" s="3429"/>
      <c r="DC184" s="3429"/>
      <c r="DD184" s="3429"/>
      <c r="DE184" s="3429"/>
      <c r="DH184" s="1163"/>
      <c r="DI184" s="1163"/>
      <c r="DJ184" s="1163"/>
      <c r="DK184" s="1163"/>
      <c r="DL184" s="1163"/>
    </row>
    <row customHeight="1" ht="18.75">
      <c r="O185" s="543"/>
      <c r="S185" s="1273"/>
      <c r="T185" s="2106"/>
      <c r="U185" s="2106"/>
      <c r="V185" s="2106"/>
      <c r="W185" s="2106"/>
      <c r="X185" s="2106"/>
      <c r="Y185" s="2106"/>
      <c r="Z185" s="2106"/>
      <c r="AA185" s="2106"/>
      <c r="AB185" s="2106"/>
      <c r="AC185" s="2106"/>
      <c r="AD185" s="2106"/>
      <c r="AE185" s="2106"/>
      <c r="AF185" s="2106"/>
      <c r="AG185" s="2106"/>
      <c r="AH185" s="2106"/>
      <c r="AI185" s="2106"/>
      <c r="AJ185" s="2106"/>
      <c r="AK185" s="2106"/>
      <c r="AL185" s="5989"/>
      <c r="AM185" s="5989"/>
      <c r="AN185" s="5989"/>
      <c r="AO185" s="5989"/>
      <c r="AP185" s="5989"/>
      <c r="AQ185" s="5989"/>
      <c r="AR185" s="5989"/>
      <c r="AS185" s="5989"/>
      <c r="AT185" s="5989"/>
      <c r="AU185" s="5989"/>
      <c r="AV185" s="5989"/>
      <c r="AW185" s="5989"/>
      <c r="AX185" s="5989"/>
      <c r="AY185" s="5989"/>
      <c r="AZ185" s="5989"/>
      <c r="BA185" s="5989"/>
      <c r="BB185" s="5989"/>
      <c r="BC185" s="5989"/>
      <c r="BD185" s="5989"/>
      <c r="BE185" s="5989"/>
      <c r="BF185" s="5989"/>
      <c r="BG185" s="5989"/>
      <c r="BH185" s="5989"/>
      <c r="BI185" s="5989"/>
      <c r="BJ185" s="5989"/>
      <c r="BK185" s="5989"/>
      <c r="BL185" s="5989"/>
      <c r="BM185" s="5989"/>
      <c r="BN185" s="5989"/>
      <c r="BO185" s="5989"/>
      <c r="BP185" s="5989"/>
      <c r="BQ185" s="5989"/>
      <c r="BR185" s="5989"/>
      <c r="BS185" s="5989"/>
      <c r="BT185" s="5989"/>
      <c r="BU185" s="5989"/>
      <c r="BV185" s="5989"/>
      <c r="BW185" s="5989"/>
      <c r="BX185" s="5989"/>
      <c r="BY185" s="5989"/>
      <c r="BZ185" s="5989"/>
      <c r="CA185" s="5989"/>
      <c r="CB185" s="5989"/>
      <c r="CC185" s="5989"/>
      <c r="CD185" s="5989"/>
      <c r="CE185" s="5989"/>
      <c r="CF185" s="5989"/>
      <c r="CG185" s="5989"/>
      <c r="CH185" s="5989"/>
      <c r="CI185" s="5989"/>
      <c r="CJ185" s="5989"/>
      <c r="CK185" s="5989"/>
      <c r="CL185" s="5989"/>
      <c r="CM185" s="5989"/>
      <c r="CN185" s="5989"/>
      <c r="CO185" s="5989"/>
      <c r="CP185" s="5989"/>
      <c r="CQ185" s="5989"/>
      <c r="CR185" s="5989"/>
      <c r="CS185" s="5989"/>
      <c r="CT185" s="5989"/>
      <c r="CU185" s="5989"/>
      <c r="CV185" s="5989"/>
      <c r="CW185" s="5989"/>
      <c r="CX185" s="5989"/>
      <c r="CY185" s="5989"/>
      <c r="CZ185" s="5989"/>
      <c r="DA185" s="5989"/>
      <c r="DB185" s="5989"/>
      <c r="DC185" s="5989"/>
      <c r="DD185" s="5989"/>
      <c r="DE185" s="5989"/>
      <c r="DF185" s="2106"/>
      <c r="DG185" s="2106"/>
    </row>
    <row customHeight="1" ht="27.75">
      <c r="O186" s="543"/>
      <c r="T186" s="2106"/>
      <c r="U186" s="2106"/>
      <c r="V186" s="2106"/>
      <c r="W186" s="2106"/>
      <c r="X186" s="2106"/>
      <c r="Y186" s="2106"/>
      <c r="Z186" s="2106"/>
      <c r="AA186" s="2106"/>
      <c r="AB186" s="2106"/>
      <c r="AC186" s="2106"/>
      <c r="AD186" s="2106"/>
      <c r="AE186" s="2106"/>
      <c r="AF186" s="2106"/>
      <c r="AG186" s="2106"/>
      <c r="AH186" s="2106"/>
      <c r="AI186" s="2106"/>
      <c r="AJ186" s="2106"/>
      <c r="AK186" s="2106"/>
      <c r="AL186" s="5989"/>
      <c r="AM186" s="5989"/>
      <c r="AN186" s="5989"/>
      <c r="AO186" s="5989"/>
      <c r="AP186" s="5989"/>
      <c r="AQ186" s="5989"/>
      <c r="AR186" s="5989"/>
      <c r="AS186" s="5989"/>
      <c r="AT186" s="5989"/>
      <c r="AU186" s="5989"/>
      <c r="AV186" s="5989"/>
      <c r="AW186" s="5989"/>
      <c r="AX186" s="5989"/>
      <c r="AY186" s="5989"/>
      <c r="AZ186" s="5989"/>
      <c r="BA186" s="5989"/>
      <c r="BB186" s="5989"/>
      <c r="BC186" s="5989"/>
      <c r="BD186" s="5989"/>
      <c r="BE186" s="5989"/>
      <c r="BF186" s="5989"/>
      <c r="BG186" s="5989"/>
      <c r="BH186" s="5989"/>
      <c r="BI186" s="5989"/>
      <c r="BJ186" s="5989"/>
      <c r="BK186" s="5989"/>
      <c r="BL186" s="5989"/>
      <c r="BM186" s="5989"/>
      <c r="BN186" s="5989"/>
      <c r="BO186" s="5989"/>
      <c r="BP186" s="5989"/>
      <c r="BQ186" s="5989"/>
      <c r="BR186" s="5989"/>
      <c r="BS186" s="5989"/>
      <c r="BT186" s="5989"/>
      <c r="BU186" s="5989"/>
      <c r="BV186" s="5989"/>
      <c r="BW186" s="5989"/>
      <c r="BX186" s="5989"/>
      <c r="BY186" s="5989"/>
      <c r="BZ186" s="5989"/>
      <c r="CA186" s="5989"/>
      <c r="CB186" s="5989"/>
      <c r="CC186" s="5989"/>
      <c r="CD186" s="5989"/>
      <c r="CE186" s="5989"/>
      <c r="CF186" s="5989"/>
      <c r="CG186" s="5989"/>
      <c r="CH186" s="5989"/>
      <c r="CI186" s="5989"/>
      <c r="CJ186" s="5989"/>
      <c r="CK186" s="5989"/>
      <c r="CL186" s="5989"/>
      <c r="CM186" s="5989"/>
      <c r="CN186" s="5989"/>
      <c r="CO186" s="5989"/>
      <c r="CP186" s="5989"/>
      <c r="CQ186" s="5989"/>
      <c r="CR186" s="5989"/>
      <c r="CS186" s="5989"/>
      <c r="CT186" s="5989"/>
      <c r="CU186" s="5989"/>
      <c r="CV186" s="5989"/>
      <c r="CW186" s="5989"/>
      <c r="CX186" s="5989"/>
      <c r="CY186" s="5989"/>
      <c r="CZ186" s="5989"/>
      <c r="DA186" s="5989"/>
      <c r="DB186" s="5989"/>
      <c r="DC186" s="5989"/>
      <c r="DD186" s="5989"/>
      <c r="DE186" s="5989"/>
      <c r="DF186" s="2106"/>
      <c r="DG186" s="2106"/>
    </row>
    <row customHeight="1" ht="39.75">
      <c r="O187" s="543"/>
      <c r="T187" s="2106"/>
      <c r="U187" s="2106"/>
      <c r="V187" s="2106"/>
      <c r="W187" s="2106"/>
      <c r="X187" s="2106"/>
      <c r="Y187" s="2106"/>
      <c r="Z187" s="2106"/>
      <c r="AA187" s="2106"/>
      <c r="AB187" s="2106"/>
      <c r="AC187" s="2106"/>
      <c r="AD187" s="2106"/>
      <c r="AE187" s="2106"/>
      <c r="AF187" s="2106"/>
      <c r="AG187" s="2106"/>
      <c r="AH187" s="2106"/>
      <c r="AI187" s="2106"/>
      <c r="AJ187" s="2106"/>
      <c r="AK187" s="2106"/>
      <c r="AL187" s="5989"/>
      <c r="AM187" s="5989"/>
      <c r="AN187" s="5989"/>
      <c r="AO187" s="5989"/>
      <c r="AP187" s="5989"/>
      <c r="AQ187" s="5989"/>
      <c r="AR187" s="5989"/>
      <c r="AS187" s="5989"/>
      <c r="AT187" s="5989"/>
      <c r="AU187" s="5989"/>
      <c r="AV187" s="5989"/>
      <c r="AW187" s="5989"/>
      <c r="AX187" s="5989"/>
      <c r="AY187" s="5989"/>
      <c r="AZ187" s="5989"/>
      <c r="BA187" s="5989"/>
      <c r="BB187" s="5989"/>
      <c r="BC187" s="5989"/>
      <c r="BD187" s="5989"/>
      <c r="BE187" s="5989"/>
      <c r="BF187" s="5989"/>
      <c r="BG187" s="5989"/>
      <c r="BH187" s="5989"/>
      <c r="BI187" s="5989"/>
      <c r="BJ187" s="5989"/>
      <c r="BK187" s="5989"/>
      <c r="BL187" s="5989"/>
      <c r="BM187" s="5989"/>
      <c r="BN187" s="5989"/>
      <c r="BO187" s="5989"/>
      <c r="BP187" s="5989"/>
      <c r="BQ187" s="5989"/>
      <c r="BR187" s="5989"/>
      <c r="BS187" s="5989"/>
      <c r="BT187" s="5989"/>
      <c r="BU187" s="5989"/>
      <c r="BV187" s="5989"/>
      <c r="BW187" s="5989"/>
      <c r="BX187" s="5989"/>
      <c r="BY187" s="5989"/>
      <c r="BZ187" s="5989"/>
      <c r="CA187" s="5989"/>
      <c r="CB187" s="5989"/>
      <c r="CC187" s="5989"/>
      <c r="CD187" s="5989"/>
      <c r="CE187" s="5989"/>
      <c r="CF187" s="5989"/>
      <c r="CG187" s="5989"/>
      <c r="CH187" s="5989"/>
      <c r="CI187" s="5989"/>
      <c r="CJ187" s="5989"/>
      <c r="CK187" s="5989"/>
      <c r="CL187" s="5989"/>
      <c r="CM187" s="5989"/>
      <c r="CN187" s="5989"/>
      <c r="CO187" s="5989"/>
      <c r="CP187" s="5989"/>
      <c r="CQ187" s="5989"/>
      <c r="CR187" s="5989"/>
      <c r="CS187" s="5989"/>
      <c r="CT187" s="5989"/>
      <c r="CU187" s="5989"/>
      <c r="CV187" s="5989"/>
      <c r="CW187" s="5989"/>
      <c r="CX187" s="5989"/>
      <c r="CY187" s="5989"/>
      <c r="CZ187" s="5989"/>
      <c r="DA187" s="5989"/>
      <c r="DB187" s="5989"/>
      <c r="DC187" s="5989"/>
      <c r="DD187" s="5989"/>
      <c r="DE187" s="5989"/>
      <c r="DF187" s="2106"/>
      <c r="DG187" s="2106"/>
    </row>
    <row customHeight="1" ht="14.25">
      <c r="O188" s="543"/>
      <c r="AL188" s="3429"/>
      <c r="AM188" s="3429"/>
      <c r="AN188" s="3429"/>
      <c r="AO188" s="3429"/>
      <c r="AP188" s="3429"/>
      <c r="AQ188" s="3429"/>
      <c r="AR188" s="3429"/>
      <c r="AS188" s="3429"/>
      <c r="AT188" s="3429"/>
      <c r="AU188" s="3429"/>
      <c r="AV188" s="3429"/>
      <c r="AW188" s="3429"/>
      <c r="AX188" s="3429"/>
      <c r="AY188" s="3429"/>
      <c r="AZ188" s="3429"/>
      <c r="BA188" s="3429"/>
      <c r="BB188" s="3429"/>
      <c r="BC188" s="3429"/>
      <c r="BD188" s="3429"/>
      <c r="BE188" s="3429"/>
      <c r="BF188" s="3429"/>
      <c r="BG188" s="3429"/>
      <c r="BH188" s="3429"/>
      <c r="BI188" s="3429"/>
      <c r="BJ188" s="3429"/>
      <c r="BK188" s="3429"/>
      <c r="BL188" s="3429"/>
      <c r="BM188" s="3429"/>
      <c r="BN188" s="3429"/>
      <c r="BO188" s="3429"/>
      <c r="BP188" s="3429"/>
      <c r="BQ188" s="3429"/>
      <c r="BR188" s="3429"/>
      <c r="BS188" s="3429"/>
      <c r="BT188" s="3429"/>
      <c r="BU188" s="3429"/>
      <c r="BV188" s="3429"/>
      <c r="BW188" s="3429"/>
      <c r="BX188" s="3429"/>
      <c r="BY188" s="3429"/>
      <c r="BZ188" s="3429"/>
      <c r="CA188" s="3429"/>
      <c r="CB188" s="3429"/>
      <c r="CC188" s="3429"/>
      <c r="CD188" s="3429"/>
      <c r="CE188" s="3429"/>
      <c r="CF188" s="3429"/>
      <c r="CG188" s="3429"/>
      <c r="CH188" s="3429"/>
      <c r="CI188" s="3429"/>
      <c r="CJ188" s="3429"/>
      <c r="CK188" s="3429"/>
      <c r="CL188" s="3429"/>
      <c r="CM188" s="3429"/>
      <c r="CN188" s="3429"/>
      <c r="CO188" s="3429"/>
      <c r="CP188" s="3429"/>
      <c r="CQ188" s="3429"/>
      <c r="CR188" s="3429"/>
      <c r="CS188" s="3429"/>
      <c r="CT188" s="3429"/>
      <c r="CU188" s="3429"/>
      <c r="CV188" s="3429"/>
      <c r="CW188" s="3429"/>
      <c r="CX188" s="3429"/>
      <c r="CY188" s="3429"/>
      <c r="CZ188" s="3429"/>
      <c r="DA188" s="3429"/>
      <c r="DB188" s="3429"/>
      <c r="DC188" s="3429"/>
      <c r="DD188" s="3429"/>
      <c r="DE188" s="3429"/>
    </row>
    <row customHeight="1" ht="19.5">
      <c r="O189" s="543"/>
      <c r="S189" s="1273"/>
      <c r="T189" s="2150"/>
      <c r="U189" s="2106"/>
      <c r="V189" s="2106"/>
      <c r="W189" s="2106"/>
      <c r="X189" s="2106"/>
      <c r="Y189" s="2106"/>
      <c r="Z189" s="2106"/>
      <c r="AA189" s="2106"/>
      <c r="AB189" s="2106"/>
      <c r="AC189" s="2106"/>
      <c r="AD189" s="2106"/>
      <c r="AE189" s="2106"/>
      <c r="AF189" s="2106"/>
      <c r="AG189" s="2106"/>
      <c r="AH189" s="2106"/>
      <c r="AI189" s="2106"/>
      <c r="AJ189" s="2106"/>
      <c r="AK189" s="2106"/>
      <c r="AL189" s="5989"/>
      <c r="AM189" s="5989"/>
      <c r="AN189" s="5989"/>
      <c r="AO189" s="5989"/>
      <c r="AP189" s="5989"/>
      <c r="AQ189" s="5989"/>
      <c r="AR189" s="5989"/>
      <c r="AS189" s="5989"/>
      <c r="AT189" s="5989"/>
      <c r="AU189" s="5989"/>
      <c r="AV189" s="5989"/>
      <c r="AW189" s="5989"/>
      <c r="AX189" s="5989"/>
      <c r="AY189" s="5989"/>
      <c r="AZ189" s="5989"/>
      <c r="BA189" s="5989"/>
      <c r="BB189" s="5989"/>
      <c r="BC189" s="5989"/>
      <c r="BD189" s="5989"/>
      <c r="BE189" s="5989"/>
      <c r="BF189" s="5989"/>
      <c r="BG189" s="5989"/>
      <c r="BH189" s="5989"/>
      <c r="BI189" s="5989"/>
      <c r="BJ189" s="5989"/>
      <c r="BK189" s="5989"/>
      <c r="BL189" s="5989"/>
      <c r="BM189" s="5989"/>
      <c r="BN189" s="5989"/>
      <c r="BO189" s="5989"/>
      <c r="BP189" s="5989"/>
      <c r="BQ189" s="5989"/>
      <c r="BR189" s="5989"/>
      <c r="BS189" s="5989"/>
      <c r="BT189" s="5989"/>
      <c r="BU189" s="5989"/>
      <c r="BV189" s="5989"/>
      <c r="BW189" s="5989"/>
      <c r="BX189" s="5989"/>
      <c r="BY189" s="5989"/>
      <c r="BZ189" s="5989"/>
      <c r="CA189" s="5989"/>
      <c r="CB189" s="5989"/>
      <c r="CC189" s="5989"/>
      <c r="CD189" s="5989"/>
      <c r="CE189" s="5989"/>
      <c r="CF189" s="5989"/>
      <c r="CG189" s="5989"/>
      <c r="CH189" s="5989"/>
      <c r="CI189" s="5989"/>
      <c r="CJ189" s="5989"/>
      <c r="CK189" s="5989"/>
      <c r="CL189" s="5989"/>
      <c r="CM189" s="5989"/>
      <c r="CN189" s="5989"/>
      <c r="CO189" s="5989"/>
      <c r="CP189" s="5989"/>
      <c r="CQ189" s="5989"/>
      <c r="CR189" s="5989"/>
      <c r="CS189" s="5989"/>
      <c r="CT189" s="5989"/>
      <c r="CU189" s="5989"/>
      <c r="CV189" s="5989"/>
      <c r="CW189" s="5989"/>
      <c r="CX189" s="5989"/>
      <c r="CY189" s="5989"/>
      <c r="CZ189" s="5989"/>
      <c r="DA189" s="5989"/>
      <c r="DB189" s="5989"/>
      <c r="DC189" s="5989"/>
      <c r="DD189" s="5989"/>
      <c r="DE189" s="5989"/>
      <c r="DF189" s="2106"/>
      <c r="DG189" s="2106"/>
    </row>
    <row customHeight="1" ht="27.75">
      <c r="O190" s="543"/>
      <c r="T190" s="2106"/>
      <c r="U190" s="2106"/>
      <c r="V190" s="2106"/>
      <c r="W190" s="2106"/>
      <c r="X190" s="2106"/>
      <c r="Y190" s="2106"/>
      <c r="Z190" s="2106"/>
      <c r="AA190" s="2106"/>
      <c r="AB190" s="2106"/>
      <c r="AC190" s="2106"/>
      <c r="AD190" s="2106"/>
      <c r="AE190" s="2106"/>
      <c r="AF190" s="2106"/>
      <c r="AG190" s="2106"/>
      <c r="AH190" s="2106"/>
      <c r="AI190" s="2106"/>
      <c r="AJ190" s="2106"/>
      <c r="AK190" s="2106"/>
      <c r="AL190" s="5989"/>
      <c r="AM190" s="5989"/>
      <c r="AN190" s="5989"/>
      <c r="AO190" s="5989"/>
      <c r="AP190" s="5989"/>
      <c r="AQ190" s="5989"/>
      <c r="AR190" s="5989"/>
      <c r="AS190" s="5989"/>
      <c r="AT190" s="5989"/>
      <c r="AU190" s="5989"/>
      <c r="AV190" s="5989"/>
      <c r="AW190" s="5989"/>
      <c r="AX190" s="5989"/>
      <c r="AY190" s="5989"/>
      <c r="AZ190" s="5989"/>
      <c r="BA190" s="5989"/>
      <c r="BB190" s="5989"/>
      <c r="BC190" s="5989"/>
      <c r="BD190" s="5989"/>
      <c r="BE190" s="5989"/>
      <c r="BF190" s="5989"/>
      <c r="BG190" s="5989"/>
      <c r="BH190" s="5989"/>
      <c r="BI190" s="5989"/>
      <c r="BJ190" s="5989"/>
      <c r="BK190" s="5989"/>
      <c r="BL190" s="5989"/>
      <c r="BM190" s="5989"/>
      <c r="BN190" s="5989"/>
      <c r="BO190" s="5989"/>
      <c r="BP190" s="5989"/>
      <c r="BQ190" s="5989"/>
      <c r="BR190" s="5989"/>
      <c r="BS190" s="5989"/>
      <c r="BT190" s="5989"/>
      <c r="BU190" s="5989"/>
      <c r="BV190" s="5989"/>
      <c r="BW190" s="5989"/>
      <c r="BX190" s="5989"/>
      <c r="BY190" s="5989"/>
      <c r="BZ190" s="5989"/>
      <c r="CA190" s="5989"/>
      <c r="CB190" s="5989"/>
      <c r="CC190" s="5989"/>
      <c r="CD190" s="5989"/>
      <c r="CE190" s="5989"/>
      <c r="CF190" s="5989"/>
      <c r="CG190" s="5989"/>
      <c r="CH190" s="5989"/>
      <c r="CI190" s="5989"/>
      <c r="CJ190" s="5989"/>
      <c r="CK190" s="5989"/>
      <c r="CL190" s="5989"/>
      <c r="CM190" s="5989"/>
      <c r="CN190" s="5989"/>
      <c r="CO190" s="5989"/>
      <c r="CP190" s="5989"/>
      <c r="CQ190" s="5989"/>
      <c r="CR190" s="5989"/>
      <c r="CS190" s="5989"/>
      <c r="CT190" s="5989"/>
      <c r="CU190" s="5989"/>
      <c r="CV190" s="5989"/>
      <c r="CW190" s="5989"/>
      <c r="CX190" s="5989"/>
      <c r="CY190" s="5989"/>
      <c r="CZ190" s="5989"/>
      <c r="DA190" s="5989"/>
      <c r="DB190" s="5989"/>
      <c r="DC190" s="5989"/>
      <c r="DD190" s="5989"/>
      <c r="DE190" s="5989"/>
      <c r="DF190" s="2106"/>
      <c r="DG190" s="2106"/>
    </row>
    <row customHeight="1" ht="33.75">
      <c r="T191" s="2106"/>
      <c r="U191" s="2106"/>
      <c r="V191" s="2106"/>
      <c r="W191" s="2106"/>
      <c r="X191" s="2106"/>
      <c r="Y191" s="2106"/>
      <c r="Z191" s="2106"/>
      <c r="AA191" s="2106"/>
      <c r="AB191" s="2106"/>
      <c r="AC191" s="2106"/>
      <c r="AD191" s="2106"/>
      <c r="AE191" s="2106"/>
      <c r="AF191" s="2106"/>
      <c r="AG191" s="2106"/>
      <c r="AH191" s="2106"/>
      <c r="AI191" s="2106"/>
      <c r="AJ191" s="2106"/>
      <c r="AK191" s="2106"/>
      <c r="AL191" s="5989"/>
      <c r="AM191" s="5989"/>
      <c r="AN191" s="5989"/>
      <c r="AO191" s="5989"/>
      <c r="AP191" s="5989"/>
      <c r="AQ191" s="5989"/>
      <c r="AR191" s="5989"/>
      <c r="AS191" s="5989"/>
      <c r="AT191" s="5989"/>
      <c r="AU191" s="5989"/>
      <c r="AV191" s="5989"/>
      <c r="AW191" s="5989"/>
      <c r="AX191" s="5989"/>
      <c r="AY191" s="5989"/>
      <c r="AZ191" s="5989"/>
      <c r="BA191" s="5989"/>
      <c r="BB191" s="5989"/>
      <c r="BC191" s="5989"/>
      <c r="BD191" s="5989"/>
      <c r="BE191" s="5989"/>
      <c r="BF191" s="5989"/>
      <c r="BG191" s="5989"/>
      <c r="BH191" s="5989"/>
      <c r="BI191" s="5989"/>
      <c r="BJ191" s="5989"/>
      <c r="BK191" s="5989"/>
      <c r="BL191" s="5989"/>
      <c r="BM191" s="5989"/>
      <c r="BN191" s="5989"/>
      <c r="BO191" s="5989"/>
      <c r="BP191" s="5989"/>
      <c r="BQ191" s="5989"/>
      <c r="BR191" s="5989"/>
      <c r="BS191" s="5989"/>
      <c r="BT191" s="5989"/>
      <c r="BU191" s="5989"/>
      <c r="BV191" s="5989"/>
      <c r="BW191" s="5989"/>
      <c r="BX191" s="5989"/>
      <c r="BY191" s="5989"/>
      <c r="BZ191" s="5989"/>
      <c r="CA191" s="5989"/>
      <c r="CB191" s="5989"/>
      <c r="CC191" s="5989"/>
      <c r="CD191" s="5989"/>
      <c r="CE191" s="5989"/>
      <c r="CF191" s="5989"/>
      <c r="CG191" s="5989"/>
      <c r="CH191" s="5989"/>
      <c r="CI191" s="5989"/>
      <c r="CJ191" s="5989"/>
      <c r="CK191" s="5989"/>
      <c r="CL191" s="5989"/>
      <c r="CM191" s="5989"/>
      <c r="CN191" s="5989"/>
      <c r="CO191" s="5989"/>
      <c r="CP191" s="5989"/>
      <c r="CQ191" s="5989"/>
      <c r="CR191" s="5989"/>
      <c r="CS191" s="5989"/>
      <c r="CT191" s="5989"/>
      <c r="CU191" s="5989"/>
      <c r="CV191" s="5989"/>
      <c r="CW191" s="5989"/>
      <c r="CX191" s="5989"/>
      <c r="CY191" s="5989"/>
      <c r="CZ191" s="5989"/>
      <c r="DA191" s="5989"/>
      <c r="DB191" s="5989"/>
      <c r="DC191" s="5989"/>
      <c r="DD191" s="5989"/>
      <c r="DE191" s="5989"/>
      <c r="DF191" s="2106"/>
      <c r="DG191" s="2106"/>
    </row>
  </sheetData>
  <sheetProtection formatColumns="0" formatRows="0" autoFilter="0" sort="0" insertRows="0" insertColumns="1" deleteRows="0" deleteColumns="0"/>
  <mergeCells count="1004">
    <mergeCell ref="V47:AC47"/>
    <mergeCell ref="AD47:DF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DF38"/>
    <mergeCell ref="S26:AJ26"/>
    <mergeCell ref="S27:AJ27"/>
    <mergeCell ref="AC49:AC50"/>
    <mergeCell ref="AA49:AA50"/>
    <mergeCell ref="AB49:AB50"/>
    <mergeCell ref="AH49:AH50"/>
    <mergeCell ref="AI49:AI50"/>
    <mergeCell ref="DG8:DG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DG49:DG51"/>
    <mergeCell ref="T185:DG185"/>
    <mergeCell ref="T186:DG186"/>
    <mergeCell ref="AA42:AB42"/>
    <mergeCell ref="AI42:AJ42"/>
    <mergeCell ref="E43:E112"/>
    <mergeCell ref="V43:AC43"/>
    <mergeCell ref="AD43:DF43"/>
    <mergeCell ref="F44:F55"/>
    <mergeCell ref="V44:AC44"/>
    <mergeCell ref="AD44:DF44"/>
    <mergeCell ref="G45:G54"/>
    <mergeCell ref="V45:AC45"/>
    <mergeCell ref="AD45:DF45"/>
    <mergeCell ref="H46:H53"/>
    <mergeCell ref="V46:AC46"/>
    <mergeCell ref="AD46:DF46"/>
    <mergeCell ref="P47:P52"/>
    <mergeCell ref="J48:J51"/>
    <mergeCell ref="Q48:Q51"/>
    <mergeCell ref="V48:AC48"/>
    <mergeCell ref="AD48:DF48"/>
    <mergeCell ref="K49:K50"/>
    <mergeCell ref="Z49:Z50"/>
    <mergeCell ref="T190:DG190"/>
    <mergeCell ref="T191:DG191"/>
    <mergeCell ref="S35:T35"/>
    <mergeCell ref="V35:AB35"/>
    <mergeCell ref="AD35:AJ35"/>
    <mergeCell ref="S34:T34"/>
    <mergeCell ref="V34:AB34"/>
    <mergeCell ref="AD34:AJ34"/>
    <mergeCell ref="V2:AC2"/>
    <mergeCell ref="AD2:DF2"/>
    <mergeCell ref="V3:AC3"/>
    <mergeCell ref="AD3:DF3"/>
    <mergeCell ref="V4:AC4"/>
    <mergeCell ref="AD4:DF4"/>
    <mergeCell ref="V5:AC5"/>
    <mergeCell ref="AD5:DF5"/>
    <mergeCell ref="V6:AC6"/>
    <mergeCell ref="AD6:DF6"/>
    <mergeCell ref="V7:AC7"/>
    <mergeCell ref="AD7:DF7"/>
    <mergeCell ref="T189:DG189"/>
    <mergeCell ref="T187:DG187"/>
    <mergeCell ref="AJ49:AJ50"/>
    <mergeCell ref="AK49:AK50"/>
    <mergeCell ref="F56:F67"/>
    <mergeCell ref="G57:G66"/>
    <mergeCell ref="H58:H65"/>
    <mergeCell ref="I59:I64"/>
    <mergeCell ref="P59:P64"/>
    <mergeCell ref="J60:J63"/>
    <mergeCell ref="Q60:Q63"/>
    <mergeCell ref="K61:K62"/>
    <mergeCell ref="DG61:DG63"/>
    <mergeCell ref="Z61:Z62"/>
    <mergeCell ref="AA61:AA62"/>
    <mergeCell ref="AH61:AH62"/>
    <mergeCell ref="AI61:AI62"/>
    <mergeCell ref="AJ61:AJ62"/>
    <mergeCell ref="AK61:AK62"/>
    <mergeCell ref="AB61:AB62"/>
    <mergeCell ref="AC61:AC62"/>
    <mergeCell ref="V56:AC56"/>
    <mergeCell ref="AD56:DF56"/>
    <mergeCell ref="V57:AC57"/>
    <mergeCell ref="AD57:DF57"/>
    <mergeCell ref="V58:AC58"/>
    <mergeCell ref="AD58:DF58"/>
    <mergeCell ref="V59:AC59"/>
    <mergeCell ref="AD59:DF59"/>
    <mergeCell ref="V60:AC60"/>
    <mergeCell ref="AD60:DF60"/>
    <mergeCell ref="F68:F79"/>
    <mergeCell ref="G69:G78"/>
    <mergeCell ref="H70:H77"/>
    <mergeCell ref="I71:I76"/>
    <mergeCell ref="P71:P76"/>
    <mergeCell ref="J72:J75"/>
    <mergeCell ref="Q72:Q75"/>
    <mergeCell ref="K73:K74"/>
    <mergeCell ref="DG73:DG75"/>
    <mergeCell ref="Z73:Z74"/>
    <mergeCell ref="AA73:AA74"/>
    <mergeCell ref="AH73:AH74"/>
    <mergeCell ref="AI73:AI74"/>
    <mergeCell ref="AJ73:AJ74"/>
    <mergeCell ref="AK73:AK74"/>
    <mergeCell ref="AB73:AB74"/>
    <mergeCell ref="AC73:AC74"/>
    <mergeCell ref="V68:AC68"/>
    <mergeCell ref="AD68:DF68"/>
    <mergeCell ref="V69:AC69"/>
    <mergeCell ref="AD69:DF69"/>
    <mergeCell ref="V70:AC70"/>
    <mergeCell ref="AD70:DF70"/>
    <mergeCell ref="V71:AC71"/>
    <mergeCell ref="AD71:DF71"/>
    <mergeCell ref="V72:AC72"/>
    <mergeCell ref="AD72:DF72"/>
    <mergeCell ref="F80:F91"/>
    <mergeCell ref="G81:G90"/>
    <mergeCell ref="H82:H89"/>
    <mergeCell ref="I83:I88"/>
    <mergeCell ref="P83:P88"/>
    <mergeCell ref="J84:J87"/>
    <mergeCell ref="Q84:Q87"/>
    <mergeCell ref="K85:K86"/>
    <mergeCell ref="DG85:DG87"/>
    <mergeCell ref="Z85:Z86"/>
    <mergeCell ref="AA85:AA86"/>
    <mergeCell ref="AH85:AH86"/>
    <mergeCell ref="AI85:AI86"/>
    <mergeCell ref="AJ85:AJ86"/>
    <mergeCell ref="AK85:AK86"/>
    <mergeCell ref="AB85:AB86"/>
    <mergeCell ref="AC85:AC86"/>
    <mergeCell ref="V80:AC80"/>
    <mergeCell ref="AD80:DF80"/>
    <mergeCell ref="V81:AC81"/>
    <mergeCell ref="AD81:DF81"/>
    <mergeCell ref="V82:AC82"/>
    <mergeCell ref="AD82:DF82"/>
    <mergeCell ref="V83:AC83"/>
    <mergeCell ref="AD83:DF83"/>
    <mergeCell ref="V84:AC84"/>
    <mergeCell ref="AD84:DF84"/>
    <mergeCell ref="F92:F111"/>
    <mergeCell ref="G93:G110"/>
    <mergeCell ref="H94:H101"/>
    <mergeCell ref="I95:I100"/>
    <mergeCell ref="P95:P100"/>
    <mergeCell ref="J96:J99"/>
    <mergeCell ref="Q96:Q99"/>
    <mergeCell ref="K97:K98"/>
    <mergeCell ref="DG97:DG99"/>
    <mergeCell ref="Z97:Z98"/>
    <mergeCell ref="AA97:AA98"/>
    <mergeCell ref="AH97:AH98"/>
    <mergeCell ref="AI97:AI98"/>
    <mergeCell ref="AJ97:AJ98"/>
    <mergeCell ref="AK97:AK98"/>
    <mergeCell ref="AB97:AB98"/>
    <mergeCell ref="AC97:AC98"/>
    <mergeCell ref="V92:AC92"/>
    <mergeCell ref="AD92:DF92"/>
    <mergeCell ref="V93:AC93"/>
    <mergeCell ref="AD93:DF93"/>
    <mergeCell ref="V94:AC94"/>
    <mergeCell ref="AD94:DF94"/>
    <mergeCell ref="V95:AC95"/>
    <mergeCell ref="AD95:DF95"/>
    <mergeCell ref="V96:AC96"/>
    <mergeCell ref="AD96:DF96"/>
    <mergeCell ref="H102:H109"/>
    <mergeCell ref="I103:I108"/>
    <mergeCell ref="P103:P108"/>
    <mergeCell ref="J104:J107"/>
    <mergeCell ref="Q104:Q107"/>
    <mergeCell ref="K105:K106"/>
    <mergeCell ref="DG105:DG107"/>
    <mergeCell ref="Z105:Z106"/>
    <mergeCell ref="AA105:AA106"/>
    <mergeCell ref="AH105:AH106"/>
    <mergeCell ref="AI105:AI106"/>
    <mergeCell ref="AJ105:AJ106"/>
    <mergeCell ref="AK105:AK106"/>
    <mergeCell ref="AB105:AB106"/>
    <mergeCell ref="AC105:AC106"/>
    <mergeCell ref="V102:AC102"/>
    <mergeCell ref="AD102:DF102"/>
    <mergeCell ref="V103:AC103"/>
    <mergeCell ref="AD103:DF103"/>
    <mergeCell ref="V104:AC104"/>
    <mergeCell ref="AD104:DF10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1:AP62"/>
    <mergeCell ref="AQ61:AQ62"/>
    <mergeCell ref="AR61:AR62"/>
    <mergeCell ref="AS61:AS62"/>
    <mergeCell ref="AP73:AP74"/>
    <mergeCell ref="AQ73:AQ74"/>
    <mergeCell ref="AR73:AR74"/>
    <mergeCell ref="AS73:AS74"/>
    <mergeCell ref="AP85:AP86"/>
    <mergeCell ref="AQ85:AQ86"/>
    <mergeCell ref="AR85:AR86"/>
    <mergeCell ref="AS85:AS86"/>
    <mergeCell ref="AP97:AP98"/>
    <mergeCell ref="AQ97:AQ98"/>
    <mergeCell ref="AR97:AR98"/>
    <mergeCell ref="AS97:AS98"/>
    <mergeCell ref="AP105:AP106"/>
    <mergeCell ref="AQ105:AQ106"/>
    <mergeCell ref="AR105:AR106"/>
    <mergeCell ref="AS105:AS106"/>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61:AX62"/>
    <mergeCell ref="AY61:AY62"/>
    <mergeCell ref="AZ61:AZ62"/>
    <mergeCell ref="BA61:BA62"/>
    <mergeCell ref="AX73:AX74"/>
    <mergeCell ref="AY73:AY74"/>
    <mergeCell ref="AZ73:AZ74"/>
    <mergeCell ref="BA73:BA74"/>
    <mergeCell ref="AX85:AX86"/>
    <mergeCell ref="AY85:AY86"/>
    <mergeCell ref="AZ85:AZ86"/>
    <mergeCell ref="BA85:BA86"/>
    <mergeCell ref="AX97:AX98"/>
    <mergeCell ref="AY97:AY98"/>
    <mergeCell ref="AZ97:AZ98"/>
    <mergeCell ref="BA97:BA98"/>
    <mergeCell ref="AX105:AX106"/>
    <mergeCell ref="AY105:AY106"/>
    <mergeCell ref="AZ105:AZ106"/>
    <mergeCell ref="BA105:BA106"/>
    <mergeCell ref="E113:E182"/>
    <mergeCell ref="F114:F125"/>
    <mergeCell ref="G115:G124"/>
    <mergeCell ref="H116:H123"/>
    <mergeCell ref="I117:I122"/>
    <mergeCell ref="P117:P122"/>
    <mergeCell ref="J118:J121"/>
    <mergeCell ref="Q118:Q121"/>
    <mergeCell ref="K119:K120"/>
    <mergeCell ref="DG119:DG121"/>
    <mergeCell ref="Z119:Z120"/>
    <mergeCell ref="AA119:AA120"/>
    <mergeCell ref="AH119:AH120"/>
    <mergeCell ref="AI119:AI120"/>
    <mergeCell ref="AJ119:AJ120"/>
    <mergeCell ref="AK119:AK120"/>
    <mergeCell ref="AB119:AB120"/>
    <mergeCell ref="AC119:AC120"/>
    <mergeCell ref="V113:AC113"/>
    <mergeCell ref="AD113:DF113"/>
    <mergeCell ref="V114:AC114"/>
    <mergeCell ref="AD114:DF114"/>
    <mergeCell ref="V115:AC115"/>
    <mergeCell ref="AD115:DF115"/>
    <mergeCell ref="V116:AC116"/>
    <mergeCell ref="AD116:DF116"/>
    <mergeCell ref="V117:AC117"/>
    <mergeCell ref="AD117:DF117"/>
    <mergeCell ref="V118:AC118"/>
    <mergeCell ref="AD118:DF118"/>
    <mergeCell ref="AP119:AP120"/>
    <mergeCell ref="AQ119:AQ120"/>
    <mergeCell ref="AR119:AR120"/>
    <mergeCell ref="AS119:AS120"/>
    <mergeCell ref="AX119:AX120"/>
    <mergeCell ref="AY119:AY120"/>
    <mergeCell ref="AZ119:AZ120"/>
    <mergeCell ref="BA119:BA120"/>
    <mergeCell ref="F126:F137"/>
    <mergeCell ref="G127:G136"/>
    <mergeCell ref="H128:H135"/>
    <mergeCell ref="I129:I134"/>
    <mergeCell ref="P129:P134"/>
    <mergeCell ref="J130:J133"/>
    <mergeCell ref="Q130:Q133"/>
    <mergeCell ref="K131:K132"/>
    <mergeCell ref="DG131:DG133"/>
    <mergeCell ref="Z131:Z132"/>
    <mergeCell ref="AA131:AA132"/>
    <mergeCell ref="AH131:AH132"/>
    <mergeCell ref="AI131:AI132"/>
    <mergeCell ref="AJ131:AJ132"/>
    <mergeCell ref="AK131:AK132"/>
    <mergeCell ref="AB131:AB132"/>
    <mergeCell ref="AC131:AC132"/>
    <mergeCell ref="V126:AC126"/>
    <mergeCell ref="AD126:DF126"/>
    <mergeCell ref="V127:AC127"/>
    <mergeCell ref="AD127:DF127"/>
    <mergeCell ref="V128:AC128"/>
    <mergeCell ref="AD128:DF128"/>
    <mergeCell ref="V129:AC129"/>
    <mergeCell ref="AD129:DF129"/>
    <mergeCell ref="V130:AC130"/>
    <mergeCell ref="AD130:DF130"/>
    <mergeCell ref="AP131:AP132"/>
    <mergeCell ref="AQ131:AQ132"/>
    <mergeCell ref="AR131:AR132"/>
    <mergeCell ref="AS131:AS132"/>
    <mergeCell ref="AX131:AX132"/>
    <mergeCell ref="AY131:AY132"/>
    <mergeCell ref="AZ131:AZ132"/>
    <mergeCell ref="BA131:BA132"/>
    <mergeCell ref="F138:F149"/>
    <mergeCell ref="G139:G148"/>
    <mergeCell ref="H140:H147"/>
    <mergeCell ref="I141:I146"/>
    <mergeCell ref="P141:P146"/>
    <mergeCell ref="J142:J145"/>
    <mergeCell ref="Q142:Q145"/>
    <mergeCell ref="K143:K144"/>
    <mergeCell ref="DG143:DG145"/>
    <mergeCell ref="Z143:Z144"/>
    <mergeCell ref="AA143:AA144"/>
    <mergeCell ref="AH143:AH144"/>
    <mergeCell ref="AI143:AI144"/>
    <mergeCell ref="AJ143:AJ144"/>
    <mergeCell ref="AK143:AK144"/>
    <mergeCell ref="AB143:AB144"/>
    <mergeCell ref="AC143:AC144"/>
    <mergeCell ref="V138:AC138"/>
    <mergeCell ref="AD138:DF138"/>
    <mergeCell ref="V139:AC139"/>
    <mergeCell ref="AD139:DF139"/>
    <mergeCell ref="V140:AC140"/>
    <mergeCell ref="AD140:DF140"/>
    <mergeCell ref="V141:AC141"/>
    <mergeCell ref="AD141:DF141"/>
    <mergeCell ref="V142:AC142"/>
    <mergeCell ref="AD142:DF142"/>
    <mergeCell ref="AP143:AP144"/>
    <mergeCell ref="AQ143:AQ144"/>
    <mergeCell ref="AR143:AR144"/>
    <mergeCell ref="AS143:AS144"/>
    <mergeCell ref="AX143:AX144"/>
    <mergeCell ref="AY143:AY144"/>
    <mergeCell ref="AZ143:AZ144"/>
    <mergeCell ref="BA143:BA144"/>
    <mergeCell ref="F150:F161"/>
    <mergeCell ref="G151:G160"/>
    <mergeCell ref="H152:H159"/>
    <mergeCell ref="I153:I158"/>
    <mergeCell ref="P153:P158"/>
    <mergeCell ref="J154:J157"/>
    <mergeCell ref="Q154:Q157"/>
    <mergeCell ref="K155:K156"/>
    <mergeCell ref="DG155:DG157"/>
    <mergeCell ref="Z155:Z156"/>
    <mergeCell ref="AA155:AA156"/>
    <mergeCell ref="AH155:AH156"/>
    <mergeCell ref="AI155:AI156"/>
    <mergeCell ref="AJ155:AJ156"/>
    <mergeCell ref="AK155:AK156"/>
    <mergeCell ref="AB155:AB156"/>
    <mergeCell ref="AC155:AC156"/>
    <mergeCell ref="V150:AC150"/>
    <mergeCell ref="AD150:DF150"/>
    <mergeCell ref="V151:AC151"/>
    <mergeCell ref="AD151:DF151"/>
    <mergeCell ref="V152:AC152"/>
    <mergeCell ref="AD152:DF152"/>
    <mergeCell ref="V153:AC153"/>
    <mergeCell ref="AD153:DF153"/>
    <mergeCell ref="V154:AC154"/>
    <mergeCell ref="AD154:DF154"/>
    <mergeCell ref="AP155:AP156"/>
    <mergeCell ref="AQ155:AQ156"/>
    <mergeCell ref="AR155:AR156"/>
    <mergeCell ref="AS155:AS156"/>
    <mergeCell ref="AX155:AX156"/>
    <mergeCell ref="AY155:AY156"/>
    <mergeCell ref="AZ155:AZ156"/>
    <mergeCell ref="BA155:BA156"/>
    <mergeCell ref="F162:F181"/>
    <mergeCell ref="G163:G180"/>
    <mergeCell ref="H164:H171"/>
    <mergeCell ref="I165:I170"/>
    <mergeCell ref="P165:P170"/>
    <mergeCell ref="J166:J169"/>
    <mergeCell ref="Q166:Q169"/>
    <mergeCell ref="K167:K168"/>
    <mergeCell ref="DG167:DG169"/>
    <mergeCell ref="Z167:Z168"/>
    <mergeCell ref="AA167:AA168"/>
    <mergeCell ref="AH167:AH168"/>
    <mergeCell ref="AI167:AI168"/>
    <mergeCell ref="AJ167:AJ168"/>
    <mergeCell ref="AK167:AK168"/>
    <mergeCell ref="AB167:AB168"/>
    <mergeCell ref="AC167:AC168"/>
    <mergeCell ref="V162:AC162"/>
    <mergeCell ref="AD162:DF162"/>
    <mergeCell ref="V163:AC163"/>
    <mergeCell ref="AD163:DF163"/>
    <mergeCell ref="V164:AC164"/>
    <mergeCell ref="AD164:DF164"/>
    <mergeCell ref="V165:AC165"/>
    <mergeCell ref="AD165:DF165"/>
    <mergeCell ref="V166:AC166"/>
    <mergeCell ref="AD166:DF166"/>
    <mergeCell ref="AP167:AP168"/>
    <mergeCell ref="AQ167:AQ168"/>
    <mergeCell ref="AR167:AR168"/>
    <mergeCell ref="AS167:AS168"/>
    <mergeCell ref="AX167:AX168"/>
    <mergeCell ref="AY167:AY168"/>
    <mergeCell ref="AZ167:AZ168"/>
    <mergeCell ref="BA167:BA168"/>
    <mergeCell ref="H172:H179"/>
    <mergeCell ref="I173:I178"/>
    <mergeCell ref="P173:P178"/>
    <mergeCell ref="J174:J177"/>
    <mergeCell ref="Q174:Q177"/>
    <mergeCell ref="K175:K176"/>
    <mergeCell ref="DG175:DG177"/>
    <mergeCell ref="Z175:Z176"/>
    <mergeCell ref="AA175:AA176"/>
    <mergeCell ref="AH175:AH176"/>
    <mergeCell ref="AI175:AI176"/>
    <mergeCell ref="AJ175:AJ176"/>
    <mergeCell ref="AK175:AK176"/>
    <mergeCell ref="AB175:AB176"/>
    <mergeCell ref="AC175:AC176"/>
    <mergeCell ref="V172:AC172"/>
    <mergeCell ref="AD172:DF172"/>
    <mergeCell ref="V173:AC173"/>
    <mergeCell ref="AD173:DF173"/>
    <mergeCell ref="V174:AC174"/>
    <mergeCell ref="AD174:DF174"/>
    <mergeCell ref="AP175:AP176"/>
    <mergeCell ref="AQ175:AQ176"/>
    <mergeCell ref="AR175:AR176"/>
    <mergeCell ref="AS175:AS176"/>
    <mergeCell ref="AX175:AX176"/>
    <mergeCell ref="AY175:AY176"/>
    <mergeCell ref="AZ175:AZ176"/>
    <mergeCell ref="BA175:BA176"/>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61:BF62"/>
    <mergeCell ref="BG61:BG62"/>
    <mergeCell ref="BH61:BH62"/>
    <mergeCell ref="BI61:BI62"/>
    <mergeCell ref="BF73:BF74"/>
    <mergeCell ref="BG73:BG74"/>
    <mergeCell ref="BH73:BH74"/>
    <mergeCell ref="BI73:BI74"/>
    <mergeCell ref="BF85:BF86"/>
    <mergeCell ref="BG85:BG86"/>
    <mergeCell ref="BH85:BH86"/>
    <mergeCell ref="BI85:BI86"/>
    <mergeCell ref="BF97:BF98"/>
    <mergeCell ref="BG97:BG98"/>
    <mergeCell ref="BH97:BH98"/>
    <mergeCell ref="BI97:BI98"/>
    <mergeCell ref="BF105:BF106"/>
    <mergeCell ref="BG105:BG106"/>
    <mergeCell ref="BH105:BH106"/>
    <mergeCell ref="BI105:BI106"/>
    <mergeCell ref="BF119:BF120"/>
    <mergeCell ref="BG119:BG120"/>
    <mergeCell ref="BH119:BH120"/>
    <mergeCell ref="BI119:BI120"/>
    <mergeCell ref="BF131:BF132"/>
    <mergeCell ref="BG131:BG132"/>
    <mergeCell ref="BH131:BH132"/>
    <mergeCell ref="BI131:BI132"/>
    <mergeCell ref="BF143:BF144"/>
    <mergeCell ref="BG143:BG144"/>
    <mergeCell ref="BH143:BH144"/>
    <mergeCell ref="BI143:BI144"/>
    <mergeCell ref="BF155:BF156"/>
    <mergeCell ref="BG155:BG156"/>
    <mergeCell ref="BH155:BH156"/>
    <mergeCell ref="BI155:BI156"/>
    <mergeCell ref="BF167:BF168"/>
    <mergeCell ref="BG167:BG168"/>
    <mergeCell ref="BH167:BH168"/>
    <mergeCell ref="BI167:BI168"/>
    <mergeCell ref="BF175:BF176"/>
    <mergeCell ref="BG175:BG176"/>
    <mergeCell ref="BH175:BH176"/>
    <mergeCell ref="BI175:BI176"/>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61:BN62"/>
    <mergeCell ref="BO61:BO62"/>
    <mergeCell ref="BP61:BP62"/>
    <mergeCell ref="BQ61:BQ62"/>
    <mergeCell ref="BN73:BN74"/>
    <mergeCell ref="BO73:BO74"/>
    <mergeCell ref="BP73:BP74"/>
    <mergeCell ref="BQ73:BQ74"/>
    <mergeCell ref="BN85:BN86"/>
    <mergeCell ref="BO85:BO86"/>
    <mergeCell ref="BP85:BP86"/>
    <mergeCell ref="BQ85:BQ86"/>
    <mergeCell ref="BN97:BN98"/>
    <mergeCell ref="BO97:BO98"/>
    <mergeCell ref="BP97:BP98"/>
    <mergeCell ref="BQ97:BQ98"/>
    <mergeCell ref="BN105:BN106"/>
    <mergeCell ref="BO105:BO106"/>
    <mergeCell ref="BP105:BP106"/>
    <mergeCell ref="BQ105:BQ106"/>
    <mergeCell ref="BN119:BN120"/>
    <mergeCell ref="BO119:BO120"/>
    <mergeCell ref="BP119:BP120"/>
    <mergeCell ref="BQ119:BQ120"/>
    <mergeCell ref="BN131:BN132"/>
    <mergeCell ref="BO131:BO132"/>
    <mergeCell ref="BP131:BP132"/>
    <mergeCell ref="BQ131:BQ132"/>
    <mergeCell ref="BN143:BN144"/>
    <mergeCell ref="BO143:BO144"/>
    <mergeCell ref="BP143:BP144"/>
    <mergeCell ref="BQ143:BQ144"/>
    <mergeCell ref="BN155:BN156"/>
    <mergeCell ref="BO155:BO156"/>
    <mergeCell ref="BP155:BP156"/>
    <mergeCell ref="BQ155:BQ156"/>
    <mergeCell ref="BN167:BN168"/>
    <mergeCell ref="BO167:BO168"/>
    <mergeCell ref="BP167:BP168"/>
    <mergeCell ref="BQ167:BQ168"/>
    <mergeCell ref="BN175:BN176"/>
    <mergeCell ref="BO175:BO176"/>
    <mergeCell ref="BP175:BP176"/>
    <mergeCell ref="BQ175:BQ176"/>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61:BV62"/>
    <mergeCell ref="BW61:BW62"/>
    <mergeCell ref="BX61:BX62"/>
    <mergeCell ref="BY61:BY62"/>
    <mergeCell ref="BV73:BV74"/>
    <mergeCell ref="BW73:BW74"/>
    <mergeCell ref="BX73:BX74"/>
    <mergeCell ref="BY73:BY74"/>
    <mergeCell ref="BV85:BV86"/>
    <mergeCell ref="BW85:BW86"/>
    <mergeCell ref="BX85:BX86"/>
    <mergeCell ref="BY85:BY86"/>
    <mergeCell ref="BV97:BV98"/>
    <mergeCell ref="BW97:BW98"/>
    <mergeCell ref="BX97:BX98"/>
    <mergeCell ref="BY97:BY98"/>
    <mergeCell ref="BV105:BV106"/>
    <mergeCell ref="BW105:BW106"/>
    <mergeCell ref="BX105:BX106"/>
    <mergeCell ref="BY105:BY106"/>
    <mergeCell ref="BV119:BV120"/>
    <mergeCell ref="BW119:BW120"/>
    <mergeCell ref="BX119:BX120"/>
    <mergeCell ref="BY119:BY120"/>
    <mergeCell ref="BV131:BV132"/>
    <mergeCell ref="BW131:BW132"/>
    <mergeCell ref="BX131:BX132"/>
    <mergeCell ref="BY131:BY132"/>
    <mergeCell ref="BV143:BV144"/>
    <mergeCell ref="BW143:BW144"/>
    <mergeCell ref="BX143:BX144"/>
    <mergeCell ref="BY143:BY144"/>
    <mergeCell ref="BV155:BV156"/>
    <mergeCell ref="BW155:BW156"/>
    <mergeCell ref="BX155:BX156"/>
    <mergeCell ref="BY155:BY156"/>
    <mergeCell ref="BV167:BV168"/>
    <mergeCell ref="BW167:BW168"/>
    <mergeCell ref="BX167:BX168"/>
    <mergeCell ref="BY167:BY168"/>
    <mergeCell ref="BV175:BV176"/>
    <mergeCell ref="BW175:BW176"/>
    <mergeCell ref="BX175:BX176"/>
    <mergeCell ref="BY175:BY176"/>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61:CD62"/>
    <mergeCell ref="CE61:CE62"/>
    <mergeCell ref="CF61:CF62"/>
    <mergeCell ref="CG61:CG62"/>
    <mergeCell ref="CD73:CD74"/>
    <mergeCell ref="CE73:CE74"/>
    <mergeCell ref="CF73:CF74"/>
    <mergeCell ref="CG73:CG74"/>
    <mergeCell ref="CD85:CD86"/>
    <mergeCell ref="CE85:CE86"/>
    <mergeCell ref="CF85:CF86"/>
    <mergeCell ref="CG85:CG86"/>
    <mergeCell ref="CD97:CD98"/>
    <mergeCell ref="CE97:CE98"/>
    <mergeCell ref="CF97:CF98"/>
    <mergeCell ref="CG97:CG98"/>
    <mergeCell ref="CD105:CD106"/>
    <mergeCell ref="CE105:CE106"/>
    <mergeCell ref="CF105:CF106"/>
    <mergeCell ref="CG105:CG106"/>
    <mergeCell ref="CD119:CD120"/>
    <mergeCell ref="CE119:CE120"/>
    <mergeCell ref="CF119:CF120"/>
    <mergeCell ref="CG119:CG120"/>
    <mergeCell ref="CD131:CD132"/>
    <mergeCell ref="CE131:CE132"/>
    <mergeCell ref="CF131:CF132"/>
    <mergeCell ref="CG131:CG132"/>
    <mergeCell ref="CD143:CD144"/>
    <mergeCell ref="CE143:CE144"/>
    <mergeCell ref="CF143:CF144"/>
    <mergeCell ref="CG143:CG144"/>
    <mergeCell ref="CD155:CD156"/>
    <mergeCell ref="CE155:CE156"/>
    <mergeCell ref="CF155:CF156"/>
    <mergeCell ref="CG155:CG156"/>
    <mergeCell ref="CD167:CD168"/>
    <mergeCell ref="CE167:CE168"/>
    <mergeCell ref="CF167:CF168"/>
    <mergeCell ref="CG167:CG168"/>
    <mergeCell ref="CD175:CD176"/>
    <mergeCell ref="CE175:CE176"/>
    <mergeCell ref="CF175:CF176"/>
    <mergeCell ref="CG175:CG176"/>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61:CL62"/>
    <mergeCell ref="CM61:CM62"/>
    <mergeCell ref="CN61:CN62"/>
    <mergeCell ref="CO61:CO62"/>
    <mergeCell ref="CL73:CL74"/>
    <mergeCell ref="CM73:CM74"/>
    <mergeCell ref="CN73:CN74"/>
    <mergeCell ref="CO73:CO74"/>
    <mergeCell ref="CL85:CL86"/>
    <mergeCell ref="CM85:CM86"/>
    <mergeCell ref="CN85:CN86"/>
    <mergeCell ref="CO85:CO86"/>
    <mergeCell ref="CL97:CL98"/>
    <mergeCell ref="CM97:CM98"/>
    <mergeCell ref="CN97:CN98"/>
    <mergeCell ref="CO97:CO98"/>
    <mergeCell ref="CL105:CL106"/>
    <mergeCell ref="CM105:CM106"/>
    <mergeCell ref="CN105:CN106"/>
    <mergeCell ref="CO105:CO106"/>
    <mergeCell ref="CL119:CL120"/>
    <mergeCell ref="CM119:CM120"/>
    <mergeCell ref="CN119:CN120"/>
    <mergeCell ref="CO119:CO120"/>
    <mergeCell ref="CL131:CL132"/>
    <mergeCell ref="CM131:CM132"/>
    <mergeCell ref="CN131:CN132"/>
    <mergeCell ref="CO131:CO132"/>
    <mergeCell ref="CL143:CL144"/>
    <mergeCell ref="CM143:CM144"/>
    <mergeCell ref="CN143:CN144"/>
    <mergeCell ref="CO143:CO144"/>
    <mergeCell ref="CL155:CL156"/>
    <mergeCell ref="CM155:CM156"/>
    <mergeCell ref="CN155:CN156"/>
    <mergeCell ref="CO155:CO156"/>
    <mergeCell ref="CL167:CL168"/>
    <mergeCell ref="CM167:CM168"/>
    <mergeCell ref="CN167:CN168"/>
    <mergeCell ref="CO167:CO168"/>
    <mergeCell ref="CL175:CL176"/>
    <mergeCell ref="CM175:CM176"/>
    <mergeCell ref="CN175:CN176"/>
    <mergeCell ref="CO175:CO176"/>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61:CT62"/>
    <mergeCell ref="CU61:CU62"/>
    <mergeCell ref="CV61:CV62"/>
    <mergeCell ref="CW61:CW62"/>
    <mergeCell ref="CT73:CT74"/>
    <mergeCell ref="CU73:CU74"/>
    <mergeCell ref="CV73:CV74"/>
    <mergeCell ref="CW73:CW74"/>
    <mergeCell ref="CT85:CT86"/>
    <mergeCell ref="CU85:CU86"/>
    <mergeCell ref="CV85:CV86"/>
    <mergeCell ref="CW85:CW86"/>
    <mergeCell ref="CT97:CT98"/>
    <mergeCell ref="CU97:CU98"/>
    <mergeCell ref="CV97:CV98"/>
    <mergeCell ref="CW97:CW98"/>
    <mergeCell ref="CT105:CT106"/>
    <mergeCell ref="CU105:CU106"/>
    <mergeCell ref="CV105:CV106"/>
    <mergeCell ref="CW105:CW106"/>
    <mergeCell ref="CT119:CT120"/>
    <mergeCell ref="CU119:CU120"/>
    <mergeCell ref="CV119:CV120"/>
    <mergeCell ref="CW119:CW120"/>
    <mergeCell ref="CT131:CT132"/>
    <mergeCell ref="CU131:CU132"/>
    <mergeCell ref="CV131:CV132"/>
    <mergeCell ref="CW131:CW132"/>
    <mergeCell ref="CT143:CT144"/>
    <mergeCell ref="CU143:CU144"/>
    <mergeCell ref="CV143:CV144"/>
    <mergeCell ref="CW143:CW144"/>
    <mergeCell ref="CT155:CT156"/>
    <mergeCell ref="CU155:CU156"/>
    <mergeCell ref="CV155:CV156"/>
    <mergeCell ref="CW155:CW156"/>
    <mergeCell ref="CT167:CT168"/>
    <mergeCell ref="CU167:CU168"/>
    <mergeCell ref="CV167:CV168"/>
    <mergeCell ref="CW167:CW168"/>
    <mergeCell ref="CT175:CT176"/>
    <mergeCell ref="CU175:CU176"/>
    <mergeCell ref="CV175:CV176"/>
    <mergeCell ref="CW175:CW176"/>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B61:DB62"/>
    <mergeCell ref="DC61:DC62"/>
    <mergeCell ref="DD61:DD62"/>
    <mergeCell ref="DE61:DE62"/>
    <mergeCell ref="DB73:DB74"/>
    <mergeCell ref="DC73:DC74"/>
    <mergeCell ref="DD73:DD74"/>
    <mergeCell ref="DE73:DE74"/>
    <mergeCell ref="DB85:DB86"/>
    <mergeCell ref="DC85:DC86"/>
    <mergeCell ref="DD85:DD86"/>
    <mergeCell ref="DE85:DE86"/>
    <mergeCell ref="DB97:DB98"/>
    <mergeCell ref="DC97:DC98"/>
    <mergeCell ref="DD97:DD98"/>
    <mergeCell ref="DE97:DE98"/>
    <mergeCell ref="DB105:DB106"/>
    <mergeCell ref="DC105:DC106"/>
    <mergeCell ref="DD105:DD106"/>
    <mergeCell ref="DE105:DE106"/>
    <mergeCell ref="DB119:DB120"/>
    <mergeCell ref="DC119:DC120"/>
    <mergeCell ref="DD119:DD120"/>
    <mergeCell ref="DE119:DE120"/>
    <mergeCell ref="DB131:DB132"/>
    <mergeCell ref="DC131:DC132"/>
    <mergeCell ref="DD131:DD132"/>
    <mergeCell ref="DE131:DE132"/>
    <mergeCell ref="DB143:DB144"/>
    <mergeCell ref="DC143:DC144"/>
    <mergeCell ref="DD143:DD144"/>
    <mergeCell ref="DE143:DE144"/>
    <mergeCell ref="DB155:DB156"/>
    <mergeCell ref="DC155:DC156"/>
    <mergeCell ref="DD155:DD156"/>
    <mergeCell ref="DE155:DE156"/>
    <mergeCell ref="DB167:DB168"/>
    <mergeCell ref="DC167:DC168"/>
    <mergeCell ref="DD167:DD168"/>
    <mergeCell ref="DE167:DE168"/>
    <mergeCell ref="DB175:DB176"/>
    <mergeCell ref="DC175:DC176"/>
    <mergeCell ref="DD175:DD176"/>
    <mergeCell ref="DE175:DE176"/>
  </mergeCells>
  <dataValidations count="8">
    <dataValidation allowBlank="1" sqref="S131249:DG131255 S196785:DG196791 S262321:DG262327 S327857:DG327863 S393393:DG393399 S458929:DG458935 S524465:DG524471 S590001:DG590007 S655537:DG655543 S721073:DG721079 S786609:DG786615 S852145:DG852151 S917681:DG917687 S983217:DG983223 S65713:DG65719"/>
    <dataValidation type="list" allowBlank="1" showInputMessage="1" errorTitle="Ошибка" error="Выберите значение из списка" prompt="Выберите значение из списка" sqref="V983214:DF983214 V65710:DF65710 V131246:DF131246 V196782:DF196782 V262318:DF262318 V327854:DF327854 V393390:DF393390 V458926:DF458926 V524462:DF524462 V589998:DF589998 V655534:DF655534 V721070:DF721070 V786606:DF786606 V852142:DF852142 V917678:DF917678">
      <formula1>kind_of_cons</formula1>
    </dataValidation>
    <dataValidation type="list" allowBlank="1" showInputMessage="1" showErrorMessage="1" errorTitle="Ошибка" error="Выберите значение из списка" sqref="V983213:W983213 V65709:W65709 V131245:W131245 V196781:W196781 V262317:W262317 V327853:W327853 V393389:W393389 V458925:W458925 V524461:W524461 V589997:W589997 V655533:W655533 V721069:W721069 V786605:W786605 V852141:W852141 V917677:W917677 AD983213:AE983213 AD65709:AE65709 AD131245:AE131245 AD196781:AE196781 AD262317:AE262317 AD327853:AE327853 AD393389:AE393389 AD458925:AE458925 AD524461:AE524461 AD589997:AE589997 AD655533:AE655533 AD721069:AE721069 AD786605:AE786605 AD852141:AE852141 AD917677:AE917677">
      <formula1>kind_of_scheme_in</formula1>
    </dataValidation>
    <dataValidation type="textLength" operator="lessThanOrEqual" allowBlank="1" showInputMessage="1" showErrorMessage="1" errorTitle="Ошибка" error="Допускается ввод не более 900 символов!" sqref="DG65705:DG65712 DG131241:DG131248 DG196777:DG196784 DG262313:DG262320 DG327849:DG327856 DG393385:DG393392 DG458921:DG458928 DG524457:DG524464 DG589993:DG590000 DG655529:DG655536 DG721065:DG721072 DG786601:DG786608 DG852137:DG852144 DG917673:DG917680 DG983209:DG983216">
      <formula1>900</formula1>
    </dataValidation>
    <dataValidation type="list" allowBlank="1" showInputMessage="1" showErrorMessage="1" errorTitle="Ошибка" error="Выберите значение из списка" sqref="T65711 T131247 T196783 T262319 T327855 T393391 T458927 T524463 T589999 T655535 T721071 T786607 T852143 T917679 T98321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711 Z131247 Z196783 Z262319 Z327855 Z393391 Z458927 Z524463 Z589999 Z655535 Z721071 Z786607 Z852143 Z917679 Z983215 AB65711 AB131247 AB196783 AB262319 AB327855 AB393391 AB458927 AB524463 AB589999 AB655535 AB721071 AB786607 AB852143 AB917679 AB983215 Z8 AH65711 AH131247 AH196783 AH262319 AH327855 AH393391 AH458927 AH524463 AH589999 AH655535 AH721071 AH786607 AH852143 AH917679 AH983215 AJ65711 AJ131247 AJ196783 AJ262319 AJ327855 AJ393391 AJ458927 AJ524463 AJ589999 AJ655535 AJ721071 AJ786607 AJ852143 AJ917679 AJ983215 AJ49 AH49 AH8 AJ8 AB8 AH17 AJ17 Z49 AB49 Z61 AB61 AH61 AJ61 Z73 AB73 AH73 AJ73 Z85 AB85 AH85 AJ85 Z97 AB97 AH97 AJ97 Z105 AB105 AH105 AJ105 AP8 AR8 AP49 AR49 AP61 AR61 AP73 AR73 AP85 AR85 AP97 AR97 AP105 AR105 AX8 AZ8 AX49 AZ49 AX61 AZ61 AX73 AZ73 AX85 AZ85 AX97 AZ97 AX105 AZ105 Z119 AB119 AH119 AJ119 AP119 AR119 AX119 AZ119 Z131 AB131 AH131 AJ131 AP131 AR131 AX131 AZ131 Z143 AB143 AH143 AJ143 AP143 AR143 AX143 AZ143 Z155 AB155 AH155 AJ155 AP155 AR155 AX155 AZ155 Z167 AB167 AH167 AJ167 AP167 AR167 AX167 AZ167 Z175 AB175 AH175 AJ175 AP175 AR175 AX175 AZ175 BF8 BH8 BF49 BH49 BF61 BH61 BF73 BH73 BF85 BH85 BF97 BH97 BF105 BH105 BF119 BH119 BF131 BH131 BF143 BH143 BF155 BH155 BF167 BH167 BF175 BH175 BN8 BP8 BN49 BP49 BN61 BP61 BN73 BP73 BN85 BP85 BN97 BP97 BN105 BP105 BN119 BP119 BN131 BP131 BN143 BP143 BN155 BP155 BN167 BP167 BN175 BP175 BV8 BX8 BV49 BX49 BV61 BX61 BV73 BX73 BV85 BX85 BV97 BX97 BV105 BX105 BV119 BX119 BV131 BX131 BV143 BX143 BV155 BX155 BV167 BX167 BV175 BX175 CD8 CF8 CD49 CF49 CD61 CF61 CD73 CF73 CD85 CF85 CD97 CF97 CD105 CF105 CD119 CF119 CD131 CF131 CD143 CF143 CD155 CF155 CD167 CF167 CD175 CF175 CL8 CN8 CL49 CN49 CL61 CN61 CL73 CN73 CL85 CN85 CL97 CN97 CL105 CN105 CL119 CN119 CL131 CN131 CL143 CN143 CL155 CN155 CL167 CN167 CL175 CN175 CT8 CV8 CT49 CV49 CT61 CV61 CT73 CV73 CT85 CV85 CT97 CV97 CT105 CV105 CT119 CV119 CT131 CV131 CT143 CV143 CT155 CV155 CT167 CV167 CT175 CV175 DB8 DD8 DB49 DD49 DB61 DD61 DB73 DD73 DB85 DD85 DB97 DD97 DB105 DD105 DB119 DD119 DB131 DD131 DB143 DD143 DB155 DD155 DB167 DD167 DB175 DD175"/>
    <dataValidation allowBlank="1" showInputMessage="1" showErrorMessage="1" prompt="Для выбора выполните двойной щелчок левой клавиши мыши по соответствующей ячейке." sqref="AA65711 AA131247 AA196783 AA262319 AA327855 AA393391 AA458927 AA524463 AA589999 AA655535 AA721071 AA786607 AA852143 AA917679 AA983215 AC131247 AC458927 AC196783 AC262319 AC327855 AC393391 AC524463 AC589999 AC655535 AC721071 AC786607 AC852143 AC917679 AC983215 AC65711 AI65711 AI131247 AI196783 AI262319 AI327855 AI393391 AI458927 AI524463 AI589999 AI655535 AI721071 AI786607 AI852143 AI917679 AI983215 AK393391:DE393391 AK49 AQ49 AS49 AY49 BA49 BG49 BI49 BO49 BQ49 BW49 BY49 CE49 CG49 CM49 CO49 CU49 CW49 DC49 DE49 AK524463:DE524463 AK8 AQ8 AS8 AY8 BA8 BG8 BI8 BO8 BQ8 BW8 BY8 CE8 CG8 CM8 CO8 CU8 CW8 DC8 DE8 AK589999:DE589999 AK655535:DE655535 AK17 AK721071:DE721071 AK786607:DE786607 AK852143:DE852143 AK917679:DE917679 AK983215:DE983215 AK65711:DE65711 AK131247:DE131247 AK458927:DE458927 AI49 AK196783:DE196783 AI8 AC8 AA8 AI17 AK262319:DE262319 AA49 AC49 AK327855:DE327855 AA61 AC61 AI61 AK61 AQ61 AS61 AY61 BA61 BG61 BI61 BO61 BQ61 BW61 BY61 CE61 CG61 CM61 CO61 CU61 CW61 DC61 DE61 AA73 AC73 AI73 AK73 AQ73 AS73 AY73 BA73 BG73 BI73 BO73 BQ73 BW73 BY73 CE73 CG73 CM73 CO73 CU73 CW73 DC73 DE73 AA85 AC85 AI85 AK85 AQ85 AS85 AY85 BA85 BG85 BI85 BO85 BQ85 BW85 BY85 CE85 CG85 CM85 CO85 CU85 CW85 DC85 DE85 AA97 AC97 AI97 AK97 AQ97 AS97 AY97 BA97 BG97 BI97 BO97 BQ97 BW97 BY97 CE97 CG97 CM97 CO97 CU97 CW97 DC97 DE97 AA105 AC105 AI105 AK105 AQ105 AS105 AY105 BA105 BG105 BI105 BO105 BQ105 BW105 BY105 CE105 CG105 CM105 CO105 CU105 CW105 DC105 DE105 AA119 AC119 AI119 AK119 AQ119 AS119 AY119 BA119 BG119 BI119 BO119 BQ119 BW119 BY119 CE119 CG119 CM119 CO119 CU119 CW119 DC119 DE119 AA131 AC131 AI131 AK131 AQ131 AS131 AY131 BA131 BG131 BI131 BO131 BQ131 BW131 BY131 CE131 CG131 CM131 CO131 CU131 CW131 DC131 DE131 AA143 AC143 AI143 AK143 AQ143 AS143 AY143 BA143 BG143 BI143 BO143 BQ143 BW143 BY143 CE143 CG143 CM143 CO143 CU143 CW143 DC143 DE143 AA155 AC155 AI155 AK155 AQ155 AS155 AY155 BA155 BG155 BI155 BO155 BQ155 BW155 BY155 CE155 CG155 CM155 CO155 CU155 CW155 DC155 DE155 AA167 AC167 AI167 AK167 AQ167 AS167 AY167 BA167 BG167 BI167 BO167 BQ167 BW167 BY167 CE167 CG167 CM167 CO167 CU167 CW167 DC167 DE167 AA175 AC175 AI175 AK175 AQ175 AS175 AY175 BA175 BG175 BI175 BO175 BQ175 BW175 BY175 CE175 CG175 CM175 CO175 CU175 CW175 DC175 DE175"/>
    <dataValidation allowBlank="1" promptTitle="checkPeriodRange" sqref="Y65712 Y131248 Y196784 Y262320 Y327856 Y393392 Y458928 Y524464 Y590000 Y655536 Y721072 Y786608 Y852144 Y917680 Y983216 Y9 AG65712 AG131248 AG196784 AG262320 AG327856 AG393392 AG458928 AG524464 AG590000 AG655536 AG721072 AG786608 AG852144 AG917680 AG983216 AG9 AG50 AG18 Y50 Y62 AG62 Y74 AG74 Y86 AG86 Y98 AG98 Y106 AG106 AO9 AO50 AO62 AO74 AO86 AO98 AO106 AW9 AW50 AW62 AW74 AW86 AW98 AW106 Y120 AG120 AO120 AW120 Y132 AG132 AO132 AW132 Y144 AG144 AO144 AW144 Y156 AG156 AO156 AW156 Y168 AG168 AO168 AW168 Y176 AG176 AO176 AW176 BE9 BE50 BE62 BE74 BE86 BE98 BE106 BE120 BE132 BE144 BE156 BE168 BE176 BM9 BM50 BM62 BM74 BM86 BM98 BM106 BM120 BM132 BM144 BM156 BM168 BM176 BU9 BU50 BU62 BU74 BU86 BU98 BU106 BU120 BU132 BU144 BU156 BU168 BU176 CC9 CC50 CC62 CC74 CC86 CC98 CC106 CC120 CC132 CC144 CC156 CC168 CC176 CK9 CK50 CK62 CK74 CK86 CK98 CK106 CK120 CK132 CK144 CK156 CK168 CK176 CS9 CS50 CS62 CS74 CS86 CS98 CS106 CS120 CS132 CS144 CS156 CS168 CS176 DA9 DA50 DA62 DA74 DA86 DA98 DA106 DA120 DA132 DA144 DA156 DA168 DA17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9D7E7-2BF8-F87B-5DFA-5D79554EFA2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1" width="19.140625" hidden="1" customWidth="1"/>
    <col min="13" max="14" style="3332" width="12.28125" hidden="1" customWidth="1"/>
    <col min="15" max="15" style="3332" width="23.421875" hidden="1" customWidth="1"/>
    <col min="16" max="16" style="3353" width="3.7109375" hidden="1" customWidth="1"/>
    <col min="17" max="18" style="3409" width="3.7109375" customWidth="1"/>
    <col min="19" max="19" style="3410" width="12.7109375" customWidth="1"/>
    <col min="20" max="20" style="2983" width="32.00390625" customWidth="1"/>
    <col min="21" max="21" style="2983" width="0.140625" customWidth="1"/>
    <col min="22" max="22" style="2983" width="24.7109375" hidden="1" customWidth="1"/>
    <col min="23" max="23" style="2983" width="0.140625" hidden="1" customWidth="1"/>
    <col min="24" max="25" style="2983" width="24.7109375" hidden="1" customWidth="1"/>
    <col min="26" max="26" style="2983" width="11.7109375" hidden="1" customWidth="1"/>
    <col min="27" max="27" style="2983" width="3.7109375" hidden="1" customWidth="1"/>
    <col min="28" max="28" style="2983" width="11.7109375" hidden="1" customWidth="1"/>
    <col min="29" max="29" style="2983" width="8.57421875" hidden="1" customWidth="1"/>
    <col min="30" max="30" style="2983" width="24.7109375" customWidth="1"/>
    <col min="31" max="31" style="2983" width="0.140625" customWidth="1"/>
    <col min="32" max="33" style="2983" width="24.7109375" customWidth="1"/>
    <col min="34" max="34" style="2983" width="11.7109375" customWidth="1"/>
    <col min="35" max="35" style="2983" width="3.7109375" customWidth="1"/>
    <col min="36" max="36" style="2983" width="11.7109375" customWidth="1"/>
    <col min="37" max="37" style="2983" width="8.57421875" hidden="1" customWidth="1"/>
    <col min="38" max="38" style="2983" width="4.7109375" customWidth="1"/>
    <col min="39" max="39" style="2983"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443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444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445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446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447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448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449</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450</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453</v>
      </c>
      <c r="M7" s="543"/>
      <c r="N7" s="1396"/>
      <c r="P7" s="2111"/>
      <c r="Q7" s="2111">
        <v>1</v>
      </c>
      <c r="R7" s="353"/>
      <c r="S7" s="1366">
        <f>$J7</f>
      </c>
      <c r="T7" s="274" t="s">
        <v>454</v>
      </c>
      <c r="U7" s="288"/>
      <c r="V7" s="2095"/>
      <c r="W7" s="2096"/>
      <c r="X7" s="2096"/>
      <c r="Y7" s="2096"/>
      <c r="Z7" s="2096"/>
      <c r="AA7" s="2096"/>
      <c r="AB7" s="2096"/>
      <c r="AC7" s="2097"/>
      <c r="AD7" s="2095"/>
      <c r="AE7" s="2096"/>
      <c r="AF7" s="2096"/>
      <c r="AG7" s="2096"/>
      <c r="AH7" s="2096"/>
      <c r="AI7" s="2096"/>
      <c r="AJ7" s="2096"/>
      <c r="AK7" s="2096"/>
      <c r="AL7" s="2097"/>
      <c r="AM7" s="1286" t="s">
        <v>455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456</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457</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458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459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191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192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211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461</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462</v>
      </c>
      <c r="P22" s="1392"/>
      <c r="Q22" s="1401"/>
      <c r="R22" s="1401"/>
      <c r="S22" s="735"/>
      <c r="T22" s="1168" t="s">
        <v>463</v>
      </c>
      <c r="AA22" s="172" t="s">
        <v>464</v>
      </c>
      <c r="AC22" s="172" t="s">
        <v>465</v>
      </c>
      <c r="AD22" s="1168" t="s">
        <v>463</v>
      </c>
      <c r="AI22" s="172" t="s">
        <v>466</v>
      </c>
      <c r="AK22" s="172" t="s">
        <v>465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3" customFormat="1" customHeight="1" ht="18.75">
      <c r="A30" s="1398"/>
      <c r="B30" s="1398"/>
      <c r="C30" s="1398"/>
      <c r="D30" s="1398"/>
      <c r="E30" s="1398"/>
      <c r="F30" s="1398"/>
      <c r="G30" s="1398"/>
      <c r="H30" s="1398"/>
      <c r="I30" s="1398"/>
      <c r="J30" s="1398"/>
      <c r="K30" s="1398"/>
      <c r="L30" s="1399"/>
      <c r="M30" s="1398"/>
      <c r="N30" s="1398"/>
      <c r="O30" s="1398"/>
      <c r="S30" s="2098" t="s">
        <v>467</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43" customFormat="1" customHeight="1" ht="18.75">
      <c r="A31" s="1398"/>
      <c r="B31" s="1398"/>
      <c r="C31" s="1398"/>
      <c r="D31" s="1398"/>
      <c r="E31" s="1398"/>
      <c r="F31" s="1398"/>
      <c r="G31" s="1398"/>
      <c r="H31" s="1398"/>
      <c r="I31" s="1398"/>
      <c r="J31" s="1398"/>
      <c r="K31" s="1398"/>
      <c r="L31" s="1399"/>
      <c r="M31" s="1398"/>
      <c r="N31" s="1398"/>
      <c r="O31" s="1398"/>
      <c r="S31" s="2098" t="s">
        <v>468</v>
      </c>
      <c r="T31" s="2098"/>
      <c r="U31" s="1402"/>
      <c r="V31" s="2100" t="str">
        <f>IF(TITLE_NUMBER_PR_CHANGE="",IF(TITLE_NUMBER_PR="","",TITLE_NUMBER_PR),TITLE_NUMBER_PR_CHANGE)</f>
        <v>51/11</v>
      </c>
      <c r="W31" s="2100"/>
      <c r="X31" s="2100"/>
      <c r="Y31" s="2100"/>
      <c r="Z31" s="2100"/>
      <c r="AA31" s="2100"/>
      <c r="AB31" s="2100"/>
      <c r="AC31" s="322"/>
      <c r="AD31" s="2100" t="str">
        <f>IF(TITLE_NUMBER_PR_CHANGE="",IF(TITLE_NUMBER_PR="","",TITLE_NUMBER_PR),TITLE_NUMBER_PR_CHANGE)</f>
        <v>51/11</v>
      </c>
      <c r="AE31" s="2100"/>
      <c r="AF31" s="2100"/>
      <c r="AG31" s="2100"/>
      <c r="AH31" s="2100"/>
      <c r="AI31" s="2100"/>
      <c r="AJ31" s="2100"/>
      <c r="AK31" s="322"/>
      <c r="AL31" s="322"/>
      <c r="AM31" s="268"/>
      <c r="AN31" s="368"/>
      <c r="AO31" s="368"/>
      <c r="AP31" s="368"/>
      <c r="AQ31" s="368"/>
      <c r="AR31" s="368"/>
    </row>
    <row s="334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https://npa.gov-murman.ru/bitrix/components/b1team/govmurman.element.file/download.php?ID=508451&amp;FID=750724</v>
      </c>
      <c r="W32" s="2100"/>
      <c r="X32" s="2100"/>
      <c r="Y32" s="2100"/>
      <c r="Z32" s="2100"/>
      <c r="AA32" s="2100"/>
      <c r="AB32" s="2100"/>
      <c r="AC32" s="322"/>
      <c r="AD32" s="2100" t="str">
        <f>IF(TITLE_IST_PUB_CHANGE="",IF(TITLE_IST_PUB="","",TITLE_IST_PUB),TITLE_IST_PUB_CHANGE)</f>
        <v>https://npa.gov-murman.ru/bitrix/components/b1team/govmurman.element.file/download.php?ID=508451&amp;FID=750724</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3" customFormat="1" customHeight="1" ht="18.75" hidden="1">
      <c r="A34" s="1398"/>
      <c r="B34" s="1398"/>
      <c r="C34" s="1398"/>
      <c r="D34" s="1398"/>
      <c r="E34" s="1398"/>
      <c r="F34" s="1398"/>
      <c r="G34" s="1398"/>
      <c r="H34" s="1398"/>
      <c r="I34" s="1398"/>
      <c r="J34" s="1398"/>
      <c r="K34" s="1398"/>
      <c r="L34" s="1399"/>
      <c r="M34" s="1398"/>
      <c r="N34" s="1398"/>
      <c r="O34" s="1398"/>
      <c r="S34" s="2098" t="s">
        <v>469</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43" customFormat="1" customHeight="1" ht="18.75" hidden="1">
      <c r="A35" s="1398"/>
      <c r="B35" s="1398"/>
      <c r="C35" s="1398"/>
      <c r="D35" s="1398"/>
      <c r="E35" s="1398"/>
      <c r="F35" s="1398"/>
      <c r="G35" s="1398"/>
      <c r="H35" s="1398"/>
      <c r="I35" s="1398"/>
      <c r="J35" s="1398"/>
      <c r="K35" s="1398"/>
      <c r="L35" s="1399"/>
      <c r="M35" s="1398"/>
      <c r="N35" s="1398"/>
      <c r="O35" s="1398"/>
      <c r="S35" s="2098" t="s">
        <v>470</v>
      </c>
      <c r="T35" s="2098"/>
      <c r="U35" s="1402"/>
      <c r="V35" s="2100" t="str">
        <f>IF(TITLE_NUMBER_PR_CHANGE="",IF(TITLE_NUMBER_PR="","",TITLE_NUMBER_PR),TITLE_NUMBER_PR_CHANGE)</f>
        <v>51/11</v>
      </c>
      <c r="W35" s="2100"/>
      <c r="X35" s="2100"/>
      <c r="Y35" s="2100"/>
      <c r="Z35" s="2100"/>
      <c r="AA35" s="2100"/>
      <c r="AB35" s="2100"/>
      <c r="AC35" s="322"/>
      <c r="AD35" s="2100" t="str">
        <f>IF(TITLE_NUMBER_PR_CHANGE="",IF(TITLE_NUMBER_PR="","",TITLE_NUMBER_PR),TITLE_NUMBER_PR_CHANGE)</f>
        <v>51/11</v>
      </c>
      <c r="AE35" s="2100"/>
      <c r="AF35" s="2100"/>
      <c r="AG35" s="2100"/>
      <c r="AH35" s="2100"/>
      <c r="AI35" s="2100"/>
      <c r="AJ35" s="2100"/>
      <c r="AK35" s="322"/>
      <c r="AL35" s="322"/>
      <c r="AM35" s="268"/>
      <c r="AN35" s="368"/>
      <c r="AO35" s="368"/>
      <c r="AP35" s="368"/>
      <c r="AQ35" s="368"/>
      <c r="AR35" s="368"/>
    </row>
    <row s="334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471</v>
      </c>
      <c r="AD36" s="322"/>
      <c r="AE36" s="322"/>
      <c r="AF36" s="322"/>
      <c r="AG36" s="322"/>
      <c r="AH36" s="322"/>
      <c r="AI36" s="322"/>
      <c r="AJ36" s="322"/>
      <c r="AK36" s="266" t="s">
        <v>471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345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346</v>
      </c>
    </row>
    <row customHeight="1" ht="14.25">
      <c r="Q39" s="377"/>
      <c r="R39" s="377"/>
      <c r="S39" s="2125" t="s">
        <v>87</v>
      </c>
      <c r="T39" s="2062" t="s">
        <v>472</v>
      </c>
      <c r="U39" s="289"/>
      <c r="V39" s="2126" t="s">
        <v>473</v>
      </c>
      <c r="W39" s="2127"/>
      <c r="X39" s="2127"/>
      <c r="Y39" s="2127"/>
      <c r="Z39" s="2127"/>
      <c r="AA39" s="2127"/>
      <c r="AB39" s="2128"/>
      <c r="AC39" s="2129" t="s">
        <v>474</v>
      </c>
      <c r="AD39" s="2126" t="s">
        <v>473</v>
      </c>
      <c r="AE39" s="2127"/>
      <c r="AF39" s="2127"/>
      <c r="AG39" s="2127"/>
      <c r="AH39" s="2127"/>
      <c r="AI39" s="2127"/>
      <c r="AJ39" s="2128"/>
      <c r="AK39" s="2129" t="s">
        <v>475</v>
      </c>
      <c r="AL39" s="2132" t="s">
        <v>476</v>
      </c>
      <c r="AM39" s="1971"/>
    </row>
    <row customHeight="1" ht="33.75">
      <c r="Q40" s="377"/>
      <c r="R40" s="377"/>
      <c r="S40" s="2125"/>
      <c r="T40" s="2062"/>
      <c r="U40" s="1038"/>
      <c r="V40" s="2135" t="s">
        <v>477</v>
      </c>
      <c r="W40" s="2116"/>
      <c r="X40" s="2118" t="s">
        <v>479</v>
      </c>
      <c r="Y40" s="2120"/>
      <c r="Z40" s="2118" t="s">
        <v>480</v>
      </c>
      <c r="AA40" s="2119"/>
      <c r="AB40" s="2120"/>
      <c r="AC40" s="2130"/>
      <c r="AD40" s="2135" t="s">
        <v>477</v>
      </c>
      <c r="AE40" s="2116"/>
      <c r="AF40" s="2118" t="s">
        <v>479</v>
      </c>
      <c r="AG40" s="2120"/>
      <c r="AH40" s="2118" t="s">
        <v>480</v>
      </c>
      <c r="AI40" s="2119"/>
      <c r="AJ40" s="2120"/>
      <c r="AK40" s="2130"/>
      <c r="AL40" s="2133"/>
      <c r="AM40" s="1971"/>
    </row>
    <row customHeight="1" ht="33.75">
      <c r="A41" s="1400"/>
      <c r="B41" s="1400" t="s">
        <v>152</v>
      </c>
      <c r="C41" s="1400" t="s">
        <v>153</v>
      </c>
      <c r="D41" s="1400" t="s">
        <v>154</v>
      </c>
      <c r="E41" s="1394" t="s">
        <v>481</v>
      </c>
      <c r="F41" s="1394" t="s">
        <v>482</v>
      </c>
      <c r="G41" s="1394" t="s">
        <v>483</v>
      </c>
      <c r="H41" s="1394" t="s">
        <v>484</v>
      </c>
      <c r="I41" s="1394" t="s">
        <v>485</v>
      </c>
      <c r="J41" s="1394" t="s">
        <v>486</v>
      </c>
      <c r="K41" s="1394" t="s">
        <v>487</v>
      </c>
      <c r="L41" s="1394" t="s">
        <v>462</v>
      </c>
      <c r="Q41" s="377"/>
      <c r="R41" s="377"/>
      <c r="S41" s="2125"/>
      <c r="T41" s="2062"/>
      <c r="U41" s="290"/>
      <c r="V41" s="2136"/>
      <c r="W41" s="2117"/>
      <c r="X41" s="1237" t="s">
        <v>488</v>
      </c>
      <c r="Y41" s="1237" t="s">
        <v>489</v>
      </c>
      <c r="Z41" s="1368" t="s">
        <v>490</v>
      </c>
      <c r="AA41" s="2121" t="s">
        <v>491</v>
      </c>
      <c r="AB41" s="2122"/>
      <c r="AC41" s="2131"/>
      <c r="AD41" s="2136"/>
      <c r="AE41" s="2117"/>
      <c r="AF41" s="1237" t="s">
        <v>488</v>
      </c>
      <c r="AG41" s="1237" t="s">
        <v>489</v>
      </c>
      <c r="AH41" s="1368" t="s">
        <v>490</v>
      </c>
      <c r="AI41" s="2121" t="s">
        <v>491</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128</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239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239</v>
      </c>
      <c r="B44" s="1393" t="s">
        <v>240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444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445</v>
      </c>
      <c r="AO44" s="506"/>
      <c r="AP44" s="506" t="str">
        <f>IF(T44="","",T44)</f>
        <v>Территория действия тарифа</v>
      </c>
      <c r="AQ44" s="506"/>
      <c r="AR44" s="506"/>
    </row>
    <row customHeight="1" ht="23.25">
      <c r="A45" s="1393" t="s">
        <v>239</v>
      </c>
      <c r="B45" s="1393" t="s">
        <v>240</v>
      </c>
      <c r="C45" s="1393" t="s">
        <v>241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446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447</v>
      </c>
      <c r="AO45" s="506"/>
      <c r="AP45" s="506" t="str">
        <f>IF(T45="","",T45)</f>
        <v>Наименование системы теплоснабжения </v>
      </c>
      <c r="AQ45" s="506"/>
      <c r="AR45" s="506"/>
    </row>
    <row customHeight="1" ht="21">
      <c r="A46" s="1393" t="s">
        <v>239</v>
      </c>
      <c r="B46" s="1393" t="s">
        <v>240</v>
      </c>
      <c r="C46" s="1393" t="s">
        <v>241</v>
      </c>
      <c r="D46" s="1393" t="s">
        <v>242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448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449</v>
      </c>
      <c r="AO46" s="506"/>
      <c r="AP46" s="506" t="str">
        <f>IF(T46="","",T46)</f>
        <v>Источник тепловой энергии  </v>
      </c>
      <c r="AQ46" s="506"/>
      <c r="AR46" s="506"/>
    </row>
    <row s="2612" customFormat="1" customHeight="1" ht="0">
      <c r="A47" s="1373" t="s">
        <v>239</v>
      </c>
      <c r="B47" s="1373" t="s">
        <v>240</v>
      </c>
      <c r="C47" s="1373" t="s">
        <v>241</v>
      </c>
      <c r="D47" s="1373" t="s">
        <v>242</v>
      </c>
      <c r="E47" s="2108"/>
      <c r="F47" s="2108"/>
      <c r="G47" s="2108"/>
      <c r="H47" s="2108"/>
      <c r="I47" s="2109" t="str">
        <f>S46&amp;".1"</f>
        <v>....1</v>
      </c>
      <c r="J47" s="1373"/>
      <c r="K47" s="1373"/>
      <c r="L47" s="1376" t="s">
        <v>450</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239</v>
      </c>
      <c r="B48" s="1393" t="s">
        <v>240</v>
      </c>
      <c r="C48" s="1393" t="s">
        <v>241</v>
      </c>
      <c r="D48" s="1393" t="s">
        <v>242</v>
      </c>
      <c r="E48" s="2108"/>
      <c r="F48" s="2108"/>
      <c r="G48" s="2108"/>
      <c r="H48" s="2108"/>
      <c r="I48" s="2110"/>
      <c r="J48" s="2109" t="str">
        <f>S46&amp;".1"</f>
        <v>....1</v>
      </c>
      <c r="K48" s="1393"/>
      <c r="L48" s="1394" t="s">
        <v>453</v>
      </c>
      <c r="P48" s="2111"/>
      <c r="Q48" s="2111">
        <v>1</v>
      </c>
      <c r="R48" s="353"/>
      <c r="S48" s="1366" t="str">
        <f>$J48</f>
        <v>....1</v>
      </c>
      <c r="T48" s="274" t="s">
        <v>454</v>
      </c>
      <c r="U48" s="288"/>
      <c r="V48" s="2095"/>
      <c r="W48" s="2096"/>
      <c r="X48" s="2096"/>
      <c r="Y48" s="2096"/>
      <c r="Z48" s="2096"/>
      <c r="AA48" s="2096"/>
      <c r="AB48" s="2096"/>
      <c r="AC48" s="2097"/>
      <c r="AD48" s="2095"/>
      <c r="AE48" s="2096"/>
      <c r="AF48" s="2096"/>
      <c r="AG48" s="2096"/>
      <c r="AH48" s="2096"/>
      <c r="AI48" s="2096"/>
      <c r="AJ48" s="2096"/>
      <c r="AK48" s="2096"/>
      <c r="AL48" s="2097"/>
      <c r="AM48" s="1286" t="s">
        <v>455</v>
      </c>
      <c r="AO48" s="506"/>
      <c r="AP48" s="506" t="str">
        <f>IF(T48="","",T48)</f>
        <v>Группа потребителей</v>
      </c>
      <c r="AQ48" s="506"/>
      <c r="AR48" s="506"/>
    </row>
    <row customHeight="1" ht="21">
      <c r="A49" s="1393" t="s">
        <v>239</v>
      </c>
      <c r="B49" s="1393" t="s">
        <v>240</v>
      </c>
      <c r="C49" s="1393" t="s">
        <v>241</v>
      </c>
      <c r="D49" s="1393" t="s">
        <v>242</v>
      </c>
      <c r="E49" s="2108"/>
      <c r="F49" s="2108"/>
      <c r="G49" s="2108"/>
      <c r="H49" s="2108"/>
      <c r="I49" s="2110"/>
      <c r="J49" s="2110"/>
      <c r="K49" s="2109" t="str">
        <f>J48&amp;".1"</f>
        <v>....1.1</v>
      </c>
      <c r="L49" s="1394" t="s">
        <v>456</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496</v>
      </c>
      <c r="AN49" s="517">
        <f>STRCHECKDATE(V50:AL50)</f>
      </c>
      <c r="AO49" s="506"/>
      <c r="AP49" s="506" t="str">
        <f>IF(T49="","",T49)</f>
        <v/>
      </c>
      <c r="AQ49" s="506"/>
      <c r="AR49" s="506"/>
    </row>
    <row customHeight="1" ht="0.75">
      <c r="A50" s="1393" t="s">
        <v>239</v>
      </c>
      <c r="B50" s="1393" t="s">
        <v>240</v>
      </c>
      <c r="C50" s="1393" t="s">
        <v>241</v>
      </c>
      <c r="D50" s="1393" t="s">
        <v>242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239</v>
      </c>
      <c r="B51" s="1393" t="s">
        <v>240</v>
      </c>
      <c r="C51" s="1393" t="s">
        <v>241</v>
      </c>
      <c r="D51" s="1393" t="s">
        <v>242</v>
      </c>
      <c r="E51" s="2108"/>
      <c r="F51" s="2108"/>
      <c r="G51" s="2108"/>
      <c r="H51" s="2108"/>
      <c r="I51" s="2110"/>
      <c r="J51" s="2109"/>
      <c r="K51" s="1393"/>
      <c r="L51" s="1394"/>
      <c r="P51" s="2111"/>
      <c r="Q51" s="2111"/>
      <c r="R51" s="352"/>
      <c r="S51" s="1308"/>
      <c r="T51" s="275" t="s">
        <v>458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239</v>
      </c>
      <c r="B52" s="1393" t="s">
        <v>240</v>
      </c>
      <c r="C52" s="1393" t="s">
        <v>241</v>
      </c>
      <c r="D52" s="1393" t="s">
        <v>242</v>
      </c>
      <c r="E52" s="2108"/>
      <c r="F52" s="2108"/>
      <c r="G52" s="2108"/>
      <c r="H52" s="2108"/>
      <c r="I52" s="2109"/>
      <c r="J52" s="1393"/>
      <c r="K52" s="1393"/>
      <c r="L52" s="1394"/>
      <c r="P52" s="2111"/>
      <c r="Q52" s="1361"/>
      <c r="R52" s="352"/>
      <c r="S52" s="1308"/>
      <c r="T52" s="364" t="s">
        <v>459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239</v>
      </c>
      <c r="B53" s="1393" t="s">
        <v>240</v>
      </c>
      <c r="C53" s="1393" t="s">
        <v>241</v>
      </c>
      <c r="D53" s="1393" t="s">
        <v>242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2" customFormat="1" customHeight="1" ht="0.75">
      <c r="A54" s="1373" t="s">
        <v>239</v>
      </c>
      <c r="B54" s="1373" t="s">
        <v>240</v>
      </c>
      <c r="C54" s="1373" t="s">
        <v>241</v>
      </c>
      <c r="D54" s="1344"/>
      <c r="E54" s="2108"/>
      <c r="F54" s="2108"/>
      <c r="G54" s="2107"/>
      <c r="H54" s="1344"/>
      <c r="I54" s="1344"/>
      <c r="J54" s="1344"/>
      <c r="K54" s="1344"/>
      <c r="L54" s="1369"/>
      <c r="M54" s="1345"/>
      <c r="N54" s="1345"/>
      <c r="P54" s="1346"/>
      <c r="Q54" s="1347"/>
      <c r="R54" s="1346"/>
      <c r="S54" s="1352"/>
      <c r="T54" s="1355" t="s">
        <v>191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75">
      <c r="A55" s="1373" t="s">
        <v>239</v>
      </c>
      <c r="B55" s="1373" t="s">
        <v>240</v>
      </c>
      <c r="C55" s="1344"/>
      <c r="D55" s="1344"/>
      <c r="E55" s="2108"/>
      <c r="F55" s="2107"/>
      <c r="G55" s="1344"/>
      <c r="H55" s="1344"/>
      <c r="I55" s="1344"/>
      <c r="J55" s="1344"/>
      <c r="K55" s="1344"/>
      <c r="L55" s="1369"/>
      <c r="M55" s="1351"/>
      <c r="N55" s="1351"/>
      <c r="P55" s="1346"/>
      <c r="Q55" s="1347"/>
      <c r="R55" s="1346"/>
      <c r="S55" s="1352"/>
      <c r="T55" s="1355" t="s">
        <v>192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239</v>
      </c>
      <c r="B56" s="1373"/>
      <c r="C56" s="1373"/>
      <c r="D56" s="1373"/>
      <c r="E56" s="2107"/>
      <c r="F56" s="1373"/>
      <c r="G56" s="1373"/>
      <c r="H56" s="1373"/>
      <c r="I56" s="1373"/>
      <c r="J56" s="1373"/>
      <c r="K56" s="1373"/>
      <c r="L56" s="1376"/>
      <c r="M56" s="1351"/>
      <c r="N56" s="1351"/>
      <c r="O56" s="524"/>
      <c r="P56" s="385"/>
      <c r="Q56" s="1374"/>
      <c r="R56" s="385"/>
      <c r="S56" s="1352"/>
      <c r="T56" s="1355" t="s">
        <v>211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1F6AB-EB6C-C024-3B2A-DE445896CA1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1" width="19.140625" hidden="1" customWidth="1"/>
    <col min="13" max="14" style="3332" width="12.28125" hidden="1" customWidth="1"/>
    <col min="15" max="15" style="3332" width="23.421875" hidden="1" customWidth="1"/>
    <col min="16" max="16" style="3353" width="3.7109375" hidden="1" customWidth="1"/>
    <col min="17" max="18" style="3409" width="3.7109375" customWidth="1"/>
    <col min="19" max="19" style="3410" width="12.7109375" customWidth="1"/>
    <col min="20" max="20" style="2983" width="32.00390625" customWidth="1"/>
    <col min="21" max="21" style="2983" width="0.140625" customWidth="1"/>
    <col min="22" max="22" style="2983" width="24.7109375" hidden="1" customWidth="1"/>
    <col min="23" max="23" style="2983" width="0.140625" hidden="1" customWidth="1"/>
    <col min="24" max="25" style="2983" width="24.7109375" hidden="1" customWidth="1"/>
    <col min="26" max="26" style="2983" width="11.7109375" hidden="1" customWidth="1"/>
    <col min="27" max="27" style="2983" width="3.7109375" hidden="1" customWidth="1"/>
    <col min="28" max="28" style="2983" width="11.7109375" hidden="1" customWidth="1"/>
    <col min="29" max="29" style="2983" width="8.57421875" hidden="1" customWidth="1"/>
    <col min="30" max="30" style="2983" width="24.7109375" customWidth="1"/>
    <col min="31" max="31" style="2983" width="0.140625" customWidth="1"/>
    <col min="32" max="33" style="2983" width="24.7109375" customWidth="1"/>
    <col min="34" max="34" style="2983" width="11.7109375" customWidth="1"/>
    <col min="35" max="35" style="2983" width="3.7109375" customWidth="1"/>
    <col min="36" max="36" style="2983" width="11.7109375" customWidth="1"/>
    <col min="37" max="37" style="2983" width="8.57421875" hidden="1" customWidth="1"/>
    <col min="38" max="38" style="2983" width="4.7109375" customWidth="1"/>
    <col min="39" max="39" style="2983"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443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444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445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446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447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448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449</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450</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453</v>
      </c>
      <c r="M7" s="543"/>
      <c r="N7" s="1396"/>
      <c r="P7" s="2111"/>
      <c r="Q7" s="2111">
        <v>1</v>
      </c>
      <c r="R7" s="353"/>
      <c r="S7" s="1366">
        <f>$J7</f>
      </c>
      <c r="T7" s="274" t="s">
        <v>454</v>
      </c>
      <c r="U7" s="288"/>
      <c r="V7" s="2095"/>
      <c r="W7" s="2096"/>
      <c r="X7" s="2096"/>
      <c r="Y7" s="2096"/>
      <c r="Z7" s="2096"/>
      <c r="AA7" s="2096"/>
      <c r="AB7" s="2096"/>
      <c r="AC7" s="2097"/>
      <c r="AD7" s="2095"/>
      <c r="AE7" s="2096"/>
      <c r="AF7" s="2096"/>
      <c r="AG7" s="2096"/>
      <c r="AH7" s="2096"/>
      <c r="AI7" s="2096"/>
      <c r="AJ7" s="2096"/>
      <c r="AK7" s="2096"/>
      <c r="AL7" s="2097"/>
      <c r="AM7" s="1286" t="s">
        <v>455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456</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457</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458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459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191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192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211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461</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462</v>
      </c>
      <c r="P22" s="1392"/>
      <c r="Q22" s="1401"/>
      <c r="R22" s="1401"/>
      <c r="S22" s="735"/>
      <c r="T22" s="1168" t="s">
        <v>463</v>
      </c>
      <c r="AA22" s="172" t="s">
        <v>464</v>
      </c>
      <c r="AC22" s="172" t="s">
        <v>465</v>
      </c>
      <c r="AD22" s="1168" t="s">
        <v>463</v>
      </c>
      <c r="AI22" s="172" t="s">
        <v>466</v>
      </c>
      <c r="AK22" s="172" t="s">
        <v>465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3" customFormat="1" customHeight="1" ht="18.75">
      <c r="A30" s="1398"/>
      <c r="B30" s="1398"/>
      <c r="C30" s="1398"/>
      <c r="D30" s="1398"/>
      <c r="E30" s="1398"/>
      <c r="F30" s="1398"/>
      <c r="G30" s="1398"/>
      <c r="H30" s="1398"/>
      <c r="I30" s="1398"/>
      <c r="J30" s="1398"/>
      <c r="K30" s="1398"/>
      <c r="L30" s="1399"/>
      <c r="M30" s="1398"/>
      <c r="N30" s="1398"/>
      <c r="O30" s="1398"/>
      <c r="S30" s="2098" t="s">
        <v>467</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43" customFormat="1" customHeight="1" ht="18.75">
      <c r="A31" s="1398"/>
      <c r="B31" s="1398"/>
      <c r="C31" s="1398"/>
      <c r="D31" s="1398"/>
      <c r="E31" s="1398"/>
      <c r="F31" s="1398"/>
      <c r="G31" s="1398"/>
      <c r="H31" s="1398"/>
      <c r="I31" s="1398"/>
      <c r="J31" s="1398"/>
      <c r="K31" s="1398"/>
      <c r="L31" s="1399"/>
      <c r="M31" s="1398"/>
      <c r="N31" s="1398"/>
      <c r="O31" s="1398"/>
      <c r="S31" s="2098" t="s">
        <v>468</v>
      </c>
      <c r="T31" s="2098"/>
      <c r="U31" s="1402"/>
      <c r="V31" s="2100" t="str">
        <f>IF(TITLE_NUMBER_PR_CHANGE="",IF(TITLE_NUMBER_PR="","",TITLE_NUMBER_PR),TITLE_NUMBER_PR_CHANGE)</f>
        <v>51/11</v>
      </c>
      <c r="W31" s="2100"/>
      <c r="X31" s="2100"/>
      <c r="Y31" s="2100"/>
      <c r="Z31" s="2100"/>
      <c r="AA31" s="2100"/>
      <c r="AB31" s="2100"/>
      <c r="AC31" s="322"/>
      <c r="AD31" s="2100" t="str">
        <f>IF(TITLE_NUMBER_PR_CHANGE="",IF(TITLE_NUMBER_PR="","",TITLE_NUMBER_PR),TITLE_NUMBER_PR_CHANGE)</f>
        <v>51/11</v>
      </c>
      <c r="AE31" s="2100"/>
      <c r="AF31" s="2100"/>
      <c r="AG31" s="2100"/>
      <c r="AH31" s="2100"/>
      <c r="AI31" s="2100"/>
      <c r="AJ31" s="2100"/>
      <c r="AK31" s="322"/>
      <c r="AL31" s="322"/>
      <c r="AM31" s="268"/>
      <c r="AN31" s="368"/>
      <c r="AO31" s="368"/>
      <c r="AP31" s="368"/>
      <c r="AQ31" s="368"/>
      <c r="AR31" s="368"/>
    </row>
    <row s="334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https://npa.gov-murman.ru/bitrix/components/b1team/govmurman.element.file/download.php?ID=508451&amp;FID=750724</v>
      </c>
      <c r="W32" s="2100"/>
      <c r="X32" s="2100"/>
      <c r="Y32" s="2100"/>
      <c r="Z32" s="2100"/>
      <c r="AA32" s="2100"/>
      <c r="AB32" s="2100"/>
      <c r="AC32" s="322"/>
      <c r="AD32" s="2100" t="str">
        <f>IF(TITLE_IST_PUB_CHANGE="",IF(TITLE_IST_PUB="","",TITLE_IST_PUB),TITLE_IST_PUB_CHANGE)</f>
        <v>https://npa.gov-murman.ru/bitrix/components/b1team/govmurman.element.file/download.php?ID=508451&amp;FID=750724</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3" customFormat="1" customHeight="1" ht="18.75" hidden="1">
      <c r="A34" s="1398"/>
      <c r="B34" s="1398"/>
      <c r="C34" s="1398"/>
      <c r="D34" s="1398"/>
      <c r="E34" s="1398"/>
      <c r="F34" s="1398"/>
      <c r="G34" s="1398"/>
      <c r="H34" s="1398"/>
      <c r="I34" s="1398"/>
      <c r="J34" s="1398"/>
      <c r="K34" s="1398"/>
      <c r="L34" s="1399"/>
      <c r="M34" s="1398"/>
      <c r="N34" s="1398"/>
      <c r="O34" s="1398"/>
      <c r="S34" s="2098" t="s">
        <v>469</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43" customFormat="1" customHeight="1" ht="25.5" hidden="1">
      <c r="A35" s="1398"/>
      <c r="B35" s="1398"/>
      <c r="C35" s="1398"/>
      <c r="D35" s="1398"/>
      <c r="E35" s="1398"/>
      <c r="F35" s="1398"/>
      <c r="G35" s="1398"/>
      <c r="H35" s="1398"/>
      <c r="I35" s="1398"/>
      <c r="J35" s="1398"/>
      <c r="K35" s="1398"/>
      <c r="L35" s="1399"/>
      <c r="M35" s="1398"/>
      <c r="N35" s="1398"/>
      <c r="O35" s="1398"/>
      <c r="S35" s="2098" t="s">
        <v>470</v>
      </c>
      <c r="T35" s="2098"/>
      <c r="U35" s="1402"/>
      <c r="V35" s="2100" t="str">
        <f>IF(TITLE_NUMBER_PR_CHANGE="",IF(TITLE_NUMBER_PR="","",TITLE_NUMBER_PR),TITLE_NUMBER_PR_CHANGE)</f>
        <v>51/11</v>
      </c>
      <c r="W35" s="2100"/>
      <c r="X35" s="2100"/>
      <c r="Y35" s="2100"/>
      <c r="Z35" s="2100"/>
      <c r="AA35" s="2100"/>
      <c r="AB35" s="2100"/>
      <c r="AC35" s="322"/>
      <c r="AD35" s="2100" t="str">
        <f>IF(TITLE_NUMBER_PR_CHANGE="",IF(TITLE_NUMBER_PR="","",TITLE_NUMBER_PR),TITLE_NUMBER_PR_CHANGE)</f>
        <v>51/11</v>
      </c>
      <c r="AE35" s="2100"/>
      <c r="AF35" s="2100"/>
      <c r="AG35" s="2100"/>
      <c r="AH35" s="2100"/>
      <c r="AI35" s="2100"/>
      <c r="AJ35" s="2100"/>
      <c r="AK35" s="322"/>
      <c r="AL35" s="322"/>
      <c r="AM35" s="268"/>
      <c r="AN35" s="368"/>
      <c r="AO35" s="368"/>
      <c r="AP35" s="368"/>
      <c r="AQ35" s="368"/>
      <c r="AR35" s="368"/>
    </row>
    <row s="334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471</v>
      </c>
      <c r="AD36" s="322"/>
      <c r="AE36" s="322"/>
      <c r="AF36" s="322"/>
      <c r="AG36" s="322"/>
      <c r="AH36" s="322"/>
      <c r="AI36" s="322"/>
      <c r="AJ36" s="322"/>
      <c r="AK36" s="266" t="s">
        <v>471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345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346</v>
      </c>
    </row>
    <row customHeight="1" ht="14.25">
      <c r="Q39" s="377"/>
      <c r="R39" s="377"/>
      <c r="S39" s="2125" t="s">
        <v>87</v>
      </c>
      <c r="T39" s="2062" t="s">
        <v>472</v>
      </c>
      <c r="U39" s="289"/>
      <c r="V39" s="2126" t="s">
        <v>473</v>
      </c>
      <c r="W39" s="2127"/>
      <c r="X39" s="2127"/>
      <c r="Y39" s="2127"/>
      <c r="Z39" s="2127"/>
      <c r="AA39" s="2127"/>
      <c r="AB39" s="2128"/>
      <c r="AC39" s="2129" t="s">
        <v>474</v>
      </c>
      <c r="AD39" s="2126" t="s">
        <v>473</v>
      </c>
      <c r="AE39" s="2127"/>
      <c r="AF39" s="2127"/>
      <c r="AG39" s="2127"/>
      <c r="AH39" s="2127"/>
      <c r="AI39" s="2127"/>
      <c r="AJ39" s="2128"/>
      <c r="AK39" s="2129" t="s">
        <v>475</v>
      </c>
      <c r="AL39" s="2132" t="s">
        <v>476</v>
      </c>
      <c r="AM39" s="1971"/>
    </row>
    <row customHeight="1" ht="33.75">
      <c r="Q40" s="377"/>
      <c r="R40" s="377"/>
      <c r="S40" s="2125"/>
      <c r="T40" s="2062"/>
      <c r="U40" s="1038"/>
      <c r="V40" s="2135" t="s">
        <v>477</v>
      </c>
      <c r="W40" s="2116"/>
      <c r="X40" s="2118" t="s">
        <v>479</v>
      </c>
      <c r="Y40" s="2120"/>
      <c r="Z40" s="2118" t="s">
        <v>480</v>
      </c>
      <c r="AA40" s="2119"/>
      <c r="AB40" s="2120"/>
      <c r="AC40" s="2130"/>
      <c r="AD40" s="2135" t="s">
        <v>477</v>
      </c>
      <c r="AE40" s="2116"/>
      <c r="AF40" s="2118" t="s">
        <v>479</v>
      </c>
      <c r="AG40" s="2120"/>
      <c r="AH40" s="2118" t="s">
        <v>480</v>
      </c>
      <c r="AI40" s="2119"/>
      <c r="AJ40" s="2120"/>
      <c r="AK40" s="2130"/>
      <c r="AL40" s="2133"/>
      <c r="AM40" s="1971"/>
    </row>
    <row customHeight="1" ht="33.75">
      <c r="A41" s="1400"/>
      <c r="B41" s="1400" t="s">
        <v>152</v>
      </c>
      <c r="C41" s="1400" t="s">
        <v>153</v>
      </c>
      <c r="D41" s="1400" t="s">
        <v>154</v>
      </c>
      <c r="E41" s="1394" t="s">
        <v>481</v>
      </c>
      <c r="F41" s="1394" t="s">
        <v>482</v>
      </c>
      <c r="G41" s="1394" t="s">
        <v>483</v>
      </c>
      <c r="H41" s="1394" t="s">
        <v>484</v>
      </c>
      <c r="I41" s="1394" t="s">
        <v>485</v>
      </c>
      <c r="J41" s="1394" t="s">
        <v>486</v>
      </c>
      <c r="K41" s="1394" t="s">
        <v>487</v>
      </c>
      <c r="L41" s="1394" t="s">
        <v>462</v>
      </c>
      <c r="Q41" s="377"/>
      <c r="R41" s="377"/>
      <c r="S41" s="2125"/>
      <c r="T41" s="2062"/>
      <c r="U41" s="290"/>
      <c r="V41" s="2136"/>
      <c r="W41" s="2117"/>
      <c r="X41" s="1237" t="s">
        <v>488</v>
      </c>
      <c r="Y41" s="1237" t="s">
        <v>489</v>
      </c>
      <c r="Z41" s="1368" t="s">
        <v>490</v>
      </c>
      <c r="AA41" s="2121" t="s">
        <v>491</v>
      </c>
      <c r="AB41" s="2122"/>
      <c r="AC41" s="2131"/>
      <c r="AD41" s="2136"/>
      <c r="AE41" s="2117"/>
      <c r="AF41" s="1237" t="s">
        <v>488</v>
      </c>
      <c r="AG41" s="1237" t="s">
        <v>489</v>
      </c>
      <c r="AH41" s="1368" t="s">
        <v>490</v>
      </c>
      <c r="AI41" s="2121" t="s">
        <v>491</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128</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245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245</v>
      </c>
      <c r="B44" s="1393" t="s">
        <v>246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444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445</v>
      </c>
      <c r="AO44" s="506"/>
      <c r="AP44" s="506" t="str">
        <f>IF(T44="","",T44)</f>
        <v>Территория действия тарифа</v>
      </c>
      <c r="AQ44" s="506"/>
      <c r="AR44" s="506"/>
    </row>
    <row customHeight="1" ht="23.25">
      <c r="A45" s="1393" t="s">
        <v>245</v>
      </c>
      <c r="B45" s="1393" t="s">
        <v>246</v>
      </c>
      <c r="C45" s="1393" t="s">
        <v>247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446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447</v>
      </c>
      <c r="AO45" s="506"/>
      <c r="AP45" s="506" t="str">
        <f>IF(T45="","",T45)</f>
        <v>Наименование системы теплоснабжения </v>
      </c>
      <c r="AQ45" s="506"/>
      <c r="AR45" s="506"/>
    </row>
    <row customHeight="1" ht="21">
      <c r="A46" s="1393" t="s">
        <v>245</v>
      </c>
      <c r="B46" s="1393" t="s">
        <v>246</v>
      </c>
      <c r="C46" s="1393" t="s">
        <v>247</v>
      </c>
      <c r="D46" s="1393" t="s">
        <v>248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448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449</v>
      </c>
      <c r="AO46" s="506"/>
      <c r="AP46" s="506" t="str">
        <f>IF(T46="","",T46)</f>
        <v>Источник тепловой энергии  </v>
      </c>
      <c r="AQ46" s="506"/>
      <c r="AR46" s="506"/>
    </row>
    <row s="2612" customFormat="1" customHeight="1" ht="0">
      <c r="A47" s="1373" t="s">
        <v>245</v>
      </c>
      <c r="B47" s="1373" t="s">
        <v>246</v>
      </c>
      <c r="C47" s="1373" t="s">
        <v>247</v>
      </c>
      <c r="D47" s="1373" t="s">
        <v>248</v>
      </c>
      <c r="E47" s="2108"/>
      <c r="F47" s="2108"/>
      <c r="G47" s="2108"/>
      <c r="H47" s="2108"/>
      <c r="I47" s="2109" t="str">
        <f>S46&amp;".1"</f>
        <v>....1</v>
      </c>
      <c r="J47" s="1373"/>
      <c r="K47" s="1373"/>
      <c r="L47" s="1376" t="s">
        <v>450</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245</v>
      </c>
      <c r="B48" s="1393" t="s">
        <v>246</v>
      </c>
      <c r="C48" s="1393" t="s">
        <v>247</v>
      </c>
      <c r="D48" s="1393" t="s">
        <v>248</v>
      </c>
      <c r="E48" s="2108"/>
      <c r="F48" s="2108"/>
      <c r="G48" s="2108"/>
      <c r="H48" s="2108"/>
      <c r="I48" s="2110"/>
      <c r="J48" s="2109" t="str">
        <f>S46&amp;".1"</f>
        <v>....1</v>
      </c>
      <c r="K48" s="1393"/>
      <c r="L48" s="1394" t="s">
        <v>453</v>
      </c>
      <c r="P48" s="2111"/>
      <c r="Q48" s="2111">
        <v>1</v>
      </c>
      <c r="R48" s="353"/>
      <c r="S48" s="1366" t="str">
        <f>$J48</f>
        <v>....1</v>
      </c>
      <c r="T48" s="274" t="s">
        <v>454</v>
      </c>
      <c r="U48" s="288"/>
      <c r="V48" s="2095"/>
      <c r="W48" s="2096"/>
      <c r="X48" s="2096"/>
      <c r="Y48" s="2096"/>
      <c r="Z48" s="2096"/>
      <c r="AA48" s="2096"/>
      <c r="AB48" s="2096"/>
      <c r="AC48" s="2097"/>
      <c r="AD48" s="2095"/>
      <c r="AE48" s="2096"/>
      <c r="AF48" s="2096"/>
      <c r="AG48" s="2096"/>
      <c r="AH48" s="2096"/>
      <c r="AI48" s="2096"/>
      <c r="AJ48" s="2096"/>
      <c r="AK48" s="2096"/>
      <c r="AL48" s="2097"/>
      <c r="AM48" s="1286" t="s">
        <v>455</v>
      </c>
      <c r="AO48" s="506"/>
      <c r="AP48" s="506" t="str">
        <f>IF(T48="","",T48)</f>
        <v>Группа потребителей</v>
      </c>
      <c r="AQ48" s="506"/>
      <c r="AR48" s="506"/>
    </row>
    <row customHeight="1" ht="21">
      <c r="A49" s="1393" t="s">
        <v>245</v>
      </c>
      <c r="B49" s="1393" t="s">
        <v>246</v>
      </c>
      <c r="C49" s="1393" t="s">
        <v>247</v>
      </c>
      <c r="D49" s="1393" t="s">
        <v>248</v>
      </c>
      <c r="E49" s="2108"/>
      <c r="F49" s="2108"/>
      <c r="G49" s="2108"/>
      <c r="H49" s="2108"/>
      <c r="I49" s="2110"/>
      <c r="J49" s="2110"/>
      <c r="K49" s="2109" t="str">
        <f>J48&amp;".1"</f>
        <v>....1.1</v>
      </c>
      <c r="L49" s="1394" t="s">
        <v>456</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496</v>
      </c>
      <c r="AN49" s="517">
        <f>STRCHECKDATE(V50:AL50)</f>
      </c>
      <c r="AO49" s="506"/>
      <c r="AP49" s="506" t="str">
        <f>IF(T49="","",T49)</f>
        <v/>
      </c>
      <c r="AQ49" s="506"/>
      <c r="AR49" s="506"/>
    </row>
    <row customHeight="1" ht="0">
      <c r="A50" s="1393" t="s">
        <v>245</v>
      </c>
      <c r="B50" s="1393" t="s">
        <v>246</v>
      </c>
      <c r="C50" s="1393" t="s">
        <v>247</v>
      </c>
      <c r="D50" s="1393" t="s">
        <v>248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245</v>
      </c>
      <c r="B51" s="1393" t="s">
        <v>246</v>
      </c>
      <c r="C51" s="1393" t="s">
        <v>247</v>
      </c>
      <c r="D51" s="1393" t="s">
        <v>248</v>
      </c>
      <c r="E51" s="2108"/>
      <c r="F51" s="2108"/>
      <c r="G51" s="2108"/>
      <c r="H51" s="2108"/>
      <c r="I51" s="2110"/>
      <c r="J51" s="2109"/>
      <c r="K51" s="1393"/>
      <c r="L51" s="1394"/>
      <c r="P51" s="2111"/>
      <c r="Q51" s="2111"/>
      <c r="R51" s="352"/>
      <c r="S51" s="1308"/>
      <c r="T51" s="275" t="s">
        <v>458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245</v>
      </c>
      <c r="B52" s="1393" t="s">
        <v>246</v>
      </c>
      <c r="C52" s="1393" t="s">
        <v>247</v>
      </c>
      <c r="D52" s="1393" t="s">
        <v>248</v>
      </c>
      <c r="E52" s="2108"/>
      <c r="F52" s="2108"/>
      <c r="G52" s="2108"/>
      <c r="H52" s="2108"/>
      <c r="I52" s="2109"/>
      <c r="J52" s="1393"/>
      <c r="K52" s="1393"/>
      <c r="L52" s="1394"/>
      <c r="P52" s="2111"/>
      <c r="Q52" s="1361"/>
      <c r="R52" s="352"/>
      <c r="S52" s="1308"/>
      <c r="T52" s="364" t="s">
        <v>459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245</v>
      </c>
      <c r="B53" s="1393" t="s">
        <v>246</v>
      </c>
      <c r="C53" s="1393" t="s">
        <v>247</v>
      </c>
      <c r="D53" s="1393" t="s">
        <v>248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2" customFormat="1" customHeight="1" ht="0">
      <c r="A54" s="1373" t="s">
        <v>245</v>
      </c>
      <c r="B54" s="1373" t="s">
        <v>246</v>
      </c>
      <c r="C54" s="1373" t="s">
        <v>247</v>
      </c>
      <c r="D54" s="1344"/>
      <c r="E54" s="2108"/>
      <c r="F54" s="2108"/>
      <c r="G54" s="2107"/>
      <c r="H54" s="1344"/>
      <c r="I54" s="1344"/>
      <c r="J54" s="1344"/>
      <c r="K54" s="1344"/>
      <c r="L54" s="1369"/>
      <c r="M54" s="1345"/>
      <c r="N54" s="1345"/>
      <c r="P54" s="1346"/>
      <c r="Q54" s="1347"/>
      <c r="R54" s="1346"/>
      <c r="S54" s="1352"/>
      <c r="T54" s="1355" t="s">
        <v>191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
      <c r="A55" s="1373" t="s">
        <v>245</v>
      </c>
      <c r="B55" s="1373" t="s">
        <v>246</v>
      </c>
      <c r="C55" s="1344"/>
      <c r="D55" s="1344"/>
      <c r="E55" s="2108"/>
      <c r="F55" s="2107"/>
      <c r="G55" s="1344"/>
      <c r="H55" s="1344"/>
      <c r="I55" s="1344"/>
      <c r="J55" s="1344"/>
      <c r="K55" s="1344"/>
      <c r="L55" s="1369"/>
      <c r="M55" s="1351"/>
      <c r="N55" s="1351"/>
      <c r="P55" s="1346"/>
      <c r="Q55" s="1347"/>
      <c r="R55" s="1346"/>
      <c r="S55" s="1352"/>
      <c r="T55" s="1355" t="s">
        <v>192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245</v>
      </c>
      <c r="B56" s="1373"/>
      <c r="C56" s="1373"/>
      <c r="D56" s="1373"/>
      <c r="E56" s="2107"/>
      <c r="F56" s="1373"/>
      <c r="G56" s="1373"/>
      <c r="H56" s="1373"/>
      <c r="I56" s="1373"/>
      <c r="J56" s="1373"/>
      <c r="K56" s="1373"/>
      <c r="L56" s="1376"/>
      <c r="M56" s="1351"/>
      <c r="N56" s="1351"/>
      <c r="O56" s="524"/>
      <c r="P56" s="385"/>
      <c r="Q56" s="1374"/>
      <c r="R56" s="385"/>
      <c r="S56" s="1352"/>
      <c r="T56" s="1355" t="s">
        <v>211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230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E06C1-F9E8-F993-EEDE-20306CACEC71}"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83" width="10.57421875" hidden="1"/>
    <col min="2" max="2" style="2983" width="11.00390625" hidden="1" customWidth="1"/>
    <col min="3" max="3" style="2983" width="10.57421875" hidden="1"/>
    <col min="4" max="4" style="2983" width="11.8515625" hidden="1" customWidth="1"/>
    <col min="5" max="5" style="2983" width="10.00390625" hidden="1" customWidth="1"/>
    <col min="6" max="6" style="2983" width="8.7109375" hidden="1" customWidth="1"/>
    <col min="7" max="7" style="2983" width="7.57421875" hidden="1" customWidth="1"/>
    <col min="8" max="8" style="2983" width="11.421875" hidden="1" customWidth="1"/>
    <col min="9" max="9" style="2983" width="12.00390625" hidden="1" customWidth="1"/>
    <col min="10" max="10" style="2983" width="9.8515625" hidden="1" customWidth="1"/>
    <col min="11" max="12" style="2983" width="11.421875" hidden="1" customWidth="1"/>
    <col min="13" max="13" style="6016" width="19.140625" hidden="1" customWidth="1"/>
    <col min="14" max="15" style="3353" width="12.28125" hidden="1" customWidth="1"/>
    <col min="16" max="16" style="3353" width="23.421875" hidden="1" customWidth="1"/>
    <col min="17" max="17" style="3353" width="3.7109375" hidden="1" customWidth="1"/>
    <col min="18" max="20" style="3409" width="3.7109375" customWidth="1"/>
    <col min="21" max="21" style="3410" width="12.7109375" customWidth="1"/>
    <col min="22" max="22" style="2983" width="32.00390625" customWidth="1"/>
    <col min="23" max="23" style="2983" width="0.140625" customWidth="1"/>
    <col min="24" max="28" style="2983" width="21.7109375" hidden="1" customWidth="1"/>
    <col min="29" max="29" style="2983" width="11.7109375" hidden="1" customWidth="1"/>
    <col min="30" max="30" style="2983" width="3.7109375" hidden="1" customWidth="1"/>
    <col min="31" max="31" style="2983" width="11.7109375" hidden="1" customWidth="1"/>
    <col min="32" max="32" style="2983" width="8.57421875" hidden="1" customWidth="1"/>
    <col min="33" max="37" style="2983" width="21.7109375" customWidth="1"/>
    <col min="38" max="38" style="2983" width="11.7109375" customWidth="1"/>
    <col min="39" max="39" style="2983" width="3.7109375" customWidth="1"/>
    <col min="40" max="40" style="2983" width="11.7109375" customWidth="1"/>
    <col min="41" max="41" style="2983" width="8.57421875" customWidth="1"/>
    <col min="42" max="42" style="2983" width="4.7109375" customWidth="1"/>
    <col min="43" max="43" style="2983"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140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443</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444</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445</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446</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447</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448</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449</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450</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453</v>
      </c>
      <c r="N7" s="515"/>
      <c r="O7" s="323"/>
      <c r="Q7" s="2111"/>
      <c r="R7" s="2111">
        <v>1</v>
      </c>
      <c r="S7" s="524"/>
      <c r="T7" s="353"/>
      <c r="U7" s="1366">
        <f>$J7</f>
      </c>
      <c r="V7" s="274" t="s">
        <v>454</v>
      </c>
      <c r="W7" s="288"/>
      <c r="X7" s="2095"/>
      <c r="Y7" s="2096"/>
      <c r="Z7" s="2096"/>
      <c r="AA7" s="2096"/>
      <c r="AB7" s="2096"/>
      <c r="AC7" s="2088"/>
      <c r="AD7" s="2088"/>
      <c r="AE7" s="2088"/>
      <c r="AF7" s="2171"/>
      <c r="AG7" s="2095"/>
      <c r="AH7" s="2096"/>
      <c r="AI7" s="2096"/>
      <c r="AJ7" s="2096"/>
      <c r="AK7" s="2096"/>
      <c r="AL7" s="2096"/>
      <c r="AM7" s="2096"/>
      <c r="AN7" s="2096"/>
      <c r="AO7" s="2096"/>
      <c r="AP7" s="2097"/>
      <c r="AQ7" s="1286" t="s">
        <v>455</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456</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498</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499</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500</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458</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459</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12"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191</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12"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192</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12"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211</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2683" customFormat="1" customHeight="1" ht="22.5" hidden="1">
      <c r="A24" s="1163"/>
      <c r="B24" s="1163"/>
      <c r="C24" s="1163"/>
      <c r="D24" s="1163"/>
      <c r="E24" s="1163"/>
      <c r="F24" s="1163"/>
      <c r="G24" s="1163"/>
      <c r="H24" s="1163"/>
      <c r="I24" s="1163"/>
      <c r="J24" s="1163"/>
      <c r="K24" s="1163"/>
      <c r="L24" s="1163"/>
      <c r="M24" s="1357"/>
      <c r="N24" s="1358"/>
      <c r="O24" s="1358"/>
      <c r="P24" s="1375" t="s">
        <v>461</v>
      </c>
      <c r="Q24" s="1392"/>
      <c r="R24" s="1401"/>
      <c r="S24" s="1401"/>
      <c r="T24" s="1401"/>
      <c r="U24" s="735"/>
      <c r="AC24" s="1397"/>
      <c r="AE24" s="1397"/>
      <c r="AF24" s="1396"/>
      <c r="AL24" s="1397"/>
      <c r="AN24" s="1397"/>
      <c r="AO24" s="1396"/>
      <c r="AR24" s="517"/>
      <c r="AS24" s="517"/>
      <c r="AT24" s="517"/>
      <c r="AU24" s="517"/>
      <c r="AV24" s="517"/>
    </row>
    <row s="268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2683" customFormat="1" customHeight="1" ht="14.25" hidden="1">
      <c r="A26" s="1163"/>
      <c r="B26" s="1163"/>
      <c r="C26" s="1163"/>
      <c r="D26" s="1163"/>
      <c r="E26" s="1163"/>
      <c r="F26" s="1163"/>
      <c r="G26" s="1163"/>
      <c r="H26" s="1163"/>
      <c r="I26" s="1163"/>
      <c r="J26" s="1163"/>
      <c r="K26" s="1163"/>
      <c r="L26" s="1163"/>
      <c r="M26" s="1357"/>
      <c r="N26" s="1358"/>
      <c r="O26" s="1358"/>
      <c r="P26" s="1340" t="s">
        <v>462</v>
      </c>
      <c r="Q26" s="1392"/>
      <c r="R26" s="1401"/>
      <c r="S26" s="1401"/>
      <c r="T26" s="1401"/>
      <c r="U26" s="735"/>
      <c r="V26" s="1168" t="s">
        <v>463</v>
      </c>
      <c r="AD26" s="172" t="s">
        <v>464</v>
      </c>
      <c r="AF26" s="172" t="s">
        <v>465</v>
      </c>
      <c r="AG26" s="1168" t="s">
        <v>463</v>
      </c>
      <c r="AM26" s="172" t="s">
        <v>466</v>
      </c>
      <c r="AO26" s="172" t="s">
        <v>465</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"Мурманэнергосбыт"</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43"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тарифному регулированию Мурманской области</v>
      </c>
      <c r="Y33" s="2100"/>
      <c r="Z33" s="2100"/>
      <c r="AA33" s="2100"/>
      <c r="AB33" s="2100"/>
      <c r="AC33" s="2100"/>
      <c r="AD33" s="2100"/>
      <c r="AE33" s="2100"/>
      <c r="AF33" s="322"/>
      <c r="AG33" s="2100" t="str">
        <f>IF(TITLE_NAME_OR_PR_CHANGE="",IF(TITLE_NAME_OR_PR="","",TITLE_NAME_OR_PR),TITLE_NAME_OR_PR_CHANGE)</f>
        <v>Комитет по тарифному регулированию Мурманской области</v>
      </c>
      <c r="AH33" s="2100"/>
      <c r="AI33" s="2100"/>
      <c r="AJ33" s="2100"/>
      <c r="AK33" s="2100"/>
      <c r="AL33" s="2100"/>
      <c r="AM33" s="2100"/>
      <c r="AN33" s="2100"/>
      <c r="AO33" s="322"/>
      <c r="AP33" s="322"/>
      <c r="AQ33" s="268"/>
      <c r="AR33" s="368"/>
      <c r="AS33" s="368"/>
      <c r="AT33" s="368"/>
      <c r="AU33" s="368"/>
      <c r="AV33" s="368"/>
    </row>
    <row s="3343" customFormat="1" customHeight="1" ht="18.75">
      <c r="A34" s="1267"/>
      <c r="B34" s="1267"/>
      <c r="C34" s="1267"/>
      <c r="D34" s="1267"/>
      <c r="E34" s="1267"/>
      <c r="F34" s="1267"/>
      <c r="G34" s="1267"/>
      <c r="H34" s="1267"/>
      <c r="I34" s="1267"/>
      <c r="J34" s="1267"/>
      <c r="K34" s="1267"/>
      <c r="L34" s="1267"/>
      <c r="M34" s="1410"/>
      <c r="N34" s="1267"/>
      <c r="O34" s="1267"/>
      <c r="P34" s="1267"/>
      <c r="U34" s="2098" t="s">
        <v>467</v>
      </c>
      <c r="V34" s="2098"/>
      <c r="W34" s="1402"/>
      <c r="X34" s="2099" t="str">
        <f>IF(TITLE_DATE_PR_CHANGE="",IF(TITLE_DATE_PR="","",TITLE_DATE_PR),TITLE_DATE_PR_CHANGE)</f>
        <v>45280</v>
      </c>
      <c r="Y34" s="2099"/>
      <c r="Z34" s="2099"/>
      <c r="AA34" s="2099"/>
      <c r="AB34" s="2099"/>
      <c r="AC34" s="2099"/>
      <c r="AD34" s="2099"/>
      <c r="AE34" s="2099"/>
      <c r="AF34" s="322"/>
      <c r="AG34" s="2099" t="str">
        <f>IF(TITLE_DATE_PR_CHANGE="",IF(TITLE_DATE_PR="","",TITLE_DATE_PR),TITLE_DATE_PR_CHANGE)</f>
        <v>45280</v>
      </c>
      <c r="AH34" s="2099"/>
      <c r="AI34" s="2099"/>
      <c r="AJ34" s="2099"/>
      <c r="AK34" s="2099"/>
      <c r="AL34" s="2099"/>
      <c r="AM34" s="2099"/>
      <c r="AN34" s="2099"/>
      <c r="AO34" s="322"/>
      <c r="AP34" s="322"/>
      <c r="AQ34" s="268"/>
      <c r="AR34" s="368"/>
      <c r="AS34" s="368"/>
      <c r="AT34" s="368"/>
      <c r="AU34" s="368"/>
      <c r="AV34" s="368"/>
    </row>
    <row s="3343" customFormat="1" customHeight="1" ht="18.75">
      <c r="A35" s="1267"/>
      <c r="B35" s="1267"/>
      <c r="C35" s="1267"/>
      <c r="D35" s="1267"/>
      <c r="E35" s="1267"/>
      <c r="F35" s="1267"/>
      <c r="G35" s="1267"/>
      <c r="H35" s="1267"/>
      <c r="I35" s="1267"/>
      <c r="J35" s="1267"/>
      <c r="K35" s="1267"/>
      <c r="L35" s="1267"/>
      <c r="M35" s="1410"/>
      <c r="N35" s="1267"/>
      <c r="O35" s="1267"/>
      <c r="P35" s="1267"/>
      <c r="U35" s="2098" t="s">
        <v>468</v>
      </c>
      <c r="V35" s="2098"/>
      <c r="W35" s="1402"/>
      <c r="X35" s="2100" t="str">
        <f>IF(TITLE_NUMBER_PR_CHANGE="",IF(TITLE_NUMBER_PR="","",TITLE_NUMBER_PR),TITLE_NUMBER_PR_CHANGE)</f>
        <v>51/11</v>
      </c>
      <c r="Y35" s="2100"/>
      <c r="Z35" s="2100"/>
      <c r="AA35" s="2100"/>
      <c r="AB35" s="2100"/>
      <c r="AC35" s="2100"/>
      <c r="AD35" s="2100"/>
      <c r="AE35" s="2100"/>
      <c r="AF35" s="322"/>
      <c r="AG35" s="2100" t="str">
        <f>IF(TITLE_NUMBER_PR_CHANGE="",IF(TITLE_NUMBER_PR="","",TITLE_NUMBER_PR),TITLE_NUMBER_PR_CHANGE)</f>
        <v>51/11</v>
      </c>
      <c r="AH35" s="2100"/>
      <c r="AI35" s="2100"/>
      <c r="AJ35" s="2100"/>
      <c r="AK35" s="2100"/>
      <c r="AL35" s="2100"/>
      <c r="AM35" s="2100"/>
      <c r="AN35" s="2100"/>
      <c r="AO35" s="322"/>
      <c r="AP35" s="322"/>
      <c r="AQ35" s="268"/>
      <c r="AR35" s="368"/>
      <c r="AS35" s="368"/>
      <c r="AT35" s="368"/>
      <c r="AU35" s="368"/>
      <c r="AV35" s="368"/>
    </row>
    <row s="3343"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https://npa.gov-murman.ru/bitrix/components/b1team/govmurman.element.file/download.php?ID=508451&amp;FID=750724</v>
      </c>
      <c r="Y36" s="2100"/>
      <c r="Z36" s="2100"/>
      <c r="AA36" s="2100"/>
      <c r="AB36" s="2100"/>
      <c r="AC36" s="2100"/>
      <c r="AD36" s="2100"/>
      <c r="AE36" s="2100"/>
      <c r="AF36" s="322"/>
      <c r="AG36" s="2100" t="str">
        <f>IF(TITLE_IST_PUB_CHANGE="",IF(TITLE_IST_PUB="","",TITLE_IST_PUB),TITLE_IST_PUB_CHANGE)</f>
        <v>https://npa.gov-murman.ru/bitrix/components/b1team/govmurman.element.file/download.php?ID=508451&amp;FID=750724</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43" customFormat="1" customHeight="1" ht="18.75" hidden="1">
      <c r="A38" s="1267"/>
      <c r="B38" s="1267"/>
      <c r="C38" s="1267"/>
      <c r="D38" s="1267"/>
      <c r="E38" s="1267"/>
      <c r="F38" s="1267"/>
      <c r="G38" s="1267"/>
      <c r="H38" s="1267"/>
      <c r="I38" s="1267"/>
      <c r="J38" s="1267"/>
      <c r="K38" s="1267"/>
      <c r="L38" s="1267"/>
      <c r="M38" s="1410"/>
      <c r="N38" s="1267"/>
      <c r="O38" s="1267"/>
      <c r="P38" s="1267"/>
      <c r="U38" s="2098" t="s">
        <v>469</v>
      </c>
      <c r="V38" s="2098"/>
      <c r="W38" s="1402"/>
      <c r="X38" s="2099" t="str">
        <f>IF(TITLE_DATE_PR_CHANGE="",IF(TITLE_DATE_PR="","",TITLE_DATE_PR),TITLE_DATE_PR_CHANGE)</f>
        <v>45280</v>
      </c>
      <c r="Y38" s="2099"/>
      <c r="Z38" s="2099"/>
      <c r="AA38" s="2099"/>
      <c r="AB38" s="2099"/>
      <c r="AC38" s="2099"/>
      <c r="AD38" s="2099"/>
      <c r="AE38" s="2099"/>
      <c r="AF38" s="322"/>
      <c r="AG38" s="2099" t="str">
        <f>IF(TITLE_DATE_PR_CHANGE="",IF(TITLE_DATE_PR="","",TITLE_DATE_PR),TITLE_DATE_PR_CHANGE)</f>
        <v>45280</v>
      </c>
      <c r="AH38" s="2099"/>
      <c r="AI38" s="2099"/>
      <c r="AJ38" s="2099"/>
      <c r="AK38" s="2099"/>
      <c r="AL38" s="2099"/>
      <c r="AM38" s="2099"/>
      <c r="AN38" s="2099"/>
      <c r="AO38" s="322"/>
      <c r="AP38" s="322"/>
      <c r="AQ38" s="268"/>
      <c r="AR38" s="368"/>
      <c r="AS38" s="368"/>
      <c r="AT38" s="368"/>
      <c r="AU38" s="368"/>
      <c r="AV38" s="368"/>
    </row>
    <row s="3343" customFormat="1" customHeight="1" ht="18.75" hidden="1">
      <c r="A39" s="1267"/>
      <c r="B39" s="1267"/>
      <c r="C39" s="1267"/>
      <c r="D39" s="1267"/>
      <c r="E39" s="1267"/>
      <c r="F39" s="1267"/>
      <c r="G39" s="1267"/>
      <c r="H39" s="1267"/>
      <c r="I39" s="1267"/>
      <c r="J39" s="1267"/>
      <c r="K39" s="1267"/>
      <c r="L39" s="1267"/>
      <c r="M39" s="1410"/>
      <c r="N39" s="1267"/>
      <c r="O39" s="1267"/>
      <c r="P39" s="1267"/>
      <c r="U39" s="2098" t="s">
        <v>470</v>
      </c>
      <c r="V39" s="2098"/>
      <c r="W39" s="1402"/>
      <c r="X39" s="2100" t="str">
        <f>IF(TITLE_NUMBER_PR_CHANGE="",IF(TITLE_NUMBER_PR="","",TITLE_NUMBER_PR),TITLE_NUMBER_PR_CHANGE)</f>
        <v>51/11</v>
      </c>
      <c r="Y39" s="2100"/>
      <c r="Z39" s="2100"/>
      <c r="AA39" s="2100"/>
      <c r="AB39" s="2100"/>
      <c r="AC39" s="2100"/>
      <c r="AD39" s="2100"/>
      <c r="AE39" s="2100"/>
      <c r="AF39" s="322"/>
      <c r="AG39" s="2100" t="str">
        <f>IF(TITLE_NUMBER_PR_CHANGE="",IF(TITLE_NUMBER_PR="","",TITLE_NUMBER_PR),TITLE_NUMBER_PR_CHANGE)</f>
        <v>51/11</v>
      </c>
      <c r="AH39" s="2100"/>
      <c r="AI39" s="2100"/>
      <c r="AJ39" s="2100"/>
      <c r="AK39" s="2100"/>
      <c r="AL39" s="2100"/>
      <c r="AM39" s="2100"/>
      <c r="AN39" s="2100"/>
      <c r="AO39" s="322"/>
      <c r="AP39" s="322"/>
      <c r="AQ39" s="268"/>
      <c r="AR39" s="368"/>
      <c r="AS39" s="368"/>
      <c r="AT39" s="368"/>
      <c r="AU39" s="368"/>
      <c r="AV39" s="368"/>
    </row>
    <row s="3343"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471</v>
      </c>
      <c r="AG40" s="322"/>
      <c r="AH40" s="322"/>
      <c r="AI40" s="322"/>
      <c r="AJ40" s="322"/>
      <c r="AK40" s="322"/>
      <c r="AL40" s="322"/>
      <c r="AM40" s="322"/>
      <c r="AN40" s="322"/>
      <c r="AO40" s="266" t="s">
        <v>471</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345</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346</v>
      </c>
    </row>
    <row customHeight="1" ht="14.25">
      <c r="R43" s="377"/>
      <c r="S43" s="377"/>
      <c r="T43" s="377"/>
      <c r="U43" s="2125" t="s">
        <v>87</v>
      </c>
      <c r="V43" s="2062" t="s">
        <v>472</v>
      </c>
      <c r="W43" s="289"/>
      <c r="X43" s="2126" t="s">
        <v>473</v>
      </c>
      <c r="Y43" s="2146"/>
      <c r="Z43" s="2146"/>
      <c r="AA43" s="2146"/>
      <c r="AB43" s="2146"/>
      <c r="AC43" s="2127"/>
      <c r="AD43" s="2127"/>
      <c r="AE43" s="2128"/>
      <c r="AF43" s="2129" t="s">
        <v>474</v>
      </c>
      <c r="AG43" s="2126" t="s">
        <v>473</v>
      </c>
      <c r="AH43" s="2146"/>
      <c r="AI43" s="2146"/>
      <c r="AJ43" s="2146"/>
      <c r="AK43" s="2146"/>
      <c r="AL43" s="2127"/>
      <c r="AM43" s="2127"/>
      <c r="AN43" s="2128"/>
      <c r="AO43" s="2129" t="s">
        <v>475</v>
      </c>
      <c r="AP43" s="2132" t="s">
        <v>476</v>
      </c>
      <c r="AQ43" s="1971"/>
    </row>
    <row customHeight="1" ht="33.75">
      <c r="R44" s="377"/>
      <c r="S44" s="377"/>
      <c r="T44" s="377"/>
      <c r="U44" s="2125"/>
      <c r="V44" s="2062"/>
      <c r="W44" s="1038"/>
      <c r="X44" s="2144" t="s">
        <v>501</v>
      </c>
      <c r="Y44" s="2153" t="s">
        <v>502</v>
      </c>
      <c r="Z44" s="2153"/>
      <c r="AA44" s="2153"/>
      <c r="AB44" s="2153"/>
      <c r="AC44" s="2144" t="s">
        <v>480</v>
      </c>
      <c r="AD44" s="2162"/>
      <c r="AE44" s="2163"/>
      <c r="AF44" s="2130"/>
      <c r="AG44" s="2144" t="s">
        <v>501</v>
      </c>
      <c r="AH44" s="2153" t="s">
        <v>502</v>
      </c>
      <c r="AI44" s="2153"/>
      <c r="AJ44" s="2153"/>
      <c r="AK44" s="2153"/>
      <c r="AL44" s="2144" t="s">
        <v>480</v>
      </c>
      <c r="AM44" s="2162"/>
      <c r="AN44" s="2163"/>
      <c r="AO44" s="2130"/>
      <c r="AP44" s="2133"/>
      <c r="AQ44" s="1971"/>
    </row>
    <row customHeight="1" ht="14.25">
      <c r="R45" s="377"/>
      <c r="S45" s="377"/>
      <c r="T45" s="377"/>
      <c r="U45" s="2125"/>
      <c r="V45" s="2062"/>
      <c r="W45" s="1038"/>
      <c r="X45" s="2166"/>
      <c r="Y45" s="2154" t="s">
        <v>503</v>
      </c>
      <c r="Z45" s="2121" t="s">
        <v>504</v>
      </c>
      <c r="AA45" s="2157"/>
      <c r="AB45" s="2122"/>
      <c r="AC45" s="2145"/>
      <c r="AD45" s="2164"/>
      <c r="AE45" s="2165"/>
      <c r="AF45" s="2130"/>
      <c r="AG45" s="2166"/>
      <c r="AH45" s="2154" t="s">
        <v>503</v>
      </c>
      <c r="AI45" s="2121" t="s">
        <v>504</v>
      </c>
      <c r="AJ45" s="2157"/>
      <c r="AK45" s="2122"/>
      <c r="AL45" s="2145"/>
      <c r="AM45" s="2164"/>
      <c r="AN45" s="2165"/>
      <c r="AO45" s="2130"/>
      <c r="AP45" s="2133"/>
      <c r="AQ45" s="1971"/>
    </row>
    <row customHeight="1" ht="25.5">
      <c r="R46" s="377"/>
      <c r="S46" s="377"/>
      <c r="T46" s="377"/>
      <c r="U46" s="2125"/>
      <c r="V46" s="2062"/>
      <c r="W46" s="1038"/>
      <c r="X46" s="2166"/>
      <c r="Y46" s="2155"/>
      <c r="Z46" s="2154" t="s">
        <v>505</v>
      </c>
      <c r="AA46" s="2121" t="s">
        <v>506</v>
      </c>
      <c r="AB46" s="2122"/>
      <c r="AC46" s="2154" t="s">
        <v>490</v>
      </c>
      <c r="AD46" s="2158" t="s">
        <v>491</v>
      </c>
      <c r="AE46" s="2159"/>
      <c r="AF46" s="2130"/>
      <c r="AG46" s="2166"/>
      <c r="AH46" s="2155"/>
      <c r="AI46" s="2154" t="s">
        <v>505</v>
      </c>
      <c r="AJ46" s="2121" t="s">
        <v>506</v>
      </c>
      <c r="AK46" s="2122"/>
      <c r="AL46" s="2154" t="s">
        <v>490</v>
      </c>
      <c r="AM46" s="2158" t="s">
        <v>491</v>
      </c>
      <c r="AN46" s="2159"/>
      <c r="AO46" s="2130"/>
      <c r="AP46" s="2133"/>
      <c r="AQ46" s="1971"/>
    </row>
    <row customHeight="1" ht="62.25">
      <c r="A47" s="1288"/>
      <c r="B47" s="1288" t="s">
        <v>152</v>
      </c>
      <c r="C47" s="1288" t="s">
        <v>153</v>
      </c>
      <c r="D47" s="1288" t="s">
        <v>154</v>
      </c>
      <c r="E47" s="1340" t="s">
        <v>481</v>
      </c>
      <c r="F47" s="1340" t="s">
        <v>482</v>
      </c>
      <c r="G47" s="1340" t="s">
        <v>483</v>
      </c>
      <c r="H47" s="1340" t="s">
        <v>484</v>
      </c>
      <c r="I47" s="1340" t="s">
        <v>485</v>
      </c>
      <c r="J47" s="1340" t="s">
        <v>486</v>
      </c>
      <c r="K47" s="1340" t="s">
        <v>487</v>
      </c>
      <c r="L47" s="1340" t="s">
        <v>507</v>
      </c>
      <c r="M47" s="1340" t="s">
        <v>462</v>
      </c>
      <c r="R47" s="377"/>
      <c r="S47" s="377"/>
      <c r="T47" s="377"/>
      <c r="U47" s="2125"/>
      <c r="V47" s="2062"/>
      <c r="W47" s="290"/>
      <c r="X47" s="2145"/>
      <c r="Y47" s="2156"/>
      <c r="Z47" s="2156"/>
      <c r="AA47" s="1237" t="s">
        <v>508</v>
      </c>
      <c r="AB47" s="1237" t="s">
        <v>509</v>
      </c>
      <c r="AC47" s="2156"/>
      <c r="AD47" s="2160"/>
      <c r="AE47" s="2161"/>
      <c r="AF47" s="2131"/>
      <c r="AG47" s="2145"/>
      <c r="AH47" s="2156"/>
      <c r="AI47" s="2156"/>
      <c r="AJ47" s="1237" t="s">
        <v>508</v>
      </c>
      <c r="AK47" s="1237" t="s">
        <v>509</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128</v>
      </c>
      <c r="V48" s="1281" t="s">
        <v>102</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233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140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233</v>
      </c>
      <c r="B50" s="1296" t="s">
        <v>234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444</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445</v>
      </c>
      <c r="AS50" s="506"/>
      <c r="AT50" s="506" t="str">
        <f>IF(V50="","",V50)</f>
        <v>Территория действия тарифа</v>
      </c>
      <c r="AU50" s="506"/>
      <c r="AV50" s="506"/>
    </row>
    <row customHeight="1" ht="22.5">
      <c r="A51" s="1296" t="s">
        <v>233</v>
      </c>
      <c r="B51" s="1296" t="s">
        <v>234</v>
      </c>
      <c r="C51" s="1296" t="s">
        <v>235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446</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447</v>
      </c>
      <c r="AS51" s="506"/>
      <c r="AT51" s="506" t="str">
        <f>IF(V51="","",V51)</f>
        <v>Наименование системы теплоснабжения </v>
      </c>
      <c r="AU51" s="506"/>
      <c r="AV51" s="506"/>
    </row>
    <row customHeight="1" ht="21">
      <c r="A52" s="1296" t="s">
        <v>233</v>
      </c>
      <c r="B52" s="1296" t="s">
        <v>234</v>
      </c>
      <c r="C52" s="1296" t="s">
        <v>235</v>
      </c>
      <c r="D52" s="1296" t="s">
        <v>236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448</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449</v>
      </c>
      <c r="AS52" s="506"/>
      <c r="AT52" s="506" t="str">
        <f>IF(V52="","",V52)</f>
        <v>Источник тепловой энергии  </v>
      </c>
      <c r="AU52" s="506"/>
      <c r="AV52" s="506"/>
    </row>
    <row s="2612" customFormat="1" customHeight="1" ht="0">
      <c r="A53" s="1405" t="s">
        <v>233</v>
      </c>
      <c r="B53" s="1405" t="s">
        <v>234</v>
      </c>
      <c r="C53" s="1405" t="s">
        <v>235</v>
      </c>
      <c r="D53" s="1405" t="s">
        <v>236</v>
      </c>
      <c r="E53" s="2168"/>
      <c r="F53" s="2168"/>
      <c r="G53" s="2168"/>
      <c r="H53" s="2170"/>
      <c r="I53" s="1971" t="str">
        <f>U52&amp;".1"</f>
        <v>....1</v>
      </c>
      <c r="J53" s="1405"/>
      <c r="K53" s="1405"/>
      <c r="L53" s="1405"/>
      <c r="M53" s="1411" t="s">
        <v>450</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233</v>
      </c>
      <c r="B54" s="1296" t="s">
        <v>234</v>
      </c>
      <c r="C54" s="1296" t="s">
        <v>235</v>
      </c>
      <c r="D54" s="1296" t="s">
        <v>236</v>
      </c>
      <c r="E54" s="2168"/>
      <c r="F54" s="2168"/>
      <c r="G54" s="2168"/>
      <c r="H54" s="2170"/>
      <c r="I54" s="1955"/>
      <c r="J54" s="1971" t="str">
        <f>I53&amp;".1"</f>
        <v>....1.1</v>
      </c>
      <c r="K54" s="1296"/>
      <c r="L54" s="1296"/>
      <c r="M54" s="1340" t="s">
        <v>453</v>
      </c>
      <c r="Q54" s="2111"/>
      <c r="R54" s="2111">
        <v>1</v>
      </c>
      <c r="S54" s="524"/>
      <c r="T54" s="353"/>
      <c r="U54" s="1366" t="str">
        <f>$J54</f>
        <v>....1.1</v>
      </c>
      <c r="V54" s="274" t="s">
        <v>454</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455</v>
      </c>
      <c r="AS54" s="506"/>
      <c r="AT54" s="506" t="str">
        <f>IF(V54="","",V54)</f>
        <v>Группа потребителей</v>
      </c>
      <c r="AU54" s="506"/>
      <c r="AV54" s="506"/>
    </row>
    <row customHeight="1" ht="21">
      <c r="A55" s="1296" t="s">
        <v>233</v>
      </c>
      <c r="B55" s="1296" t="s">
        <v>234</v>
      </c>
      <c r="C55" s="1296" t="s">
        <v>235</v>
      </c>
      <c r="D55" s="1296" t="s">
        <v>236</v>
      </c>
      <c r="E55" s="2168"/>
      <c r="F55" s="2168"/>
      <c r="G55" s="2168"/>
      <c r="H55" s="2170"/>
      <c r="I55" s="1955"/>
      <c r="J55" s="1955"/>
      <c r="K55" s="1971" t="str">
        <f>J54&amp;".1"</f>
        <v>....1.1.1</v>
      </c>
      <c r="L55" s="125"/>
      <c r="M55" s="1340" t="s">
        <v>456</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498</v>
      </c>
      <c r="AR55" s="517">
        <f>STRCHECKDATE(X57:AP57)</f>
      </c>
      <c r="AS55" s="506"/>
      <c r="AT55" s="506" t="str">
        <f>IF(V55="","",V55)</f>
        <v/>
      </c>
      <c r="AU55" s="506"/>
      <c r="AV55" s="506"/>
    </row>
    <row customHeight="1" ht="11.25">
      <c r="A56" s="1296" t="s">
        <v>233</v>
      </c>
      <c r="B56" s="1296" t="s">
        <v>234</v>
      </c>
      <c r="C56" s="1296" t="s">
        <v>235</v>
      </c>
      <c r="D56" s="1296" t="s">
        <v>236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499</v>
      </c>
      <c r="AR56" s="517">
        <f>STRCHECKDATE(X58:AP58)</f>
      </c>
      <c r="AS56" s="506"/>
      <c r="AT56" s="506" t="str">
        <f>IF(V56="","",V56)</f>
        <v/>
      </c>
      <c r="AU56" s="506"/>
      <c r="AV56" s="506"/>
    </row>
    <row customHeight="1" ht="0">
      <c r="A57" s="1296" t="s">
        <v>233</v>
      </c>
      <c r="B57" s="1296" t="s">
        <v>234</v>
      </c>
      <c r="C57" s="1296" t="s">
        <v>235</v>
      </c>
      <c r="D57" s="1296" t="s">
        <v>236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233</v>
      </c>
      <c r="B58" s="1296" t="s">
        <v>234</v>
      </c>
      <c r="C58" s="1296" t="s">
        <v>235</v>
      </c>
      <c r="D58" s="1296" t="s">
        <v>236</v>
      </c>
      <c r="E58" s="2168"/>
      <c r="F58" s="2168"/>
      <c r="G58" s="2168"/>
      <c r="H58" s="2170"/>
      <c r="I58" s="1955"/>
      <c r="J58" s="1955"/>
      <c r="K58" s="1971"/>
      <c r="L58" s="1296"/>
      <c r="M58" s="1340"/>
      <c r="Q58" s="2111"/>
      <c r="R58" s="2111"/>
      <c r="S58" s="1361"/>
      <c r="T58" s="352"/>
      <c r="U58" s="1308"/>
      <c r="V58" s="276" t="s">
        <v>500</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233</v>
      </c>
      <c r="B59" s="1296" t="s">
        <v>234</v>
      </c>
      <c r="C59" s="1296" t="s">
        <v>235</v>
      </c>
      <c r="D59" s="1296" t="s">
        <v>236</v>
      </c>
      <c r="E59" s="2168"/>
      <c r="F59" s="2168"/>
      <c r="G59" s="2168"/>
      <c r="H59" s="2170"/>
      <c r="I59" s="1955"/>
      <c r="J59" s="1971"/>
      <c r="K59" s="1296"/>
      <c r="L59" s="1296"/>
      <c r="M59" s="1340"/>
      <c r="Q59" s="2111"/>
      <c r="R59" s="2111"/>
      <c r="S59" s="1361"/>
      <c r="T59" s="352"/>
      <c r="U59" s="1308"/>
      <c r="V59" s="275" t="s">
        <v>458</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233</v>
      </c>
      <c r="B60" s="1296" t="s">
        <v>234</v>
      </c>
      <c r="C60" s="1296" t="s">
        <v>235</v>
      </c>
      <c r="D60" s="1296" t="s">
        <v>236</v>
      </c>
      <c r="E60" s="2168"/>
      <c r="F60" s="2168"/>
      <c r="G60" s="2168"/>
      <c r="H60" s="2170"/>
      <c r="I60" s="1971"/>
      <c r="J60" s="1296"/>
      <c r="K60" s="1296"/>
      <c r="L60" s="1296"/>
      <c r="M60" s="1340"/>
      <c r="Q60" s="2111"/>
      <c r="R60" s="1361"/>
      <c r="S60" s="1361"/>
      <c r="T60" s="352"/>
      <c r="U60" s="1308"/>
      <c r="V60" s="364" t="s">
        <v>459</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233</v>
      </c>
      <c r="B61" s="1296" t="s">
        <v>234</v>
      </c>
      <c r="C61" s="1296" t="s">
        <v>235</v>
      </c>
      <c r="D61" s="1296" t="s">
        <v>236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12" customFormat="1" customHeight="1" ht="0">
      <c r="A62" s="1405" t="s">
        <v>233</v>
      </c>
      <c r="B62" s="1405" t="s">
        <v>234</v>
      </c>
      <c r="C62" s="1405" t="s">
        <v>235</v>
      </c>
      <c r="D62" s="1404"/>
      <c r="E62" s="2168"/>
      <c r="F62" s="2168"/>
      <c r="G62" s="2167"/>
      <c r="H62" s="1404"/>
      <c r="I62" s="1404"/>
      <c r="J62" s="1404"/>
      <c r="K62" s="1404"/>
      <c r="L62" s="1404"/>
      <c r="M62" s="1407"/>
      <c r="N62" s="1408"/>
      <c r="O62" s="1408"/>
      <c r="P62" s="347"/>
      <c r="Q62" s="1346"/>
      <c r="R62" s="1347"/>
      <c r="S62" s="1346"/>
      <c r="T62" s="1346"/>
      <c r="U62" s="1352"/>
      <c r="V62" s="1355" t="s">
        <v>191</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12" customFormat="1" customHeight="1" ht="0">
      <c r="A63" s="1405" t="s">
        <v>233</v>
      </c>
      <c r="B63" s="1405" t="s">
        <v>234</v>
      </c>
      <c r="C63" s="1404"/>
      <c r="D63" s="1404"/>
      <c r="E63" s="2168"/>
      <c r="F63" s="2167"/>
      <c r="G63" s="1404"/>
      <c r="H63" s="1404"/>
      <c r="I63" s="1404"/>
      <c r="J63" s="1404"/>
      <c r="K63" s="1404"/>
      <c r="L63" s="1404"/>
      <c r="M63" s="1407"/>
      <c r="N63" s="1409"/>
      <c r="O63" s="1409"/>
      <c r="P63" s="347"/>
      <c r="Q63" s="1346"/>
      <c r="R63" s="1347"/>
      <c r="S63" s="1346"/>
      <c r="T63" s="1346"/>
      <c r="U63" s="1352"/>
      <c r="V63" s="1355" t="s">
        <v>192</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233</v>
      </c>
      <c r="B64" s="1405"/>
      <c r="C64" s="1405"/>
      <c r="D64" s="1405"/>
      <c r="E64" s="2167"/>
      <c r="F64" s="1405"/>
      <c r="G64" s="1405"/>
      <c r="H64" s="1405"/>
      <c r="I64" s="1405"/>
      <c r="J64" s="1405"/>
      <c r="K64" s="1405"/>
      <c r="L64" s="1405"/>
      <c r="M64" s="1411"/>
      <c r="N64" s="1409"/>
      <c r="O64" s="1409"/>
      <c r="P64" s="347"/>
      <c r="Q64" s="385"/>
      <c r="R64" s="1374"/>
      <c r="S64" s="385"/>
      <c r="T64" s="385"/>
      <c r="U64" s="1352"/>
      <c r="V64" s="1355" t="s">
        <v>211</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12"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230</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A4BD3-1701-2E6E-EAAF-0DEE4D4AA7A2}"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1" width="19.140625" hidden="1" customWidth="1"/>
    <col min="13" max="14" style="3332" width="12.28125" hidden="1" customWidth="1"/>
    <col min="15" max="15" style="3332" width="23.421875" hidden="1" customWidth="1"/>
    <col min="16" max="16" style="3332" width="3.7109375" hidden="1" customWidth="1"/>
    <col min="17" max="17" style="3334" width="3.7109375" hidden="1" customWidth="1"/>
    <col min="18" max="18" style="3409" width="3.7109375" customWidth="1"/>
    <col min="19" max="19" style="3410" width="12.7109375" customWidth="1"/>
    <col min="20" max="20" style="2983" width="32.00390625" customWidth="1"/>
    <col min="21" max="21" style="2983" width="0.140625" customWidth="1"/>
    <col min="22" max="23" style="2983" width="21.7109375" hidden="1" customWidth="1"/>
    <col min="24" max="24" style="2983" width="11.7109375" hidden="1" customWidth="1"/>
    <col min="25" max="25" style="2983" width="3.7109375" hidden="1" customWidth="1"/>
    <col min="26" max="26" style="2983" width="11.7109375" hidden="1" customWidth="1"/>
    <col min="27" max="27" style="2983" width="8.57421875" hidden="1" customWidth="1"/>
    <col min="28" max="28" style="2983" width="5.421875" customWidth="1"/>
    <col min="29" max="30" style="2983" width="3.7109375" customWidth="1"/>
    <col min="31" max="31" style="2983" width="24.7109375" customWidth="1"/>
    <col min="32" max="34" style="2983" width="3.7109375" customWidth="1"/>
    <col min="35" max="35" style="2983" width="24.7109375" customWidth="1"/>
    <col min="36" max="38" style="2983" width="3.7109375" customWidth="1"/>
    <col min="39" max="39" style="2983" width="18.8515625" customWidth="1"/>
    <col min="40" max="41" style="2983" width="21.7109375" customWidth="1"/>
    <col min="42" max="42" style="2983" width="11.7109375" customWidth="1"/>
    <col min="43" max="43" style="2983" width="3.7109375" customWidth="1"/>
    <col min="44" max="44" style="2983" width="11.7109375" customWidth="1"/>
    <col min="45" max="45" style="2983" width="8.57421875" customWidth="1"/>
    <col min="46" max="46" style="2983" width="4.7109375" customWidth="1"/>
    <col min="47" max="47" style="2983"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140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443</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444</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445</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446</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447</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448</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449</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450</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510</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511</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512</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513</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514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12"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191</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12"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192</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211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461</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6075" customFormat="1" customHeight="1" ht="14.25" hidden="1">
      <c r="M23" s="1538"/>
      <c r="N23" s="1538"/>
      <c r="O23" s="1539" t="s">
        <v>462</v>
      </c>
      <c r="P23" s="1538"/>
      <c r="Q23" s="1540"/>
      <c r="R23" s="1540"/>
      <c r="Y23" s="1537" t="s">
        <v>464</v>
      </c>
      <c r="AA23" s="1537" t="s">
        <v>465</v>
      </c>
      <c r="AB23" s="1537" t="s">
        <v>515</v>
      </c>
      <c r="AE23" s="1537" t="s">
        <v>516</v>
      </c>
      <c r="AF23" s="1537" t="s">
        <v>515</v>
      </c>
      <c r="AI23" s="1537" t="s">
        <v>517</v>
      </c>
      <c r="AJ23" s="1537" t="s">
        <v>515</v>
      </c>
      <c r="AM23" s="1537" t="s">
        <v>518</v>
      </c>
      <c r="AQ23" s="1537" t="s">
        <v>464</v>
      </c>
      <c r="AS23" s="1537" t="s">
        <v>465</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"Мурманэнергосбыт"</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43"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тарифному регулированию Мурманской области</v>
      </c>
      <c r="W30" s="2100"/>
      <c r="X30" s="2100"/>
      <c r="Y30" s="2100"/>
      <c r="Z30" s="2100"/>
      <c r="AA30" s="322"/>
      <c r="AB30" s="2100" t="str">
        <f>IF(TITLE_NAME_OR_PR_CHANGE="",IF(TITLE_NAME_OR_PR="","",TITLE_NAME_OR_PR),TITLE_NAME_OR_PR_CHANGE)</f>
        <v>Комитет по тарифному регулированию Мурманской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43" customFormat="1" customHeight="1" ht="18.75">
      <c r="A31" s="1398"/>
      <c r="B31" s="1398"/>
      <c r="C31" s="1398"/>
      <c r="D31" s="1398"/>
      <c r="E31" s="1398"/>
      <c r="F31" s="1398"/>
      <c r="G31" s="1398"/>
      <c r="H31" s="1398"/>
      <c r="I31" s="1398"/>
      <c r="J31" s="1398"/>
      <c r="K31" s="1398"/>
      <c r="L31" s="1399"/>
      <c r="M31" s="1398"/>
      <c r="N31" s="1398"/>
      <c r="O31" s="1398"/>
      <c r="P31" s="1398"/>
      <c r="Q31" s="1398"/>
      <c r="S31" s="2098" t="s">
        <v>467</v>
      </c>
      <c r="T31" s="2098"/>
      <c r="U31" s="1402"/>
      <c r="V31" s="2099" t="str">
        <f>IF(TITLE_DATE_PR_CHANGE="",IF(TITLE_DATE_PR="","",TITLE_DATE_PR),TITLE_DATE_PR_CHANGE)</f>
        <v>45280</v>
      </c>
      <c r="W31" s="2099"/>
      <c r="X31" s="2099"/>
      <c r="Y31" s="2099"/>
      <c r="Z31" s="2099"/>
      <c r="AA31" s="322"/>
      <c r="AB31" s="2099" t="str">
        <f>IF(TITLE_DATE_PR_CHANGE="",IF(TITLE_DATE_PR="","",TITLE_DATE_PR),TITLE_DATE_PR_CHANGE)</f>
        <v>45280</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43" customFormat="1" customHeight="1" ht="18.75">
      <c r="A32" s="1398"/>
      <c r="B32" s="1398"/>
      <c r="C32" s="1398"/>
      <c r="D32" s="1398"/>
      <c r="E32" s="1398"/>
      <c r="F32" s="1398"/>
      <c r="G32" s="1398"/>
      <c r="H32" s="1398"/>
      <c r="I32" s="1398"/>
      <c r="J32" s="1398"/>
      <c r="K32" s="1398"/>
      <c r="L32" s="1399"/>
      <c r="M32" s="1398"/>
      <c r="N32" s="1398"/>
      <c r="O32" s="1398"/>
      <c r="P32" s="1398"/>
      <c r="Q32" s="1398"/>
      <c r="S32" s="2098" t="s">
        <v>468</v>
      </c>
      <c r="T32" s="2098"/>
      <c r="U32" s="1402"/>
      <c r="V32" s="2100" t="str">
        <f>IF(TITLE_NUMBER_PR_CHANGE="",IF(TITLE_NUMBER_PR="","",TITLE_NUMBER_PR),TITLE_NUMBER_PR_CHANGE)</f>
        <v>51/11</v>
      </c>
      <c r="W32" s="2100"/>
      <c r="X32" s="2100"/>
      <c r="Y32" s="2100"/>
      <c r="Z32" s="2100"/>
      <c r="AA32" s="322"/>
      <c r="AB32" s="2100" t="str">
        <f>IF(TITLE_NUMBER_PR_CHANGE="",IF(TITLE_NUMBER_PR="","",TITLE_NUMBER_PR),TITLE_NUMBER_PR_CHANGE)</f>
        <v>51/11</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43"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https://npa.gov-murman.ru/bitrix/components/b1team/govmurman.element.file/download.php?ID=508451&amp;FID=750724</v>
      </c>
      <c r="W33" s="2100"/>
      <c r="X33" s="2100"/>
      <c r="Y33" s="2100"/>
      <c r="Z33" s="2100"/>
      <c r="AA33" s="322"/>
      <c r="AB33" s="2100" t="str">
        <f>IF(TITLE_IST_PUB_CHANGE="",IF(TITLE_IST_PUB="","",TITLE_IST_PUB),TITLE_IST_PUB_CHANGE)</f>
        <v>https://npa.gov-murman.ru/bitrix/components/b1team/govmurman.element.file/download.php?ID=508451&amp;FID=750724</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43"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467</v>
      </c>
      <c r="T35" s="2098"/>
      <c r="U35" s="1402"/>
      <c r="V35" s="2099" t="str">
        <f>IF(TITLE_DATE_PR_CHANGE="",IF(TITLE_DATE_PR="","",TITLE_DATE_PR),TITLE_DATE_PR_CHANGE)</f>
        <v>45280</v>
      </c>
      <c r="W35" s="2099"/>
      <c r="X35" s="2099"/>
      <c r="Y35" s="2099"/>
      <c r="Z35" s="2099"/>
      <c r="AA35" s="322"/>
      <c r="AB35" s="2099" t="str">
        <f>IF(TITLE_DATE_PR_CHANGE="",IF(TITLE_DATE_PR="","",TITLE_DATE_PR),TITLE_DATE_PR_CHANGE)</f>
        <v>45280</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43"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468</v>
      </c>
      <c r="T36" s="2098"/>
      <c r="U36" s="1402"/>
      <c r="V36" s="2100" t="str">
        <f>IF(TITLE_NUMBER_PR_CHANGE="",IF(TITLE_NUMBER_PR="","",TITLE_NUMBER_PR),TITLE_NUMBER_PR_CHANGE)</f>
        <v>51/11</v>
      </c>
      <c r="W36" s="2100"/>
      <c r="X36" s="2100"/>
      <c r="Y36" s="2100"/>
      <c r="Z36" s="2100"/>
      <c r="AA36" s="322"/>
      <c r="AB36" s="2100" t="str">
        <f>IF(TITLE_NUMBER_PR_CHANGE="",IF(TITLE_NUMBER_PR="","",TITLE_NUMBER_PR),TITLE_NUMBER_PR_CHANGE)</f>
        <v>51/11</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43"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471</v>
      </c>
      <c r="AB37" s="322"/>
      <c r="AC37" s="322"/>
      <c r="AD37" s="322"/>
      <c r="AE37" s="322"/>
      <c r="AF37" s="322"/>
      <c r="AG37" s="322"/>
      <c r="AH37" s="322"/>
      <c r="AI37" s="322"/>
      <c r="AJ37" s="322"/>
      <c r="AK37" s="322"/>
      <c r="AL37" s="322"/>
      <c r="AM37" s="322"/>
      <c r="AN37" s="322"/>
      <c r="AO37" s="322"/>
      <c r="AP37" s="322"/>
      <c r="AQ37" s="322"/>
      <c r="AR37" s="322"/>
      <c r="AS37" s="266" t="s">
        <v>471</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345</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346</v>
      </c>
    </row>
    <row customHeight="1" ht="14.25">
      <c r="Q40" s="279"/>
      <c r="R40" s="377"/>
      <c r="S40" s="2125" t="s">
        <v>87</v>
      </c>
      <c r="T40" s="2062" t="s">
        <v>519</v>
      </c>
      <c r="U40" s="289"/>
      <c r="V40" s="2127"/>
      <c r="W40" s="2127"/>
      <c r="X40" s="2127"/>
      <c r="Y40" s="2127"/>
      <c r="Z40" s="2128"/>
      <c r="AA40" s="2189" t="s">
        <v>474</v>
      </c>
      <c r="AB40" s="2173" t="s">
        <v>520</v>
      </c>
      <c r="AC40" s="2146"/>
      <c r="AD40" s="2146"/>
      <c r="AE40" s="2174"/>
      <c r="AF40" s="2146" t="s">
        <v>521</v>
      </c>
      <c r="AG40" s="2146"/>
      <c r="AH40" s="2146"/>
      <c r="AI40" s="2174"/>
      <c r="AJ40" s="2173" t="s">
        <v>522</v>
      </c>
      <c r="AK40" s="2146"/>
      <c r="AL40" s="2146"/>
      <c r="AM40" s="2174"/>
      <c r="AN40" s="2173" t="s">
        <v>473</v>
      </c>
      <c r="AO40" s="2146"/>
      <c r="AP40" s="2127"/>
      <c r="AQ40" s="2127"/>
      <c r="AR40" s="2128"/>
      <c r="AS40" s="2129" t="s">
        <v>474</v>
      </c>
      <c r="AT40" s="2132" t="s">
        <v>476</v>
      </c>
      <c r="AU40" s="1971"/>
    </row>
    <row customHeight="1" ht="33.75">
      <c r="Q41" s="279"/>
      <c r="R41" s="377"/>
      <c r="S41" s="2125"/>
      <c r="T41" s="2062"/>
      <c r="U41" s="1038"/>
      <c r="V41" s="2029" t="s">
        <v>523</v>
      </c>
      <c r="W41" s="2030"/>
      <c r="X41" s="2144" t="s">
        <v>480</v>
      </c>
      <c r="Y41" s="2162"/>
      <c r="Z41" s="2163"/>
      <c r="AA41" s="2190"/>
      <c r="AB41" s="2175"/>
      <c r="AC41" s="2176"/>
      <c r="AD41" s="2176"/>
      <c r="AE41" s="2188"/>
      <c r="AF41" s="2176"/>
      <c r="AG41" s="2176"/>
      <c r="AH41" s="2176"/>
      <c r="AI41" s="2188"/>
      <c r="AJ41" s="2175"/>
      <c r="AK41" s="2176"/>
      <c r="AL41" s="2176"/>
      <c r="AM41" s="2176"/>
      <c r="AN41" s="1971" t="s">
        <v>524</v>
      </c>
      <c r="AO41" s="1971"/>
      <c r="AP41" s="2162" t="s">
        <v>480</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152</v>
      </c>
      <c r="C43" s="1400" t="s">
        <v>153</v>
      </c>
      <c r="D43" s="1400" t="s">
        <v>154</v>
      </c>
      <c r="E43" s="1394" t="s">
        <v>481</v>
      </c>
      <c r="F43" s="1394" t="s">
        <v>482</v>
      </c>
      <c r="G43" s="1394" t="s">
        <v>483</v>
      </c>
      <c r="H43" s="1394" t="s">
        <v>484</v>
      </c>
      <c r="I43" s="1394" t="s">
        <v>485</v>
      </c>
      <c r="J43" s="1394" t="s">
        <v>486</v>
      </c>
      <c r="K43" s="1394" t="s">
        <v>487</v>
      </c>
      <c r="L43" s="1394" t="s">
        <v>462</v>
      </c>
      <c r="Q43" s="279"/>
      <c r="R43" s="377"/>
      <c r="S43" s="2125"/>
      <c r="T43" s="2062"/>
      <c r="U43" s="290"/>
      <c r="V43" s="1360" t="s">
        <v>525</v>
      </c>
      <c r="W43" s="1360" t="s">
        <v>526</v>
      </c>
      <c r="X43" s="1368" t="s">
        <v>490</v>
      </c>
      <c r="Y43" s="2121" t="s">
        <v>491</v>
      </c>
      <c r="Z43" s="2122"/>
      <c r="AA43" s="2191"/>
      <c r="AB43" s="2177"/>
      <c r="AC43" s="2178"/>
      <c r="AD43" s="2178"/>
      <c r="AE43" s="2179"/>
      <c r="AF43" s="2178"/>
      <c r="AG43" s="2178"/>
      <c r="AH43" s="2178"/>
      <c r="AI43" s="2179"/>
      <c r="AJ43" s="2177"/>
      <c r="AK43" s="2178"/>
      <c r="AL43" s="2178"/>
      <c r="AM43" s="2179"/>
      <c r="AN43" s="1903" t="s">
        <v>525</v>
      </c>
      <c r="AO43" s="1903" t="s">
        <v>526</v>
      </c>
      <c r="AP43" s="1368" t="s">
        <v>490</v>
      </c>
      <c r="AQ43" s="2121" t="s">
        <v>491</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128</v>
      </c>
      <c r="T44" s="1281" t="s">
        <v>102</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257</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140</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257</v>
      </c>
      <c r="B46" s="1393" t="s">
        <v>258</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444</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445</v>
      </c>
      <c r="AW46" s="506"/>
      <c r="AX46" s="506" t="str">
        <f>IF(T46="","",T46)</f>
        <v>Территория действия тарифа</v>
      </c>
      <c r="AY46" s="506"/>
      <c r="AZ46" s="506"/>
    </row>
    <row customHeight="1" ht="23.25">
      <c r="A47" s="1393" t="s">
        <v>257</v>
      </c>
      <c r="B47" s="1393" t="s">
        <v>258</v>
      </c>
      <c r="C47" s="1393" t="s">
        <v>259</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446</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447</v>
      </c>
      <c r="AW47" s="506"/>
      <c r="AX47" s="506" t="str">
        <f>IF(T47="","",T47)</f>
        <v>Наименование системы теплоснабжения </v>
      </c>
      <c r="AY47" s="506"/>
      <c r="AZ47" s="506"/>
    </row>
    <row customHeight="1" ht="21">
      <c r="A48" s="1393" t="s">
        <v>257</v>
      </c>
      <c r="B48" s="1393" t="s">
        <v>258</v>
      </c>
      <c r="C48" s="1393" t="s">
        <v>259</v>
      </c>
      <c r="D48" s="1393" t="s">
        <v>260</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448</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449</v>
      </c>
      <c r="AW48" s="506"/>
      <c r="AX48" s="506" t="str">
        <f>IF(T48="","",T48)</f>
        <v>Источник тепловой энергии  </v>
      </c>
      <c r="AY48" s="506"/>
      <c r="AZ48" s="506"/>
    </row>
    <row s="2612" customFormat="1" customHeight="1" ht="0">
      <c r="A49" s="1373" t="s">
        <v>257</v>
      </c>
      <c r="B49" s="1373" t="s">
        <v>258</v>
      </c>
      <c r="C49" s="1373" t="s">
        <v>259</v>
      </c>
      <c r="D49" s="1373" t="s">
        <v>260</v>
      </c>
      <c r="E49" s="2108"/>
      <c r="F49" s="2108"/>
      <c r="G49" s="2108"/>
      <c r="H49" s="2108"/>
      <c r="I49" s="2109" t="str">
        <f>S48&amp;".1"</f>
        <v>....1</v>
      </c>
      <c r="J49" s="1373"/>
      <c r="K49" s="1373"/>
      <c r="L49" s="1376" t="s">
        <v>450</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257</v>
      </c>
      <c r="B50" s="1373" t="s">
        <v>258</v>
      </c>
      <c r="C50" s="1373" t="s">
        <v>259</v>
      </c>
      <c r="D50" s="1373" t="s">
        <v>260</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257</v>
      </c>
      <c r="B51" s="1393" t="s">
        <v>258</v>
      </c>
      <c r="C51" s="1393" t="s">
        <v>259</v>
      </c>
      <c r="D51" s="1393" t="s">
        <v>260</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61</v>
      </c>
      <c r="AR51" s="1774"/>
      <c r="AS51" s="1489" t="s">
        <v>61</v>
      </c>
      <c r="AT51" s="1378"/>
      <c r="AU51" s="2137" t="s">
        <v>527</v>
      </c>
      <c r="AV51" s="517">
        <f>STRCHECKDATE(V54:AT54)</f>
      </c>
      <c r="AW51" s="506"/>
      <c r="AX51" s="506" t="str">
        <f>IF(T51="","",T51)</f>
        <v/>
      </c>
      <c r="AY51" s="506"/>
      <c r="AZ51" s="506"/>
    </row>
    <row customHeight="1" ht="11.25">
      <c r="A52" s="1393" t="s">
        <v>257</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511</v>
      </c>
      <c r="AN52" s="1423"/>
      <c r="AO52" s="1526"/>
      <c r="AP52" s="1423"/>
      <c r="AQ52" s="1423"/>
      <c r="AR52" s="1423"/>
      <c r="AS52" s="1423"/>
      <c r="AT52" s="1420"/>
      <c r="AU52" s="2138"/>
      <c r="AW52" s="506"/>
      <c r="AX52" s="506"/>
      <c r="AY52" s="506"/>
      <c r="AZ52" s="506"/>
    </row>
    <row customHeight="1" ht="11.25">
      <c r="A53" s="1393" t="s">
        <v>257</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512</v>
      </c>
      <c r="AJ53" s="1423"/>
      <c r="AK53" s="1423"/>
      <c r="AL53" s="1423"/>
      <c r="AM53" s="1423"/>
      <c r="AN53" s="1423"/>
      <c r="AO53" s="1526"/>
      <c r="AP53" s="1423"/>
      <c r="AQ53" s="1423"/>
      <c r="AR53" s="1423"/>
      <c r="AS53" s="1423"/>
      <c r="AT53" s="1420"/>
      <c r="AU53" s="2138"/>
      <c r="AW53" s="506"/>
      <c r="AX53" s="506"/>
      <c r="AY53" s="506"/>
      <c r="AZ53" s="506"/>
    </row>
    <row customHeight="1" ht="11.25">
      <c r="A54" s="1393" t="s">
        <v>257</v>
      </c>
      <c r="B54" s="1393" t="s">
        <v>258</v>
      </c>
      <c r="C54" s="1393" t="s">
        <v>259</v>
      </c>
      <c r="D54" s="1393" t="s">
        <v>260</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513</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257</v>
      </c>
      <c r="B55" s="1393" t="s">
        <v>258</v>
      </c>
      <c r="C55" s="1393" t="s">
        <v>259</v>
      </c>
      <c r="D55" s="1393" t="s">
        <v>260</v>
      </c>
      <c r="E55" s="2108"/>
      <c r="F55" s="2108"/>
      <c r="G55" s="2108"/>
      <c r="H55" s="2108"/>
      <c r="I55" s="2110"/>
      <c r="J55" s="2109"/>
      <c r="K55" s="1393"/>
      <c r="L55" s="1394"/>
      <c r="P55" s="2111"/>
      <c r="Q55" s="2111"/>
      <c r="R55" s="352"/>
      <c r="S55" s="1308"/>
      <c r="T55" s="275" t="s">
        <v>514</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257</v>
      </c>
      <c r="B56" s="1373" t="s">
        <v>258</v>
      </c>
      <c r="C56" s="1373" t="s">
        <v>259</v>
      </c>
      <c r="D56" s="1373" t="s">
        <v>260</v>
      </c>
      <c r="E56" s="2108"/>
      <c r="F56" s="2108"/>
      <c r="G56" s="2108"/>
      <c r="H56" s="2108"/>
      <c r="I56" s="2109"/>
      <c r="J56" s="1373"/>
      <c r="K56" s="1373"/>
      <c r="L56" s="1376"/>
      <c r="M56" s="516"/>
      <c r="N56" s="516"/>
      <c r="O56" s="516"/>
      <c r="P56" s="2111"/>
      <c r="Q56" s="1361"/>
      <c r="R56" s="352"/>
      <c r="S56" s="1416"/>
      <c r="T56" s="1417" t="s">
        <v>459</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257</v>
      </c>
      <c r="B57" s="1373" t="s">
        <v>258</v>
      </c>
      <c r="C57" s="1373" t="s">
        <v>259</v>
      </c>
      <c r="D57" s="1373" t="s">
        <v>260</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12" customFormat="1" customHeight="1" ht="0">
      <c r="A58" s="1373" t="s">
        <v>257</v>
      </c>
      <c r="B58" s="1373" t="s">
        <v>258</v>
      </c>
      <c r="C58" s="1373" t="s">
        <v>259</v>
      </c>
      <c r="D58" s="1344"/>
      <c r="E58" s="2108"/>
      <c r="F58" s="2108"/>
      <c r="G58" s="2107"/>
      <c r="H58" s="1344"/>
      <c r="I58" s="1344"/>
      <c r="J58" s="1344"/>
      <c r="K58" s="1344"/>
      <c r="L58" s="1369"/>
      <c r="M58" s="1345"/>
      <c r="N58" s="1345"/>
      <c r="P58" s="1346"/>
      <c r="Q58" s="1347"/>
      <c r="R58" s="1346"/>
      <c r="S58" s="1352"/>
      <c r="T58" s="1355" t="s">
        <v>191</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12" customFormat="1" customHeight="1" ht="0">
      <c r="A59" s="1373" t="s">
        <v>257</v>
      </c>
      <c r="B59" s="1373" t="s">
        <v>258</v>
      </c>
      <c r="C59" s="1344"/>
      <c r="D59" s="1344"/>
      <c r="E59" s="2108"/>
      <c r="F59" s="2107"/>
      <c r="G59" s="1344"/>
      <c r="H59" s="1344"/>
      <c r="I59" s="1344"/>
      <c r="J59" s="1344"/>
      <c r="K59" s="1344"/>
      <c r="L59" s="1369"/>
      <c r="M59" s="1351"/>
      <c r="N59" s="1351"/>
      <c r="P59" s="1346"/>
      <c r="Q59" s="1347"/>
      <c r="R59" s="1346"/>
      <c r="S59" s="1352"/>
      <c r="T59" s="1355" t="s">
        <v>192</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257</v>
      </c>
      <c r="B60" s="1373"/>
      <c r="C60" s="1373"/>
      <c r="D60" s="1373"/>
      <c r="E60" s="2108"/>
      <c r="F60" s="1373"/>
      <c r="G60" s="1373"/>
      <c r="H60" s="1373"/>
      <c r="I60" s="1373"/>
      <c r="J60" s="1373"/>
      <c r="K60" s="1373"/>
      <c r="L60" s="1376"/>
      <c r="M60" s="1351"/>
      <c r="N60" s="1351"/>
      <c r="O60" s="524"/>
      <c r="P60" s="385"/>
      <c r="Q60" s="1374"/>
      <c r="R60" s="385"/>
      <c r="S60" s="1352"/>
      <c r="T60" s="1355" t="s">
        <v>211</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257</v>
      </c>
      <c r="B61" s="1373"/>
      <c r="C61" s="1373"/>
      <c r="D61" s="1373"/>
      <c r="E61" s="2107"/>
      <c r="F61" s="1373"/>
      <c r="G61" s="1373"/>
      <c r="H61" s="1373"/>
      <c r="I61" s="1373"/>
      <c r="J61" s="1373"/>
      <c r="K61" s="1373"/>
      <c r="L61" s="1376"/>
      <c r="M61" s="1351"/>
      <c r="N61" s="1351"/>
      <c r="O61" s="524"/>
      <c r="P61" s="385"/>
      <c r="Q61" s="1374"/>
      <c r="R61" s="385"/>
      <c r="S61" s="1352"/>
      <c r="T61" s="1355" t="s">
        <v>211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12"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230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DA525-FC59-AF1A-1BCE-96F2142D4C5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6117" width="19.140625" hidden="1" customWidth="1"/>
    <col min="13" max="14" style="3332" width="12.28125" hidden="1" customWidth="1"/>
    <col min="15" max="15" style="3332" width="23.421875" hidden="1" customWidth="1"/>
    <col min="16" max="16" style="6127" width="3.7109375" customWidth="1"/>
    <col min="17" max="18" style="3409" width="3.7109375" customWidth="1"/>
    <col min="19" max="19" style="3410" width="12.7109375" customWidth="1"/>
    <col min="20" max="20" style="2983" width="35.7109375" customWidth="1"/>
    <col min="21" max="21" style="2983" width="0.140625" customWidth="1"/>
    <col min="22" max="24" style="2983" width="24.7109375" hidden="1" customWidth="1"/>
    <col min="25" max="25" style="2983" width="11.7109375" hidden="1" customWidth="1"/>
    <col min="26" max="26" style="2983" width="3.7109375" hidden="1" customWidth="1"/>
    <col min="27" max="27" style="2983" width="11.7109375" hidden="1" customWidth="1"/>
    <col min="28" max="28" style="2983" width="8.57421875" hidden="1" customWidth="1"/>
    <col min="29" max="31" style="2983" width="24.7109375" customWidth="1"/>
    <col min="32" max="32" style="2983" width="11.7109375" customWidth="1"/>
    <col min="33" max="33" style="2983" width="3.7109375" customWidth="1"/>
    <col min="34" max="34" style="2983" width="11.7109375" customWidth="1"/>
    <col min="35" max="35" style="2983" width="8.57421875" hidden="1" customWidth="1"/>
    <col min="36" max="36" style="2983" width="4.7109375" customWidth="1"/>
    <col min="37" max="37" style="298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140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444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528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530</v>
      </c>
      <c r="U5" s="288"/>
      <c r="V5" s="2194"/>
      <c r="W5" s="2195"/>
      <c r="X5" s="2195"/>
      <c r="Y5" s="2195"/>
      <c r="Z5" s="2195"/>
      <c r="AA5" s="2195"/>
      <c r="AB5" s="2196"/>
      <c r="AC5" s="2197"/>
      <c r="AD5" s="2198"/>
      <c r="AE5" s="2198"/>
      <c r="AF5" s="2198"/>
      <c r="AG5" s="2198"/>
      <c r="AH5" s="2198"/>
      <c r="AI5" s="2198"/>
      <c r="AJ5" s="2199"/>
      <c r="AK5" s="1286" t="s">
        <v>531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453</v>
      </c>
      <c r="P6" s="2111"/>
      <c r="Q6" s="2111">
        <v>1</v>
      </c>
      <c r="R6" s="353"/>
      <c r="S6" s="1455">
        <f>$J6</f>
      </c>
      <c r="T6" s="274" t="s">
        <v>454</v>
      </c>
      <c r="U6" s="288"/>
      <c r="V6" s="2095"/>
      <c r="W6" s="2096"/>
      <c r="X6" s="2096"/>
      <c r="Y6" s="2096"/>
      <c r="Z6" s="2096"/>
      <c r="AA6" s="2096"/>
      <c r="AB6" s="2097"/>
      <c r="AC6" s="2095"/>
      <c r="AD6" s="2096"/>
      <c r="AE6" s="2096"/>
      <c r="AF6" s="2096"/>
      <c r="AG6" s="2096"/>
      <c r="AH6" s="2096"/>
      <c r="AI6" s="2096"/>
      <c r="AJ6" s="2097"/>
      <c r="AK6" s="1337" t="s">
        <v>532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533</v>
      </c>
      <c r="U9" s="367"/>
      <c r="V9" s="367"/>
      <c r="W9" s="367"/>
      <c r="X9" s="367"/>
      <c r="Y9" s="367"/>
      <c r="Z9" s="367"/>
      <c r="AA9" s="367"/>
      <c r="AB9" s="367"/>
      <c r="AC9" s="367"/>
      <c r="AD9" s="367"/>
      <c r="AE9" s="367"/>
      <c r="AF9" s="367"/>
      <c r="AG9" s="367"/>
      <c r="AH9" s="367"/>
      <c r="AI9" s="367"/>
      <c r="AJ9" s="367"/>
      <c r="AK9" s="1286" t="s">
        <v>534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459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535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192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51"/>
      <c r="M18" s="1392"/>
      <c r="N18" s="1392"/>
      <c r="O18" s="1397" t="s">
        <v>461</v>
      </c>
      <c r="P18" s="1392"/>
      <c r="Q18" s="1401"/>
      <c r="R18" s="1401"/>
      <c r="S18" s="735"/>
      <c r="Y18" s="1397"/>
      <c r="AA18" s="1397"/>
      <c r="AB18" s="1396"/>
      <c r="AF18" s="1397"/>
      <c r="AH18" s="1397"/>
      <c r="AI18" s="1396"/>
      <c r="AL18" s="517"/>
      <c r="AM18" s="517"/>
      <c r="AN18" s="517"/>
      <c r="AO18" s="517"/>
      <c r="AP18" s="517"/>
    </row>
    <row s="2683" customFormat="1" customHeight="1" ht="14.25" hidden="1">
      <c r="L19" s="1451"/>
      <c r="M19" s="1392"/>
      <c r="N19" s="1392"/>
      <c r="O19" s="1392"/>
      <c r="P19" s="1392"/>
      <c r="Q19" s="1401"/>
      <c r="R19" s="1401"/>
      <c r="S19" s="735"/>
      <c r="AB19" s="1396"/>
      <c r="AI19" s="1396"/>
      <c r="AL19" s="517"/>
      <c r="AM19" s="517"/>
      <c r="AN19" s="517"/>
      <c r="AO19" s="517"/>
      <c r="AP19" s="517"/>
    </row>
    <row s="2683" customFormat="1" customHeight="1" ht="12" hidden="1">
      <c r="L20" s="1451"/>
      <c r="M20" s="1392"/>
      <c r="N20" s="1392"/>
      <c r="O20" s="1394" t="s">
        <v>462</v>
      </c>
      <c r="P20" s="1392"/>
      <c r="Q20" s="1472"/>
      <c r="R20" s="1472"/>
      <c r="S20" s="735"/>
      <c r="T20" s="1168" t="s">
        <v>463</v>
      </c>
      <c r="Z20" s="172" t="s">
        <v>464</v>
      </c>
      <c r="AB20" s="172" t="s">
        <v>465</v>
      </c>
      <c r="AC20" s="1168" t="s">
        <v>463</v>
      </c>
      <c r="AG20" s="172" t="s">
        <v>466</v>
      </c>
      <c r="AI20" s="172" t="s">
        <v>465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3" customFormat="1" customHeight="1" ht="18.75">
      <c r="A28" s="1398"/>
      <c r="B28" s="1398"/>
      <c r="C28" s="1398"/>
      <c r="D28" s="1398"/>
      <c r="E28" s="1398"/>
      <c r="F28" s="1398"/>
      <c r="G28" s="1398"/>
      <c r="H28" s="1398"/>
      <c r="I28" s="1398"/>
      <c r="J28" s="1398"/>
      <c r="K28" s="1398"/>
      <c r="L28" s="1399"/>
      <c r="M28" s="1398"/>
      <c r="N28" s="1398"/>
      <c r="O28" s="1398"/>
      <c r="S28" s="2098" t="s">
        <v>467</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3" customFormat="1" customHeight="1" ht="18.75">
      <c r="A29" s="1398"/>
      <c r="B29" s="1398"/>
      <c r="C29" s="1398"/>
      <c r="D29" s="1398"/>
      <c r="E29" s="1398"/>
      <c r="F29" s="1398"/>
      <c r="G29" s="1398"/>
      <c r="H29" s="1398"/>
      <c r="I29" s="1398"/>
      <c r="J29" s="1398"/>
      <c r="K29" s="1398"/>
      <c r="L29" s="1399"/>
      <c r="M29" s="1398"/>
      <c r="N29" s="1398"/>
      <c r="O29" s="1398"/>
      <c r="S29" s="2098" t="s">
        <v>468</v>
      </c>
      <c r="T29" s="2098"/>
      <c r="U29" s="1402"/>
      <c r="V29" s="2100" t="str">
        <f>IF(TITLE_NUMBER_PR_CHANGE="",IF(TITLE_NUMBER_PR="","",TITLE_NUMBER_PR),TITLE_NUMBER_PR_CHANGE)</f>
        <v>51/11</v>
      </c>
      <c r="W29" s="2100"/>
      <c r="X29" s="2100"/>
      <c r="Y29" s="2100"/>
      <c r="Z29" s="2100"/>
      <c r="AA29" s="2100"/>
      <c r="AB29" s="322"/>
      <c r="AC29" s="2100" t="str">
        <f>IF(TITLE_NUMBER_PR_CHANGE="",IF(TITLE_NUMBER_PR="","",TITLE_NUMBER_PR),TITLE_NUMBER_PR_CHANGE)</f>
        <v>51/11</v>
      </c>
      <c r="AD29" s="2100"/>
      <c r="AE29" s="2100"/>
      <c r="AF29" s="2100"/>
      <c r="AG29" s="2100"/>
      <c r="AH29" s="2100"/>
      <c r="AI29" s="322"/>
      <c r="AJ29" s="322"/>
      <c r="AK29" s="268"/>
      <c r="AL29" s="368"/>
      <c r="AM29" s="368"/>
      <c r="AN29" s="368"/>
      <c r="AO29" s="368"/>
      <c r="AP29" s="368"/>
    </row>
    <row s="33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https://npa.gov-murman.ru/bitrix/components/b1team/govmurman.element.file/download.php?ID=508451&amp;FID=750724</v>
      </c>
      <c r="W30" s="2100"/>
      <c r="X30" s="2100"/>
      <c r="Y30" s="2100"/>
      <c r="Z30" s="2100"/>
      <c r="AA30" s="2100"/>
      <c r="AB30" s="322"/>
      <c r="AC30" s="2100" t="str">
        <f>IF(TITLE_IST_PUB_CHANGE="",IF(TITLE_IST_PUB="","",TITLE_IST_PUB),TITLE_IST_PUB_CHANGE)</f>
        <v>https://npa.gov-murman.ru/bitrix/components/b1team/govmurman.element.file/download.php?ID=508451&amp;FID=750724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3" customFormat="1" customHeight="1" ht="18.75" hidden="1">
      <c r="A32" s="1398"/>
      <c r="B32" s="1398"/>
      <c r="C32" s="1398"/>
      <c r="D32" s="1398"/>
      <c r="E32" s="1398"/>
      <c r="F32" s="1398"/>
      <c r="G32" s="1398"/>
      <c r="H32" s="1398"/>
      <c r="I32" s="1398"/>
      <c r="J32" s="1398"/>
      <c r="K32" s="1398"/>
      <c r="L32" s="1399"/>
      <c r="M32" s="1398"/>
      <c r="N32" s="1398"/>
      <c r="O32" s="1398"/>
      <c r="S32" s="2098" t="s">
        <v>469</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3" customFormat="1" customHeight="1" ht="18.75" hidden="1">
      <c r="A33" s="1398"/>
      <c r="B33" s="1398"/>
      <c r="C33" s="1398"/>
      <c r="D33" s="1398"/>
      <c r="E33" s="1398"/>
      <c r="F33" s="1398"/>
      <c r="G33" s="1398"/>
      <c r="H33" s="1398"/>
      <c r="I33" s="1398"/>
      <c r="J33" s="1398"/>
      <c r="K33" s="1398"/>
      <c r="L33" s="1399"/>
      <c r="M33" s="1398"/>
      <c r="N33" s="1398"/>
      <c r="O33" s="1398"/>
      <c r="S33" s="2098" t="s">
        <v>470</v>
      </c>
      <c r="T33" s="2098"/>
      <c r="U33" s="1402"/>
      <c r="V33" s="2100" t="str">
        <f>IF(TITLE_NUMBER_PR_CHANGE="",IF(TITLE_NUMBER_PR="","",TITLE_NUMBER_PR),TITLE_NUMBER_PR_CHANGE)</f>
        <v>51/11</v>
      </c>
      <c r="W33" s="2100"/>
      <c r="X33" s="2100"/>
      <c r="Y33" s="2100"/>
      <c r="Z33" s="2100"/>
      <c r="AA33" s="2100"/>
      <c r="AB33" s="322"/>
      <c r="AC33" s="2100" t="str">
        <f>IF(TITLE_NUMBER_PR_CHANGE="",IF(TITLE_NUMBER_PR="","",TITLE_NUMBER_PR),TITLE_NUMBER_PR_CHANGE)</f>
        <v>51/11</v>
      </c>
      <c r="AD33" s="2100"/>
      <c r="AE33" s="2100"/>
      <c r="AF33" s="2100"/>
      <c r="AG33" s="2100"/>
      <c r="AH33" s="2100"/>
      <c r="AI33" s="322"/>
      <c r="AJ33" s="322"/>
      <c r="AK33" s="268"/>
      <c r="AL33" s="368"/>
      <c r="AM33" s="368"/>
      <c r="AN33" s="368"/>
      <c r="AO33" s="368"/>
      <c r="AP33" s="368"/>
    </row>
    <row s="3343"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471</v>
      </c>
      <c r="AC34" s="322"/>
      <c r="AD34" s="322"/>
      <c r="AE34" s="322"/>
      <c r="AF34" s="322"/>
      <c r="AG34" s="322"/>
      <c r="AH34" s="322"/>
      <c r="AI34" s="266" t="s">
        <v>471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345</v>
      </c>
      <c r="T36" s="1971"/>
      <c r="U36" s="1971"/>
      <c r="V36" s="1971"/>
      <c r="W36" s="1971"/>
      <c r="X36" s="1971"/>
      <c r="Y36" s="1971"/>
      <c r="Z36" s="1971"/>
      <c r="AA36" s="1971"/>
      <c r="AB36" s="1971"/>
      <c r="AC36" s="1971"/>
      <c r="AD36" s="1971"/>
      <c r="AE36" s="1971"/>
      <c r="AF36" s="1971"/>
      <c r="AG36" s="1971"/>
      <c r="AH36" s="1971"/>
      <c r="AI36" s="1971"/>
      <c r="AJ36" s="1971"/>
      <c r="AK36" s="1971" t="s">
        <v>346</v>
      </c>
    </row>
    <row customHeight="1" ht="14.25">
      <c r="Q37" s="377"/>
      <c r="R37" s="377"/>
      <c r="S37" s="2125" t="s">
        <v>87</v>
      </c>
      <c r="T37" s="2062" t="s">
        <v>472</v>
      </c>
      <c r="U37" s="289"/>
      <c r="V37" s="2126" t="s">
        <v>473</v>
      </c>
      <c r="W37" s="2127"/>
      <c r="X37" s="2127"/>
      <c r="Y37" s="2127"/>
      <c r="Z37" s="2127"/>
      <c r="AA37" s="2128"/>
      <c r="AB37" s="2129" t="s">
        <v>474</v>
      </c>
      <c r="AC37" s="2126" t="s">
        <v>473</v>
      </c>
      <c r="AD37" s="2127"/>
      <c r="AE37" s="2127"/>
      <c r="AF37" s="2127"/>
      <c r="AG37" s="2127"/>
      <c r="AH37" s="2128"/>
      <c r="AI37" s="2129" t="s">
        <v>475</v>
      </c>
      <c r="AJ37" s="2132" t="s">
        <v>476</v>
      </c>
      <c r="AK37" s="1971"/>
    </row>
    <row customHeight="1" ht="33.75">
      <c r="Q38" s="377"/>
      <c r="R38" s="377"/>
      <c r="S38" s="2125"/>
      <c r="T38" s="2062"/>
      <c r="U38" s="1038"/>
      <c r="V38" s="1382" t="s">
        <v>536</v>
      </c>
      <c r="W38" s="2118" t="s">
        <v>479</v>
      </c>
      <c r="X38" s="2120"/>
      <c r="Y38" s="2118" t="s">
        <v>480</v>
      </c>
      <c r="Z38" s="2119"/>
      <c r="AA38" s="2120"/>
      <c r="AB38" s="2130"/>
      <c r="AC38" s="1382" t="s">
        <v>536</v>
      </c>
      <c r="AD38" s="2118" t="s">
        <v>479</v>
      </c>
      <c r="AE38" s="2120"/>
      <c r="AF38" s="2118" t="s">
        <v>480</v>
      </c>
      <c r="AG38" s="2119"/>
      <c r="AH38" s="2120"/>
      <c r="AI38" s="2130"/>
      <c r="AJ38" s="2133"/>
      <c r="AK38" s="1971"/>
    </row>
    <row customHeight="1" ht="33.75">
      <c r="A39" s="1400"/>
      <c r="B39" s="1400" t="s">
        <v>152</v>
      </c>
      <c r="C39" s="1400" t="s">
        <v>153</v>
      </c>
      <c r="D39" s="1400" t="s">
        <v>154</v>
      </c>
      <c r="E39" s="1394" t="s">
        <v>481</v>
      </c>
      <c r="F39" s="1394" t="s">
        <v>482</v>
      </c>
      <c r="G39" s="1394" t="s">
        <v>483</v>
      </c>
      <c r="H39" s="1394"/>
      <c r="I39" s="1394" t="s">
        <v>537</v>
      </c>
      <c r="J39" s="1394" t="s">
        <v>486</v>
      </c>
      <c r="K39" s="1394" t="s">
        <v>538</v>
      </c>
      <c r="L39" s="1394" t="s">
        <v>462</v>
      </c>
      <c r="Q39" s="377"/>
      <c r="R39" s="377"/>
      <c r="S39" s="2125"/>
      <c r="T39" s="2062"/>
      <c r="U39" s="290"/>
      <c r="V39" s="1382" t="s">
        <v>539</v>
      </c>
      <c r="W39" s="1237" t="s">
        <v>540</v>
      </c>
      <c r="X39" s="1237" t="s">
        <v>541</v>
      </c>
      <c r="Y39" s="1387" t="s">
        <v>490</v>
      </c>
      <c r="Z39" s="2121" t="s">
        <v>491</v>
      </c>
      <c r="AA39" s="2122"/>
      <c r="AB39" s="2131"/>
      <c r="AC39" s="1382" t="s">
        <v>539</v>
      </c>
      <c r="AD39" s="1237" t="s">
        <v>540</v>
      </c>
      <c r="AE39" s="1237" t="s">
        <v>541</v>
      </c>
      <c r="AF39" s="1387" t="s">
        <v>490</v>
      </c>
      <c r="AG39" s="2121" t="s">
        <v>491</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128</v>
      </c>
      <c r="T40" s="1281" t="s">
        <v>102</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271</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140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271</v>
      </c>
      <c r="B42" s="1393" t="s">
        <v>272</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444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445</v>
      </c>
      <c r="AM42" s="506"/>
      <c r="AN42" s="506" t="str">
        <f>IF(T42="","",T42)</f>
        <v>Территория действия тарифа</v>
      </c>
      <c r="AO42" s="506"/>
      <c r="AP42" s="506"/>
    </row>
    <row customHeight="1" ht="23.25">
      <c r="A43" s="1393" t="s">
        <v>271</v>
      </c>
      <c r="B43" s="1393" t="s">
        <v>272</v>
      </c>
      <c r="C43" s="1393" t="s">
        <v>273</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528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529</v>
      </c>
      <c r="AM43" s="506"/>
      <c r="AN43" s="506" t="str">
        <f>IF(T43="","",T43)</f>
        <v>Наименование централизованной системы холодного водоснабжения</v>
      </c>
      <c r="AO43" s="506"/>
      <c r="AP43" s="506"/>
    </row>
    <row customHeight="1" ht="23.25">
      <c r="A44" s="1393" t="s">
        <v>271</v>
      </c>
      <c r="B44" s="1393" t="s">
        <v>272</v>
      </c>
      <c r="C44" s="1393" t="s">
        <v>273</v>
      </c>
      <c r="D44" s="1393" t="s">
        <v>542</v>
      </c>
      <c r="E44" s="2108"/>
      <c r="F44" s="2108"/>
      <c r="G44" s="2108"/>
      <c r="H44" s="2108"/>
      <c r="I44" s="2109" t="str">
        <f>S43&amp;".1"</f>
        <v>...1</v>
      </c>
      <c r="J44" s="1393"/>
      <c r="K44" s="1393"/>
      <c r="L44" s="1394"/>
      <c r="P44" s="2111">
        <v>1</v>
      </c>
      <c r="Q44" s="1384"/>
      <c r="R44" s="352"/>
      <c r="S44" s="1388" t="str">
        <f>$I44</f>
        <v>...1</v>
      </c>
      <c r="T44" s="273" t="s">
        <v>530</v>
      </c>
      <c r="U44" s="288"/>
      <c r="V44" s="2194"/>
      <c r="W44" s="2195"/>
      <c r="X44" s="2195"/>
      <c r="Y44" s="2195"/>
      <c r="Z44" s="2195"/>
      <c r="AA44" s="2195"/>
      <c r="AB44" s="2196"/>
      <c r="AC44" s="2197"/>
      <c r="AD44" s="2198"/>
      <c r="AE44" s="2198"/>
      <c r="AF44" s="2198"/>
      <c r="AG44" s="2198"/>
      <c r="AH44" s="2198"/>
      <c r="AI44" s="2198"/>
      <c r="AJ44" s="2199"/>
      <c r="AK44" s="1286" t="s">
        <v>531</v>
      </c>
      <c r="AM44" s="506"/>
      <c r="AN44" s="506" t="str">
        <f>IF(T44="","",T44)</f>
        <v>Наименование признака дифференциации</v>
      </c>
      <c r="AO44" s="506"/>
      <c r="AP44" s="506"/>
    </row>
    <row customHeight="1" ht="23.25">
      <c r="A45" s="1393" t="s">
        <v>271</v>
      </c>
      <c r="B45" s="1393" t="s">
        <v>272</v>
      </c>
      <c r="C45" s="1393" t="s">
        <v>273</v>
      </c>
      <c r="D45" s="1393" t="s">
        <v>542</v>
      </c>
      <c r="E45" s="2108"/>
      <c r="F45" s="2108"/>
      <c r="G45" s="2108"/>
      <c r="H45" s="2108"/>
      <c r="I45" s="2110"/>
      <c r="J45" s="2109" t="str">
        <f>I44&amp;".1"</f>
        <v>...1.1</v>
      </c>
      <c r="K45" s="1393"/>
      <c r="L45" s="1394" t="s">
        <v>453</v>
      </c>
      <c r="P45" s="2111"/>
      <c r="Q45" s="2111">
        <v>1</v>
      </c>
      <c r="R45" s="353"/>
      <c r="S45" s="1388" t="str">
        <f>$J45</f>
        <v>...1.1</v>
      </c>
      <c r="T45" s="274" t="s">
        <v>454</v>
      </c>
      <c r="U45" s="288"/>
      <c r="V45" s="2095"/>
      <c r="W45" s="2096"/>
      <c r="X45" s="2096"/>
      <c r="Y45" s="2096"/>
      <c r="Z45" s="2096"/>
      <c r="AA45" s="2096"/>
      <c r="AB45" s="2097"/>
      <c r="AC45" s="2095"/>
      <c r="AD45" s="2096"/>
      <c r="AE45" s="2096"/>
      <c r="AF45" s="2096"/>
      <c r="AG45" s="2096"/>
      <c r="AH45" s="2096"/>
      <c r="AI45" s="2096"/>
      <c r="AJ45" s="2097"/>
      <c r="AK45" s="1337" t="s">
        <v>532</v>
      </c>
      <c r="AM45" s="506"/>
      <c r="AN45" s="506" t="str">
        <f>IF(T45="","",T45)</f>
        <v>Группа потребителей</v>
      </c>
      <c r="AO45" s="506"/>
      <c r="AP45" s="506"/>
    </row>
    <row customHeight="1" ht="23.25">
      <c r="A46" s="1393" t="s">
        <v>271</v>
      </c>
      <c r="B46" s="1393" t="s">
        <v>272</v>
      </c>
      <c r="C46" s="1393" t="s">
        <v>273</v>
      </c>
      <c r="D46" s="1393" t="s">
        <v>542</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271</v>
      </c>
      <c r="B47" s="1393" t="s">
        <v>272</v>
      </c>
      <c r="C47" s="1393" t="s">
        <v>273</v>
      </c>
      <c r="D47" s="1393" t="s">
        <v>542</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271</v>
      </c>
      <c r="B48" s="1393" t="s">
        <v>272</v>
      </c>
      <c r="C48" s="1393" t="s">
        <v>273</v>
      </c>
      <c r="D48" s="1393" t="s">
        <v>542</v>
      </c>
      <c r="E48" s="2108"/>
      <c r="F48" s="2108"/>
      <c r="G48" s="2108"/>
      <c r="H48" s="2108"/>
      <c r="I48" s="2110"/>
      <c r="J48" s="2109"/>
      <c r="K48" s="1393"/>
      <c r="L48" s="1394"/>
      <c r="P48" s="2111"/>
      <c r="Q48" s="2111"/>
      <c r="R48" s="352"/>
      <c r="S48" s="1308"/>
      <c r="T48" s="275" t="s">
        <v>533</v>
      </c>
      <c r="U48" s="367"/>
      <c r="V48" s="367"/>
      <c r="W48" s="367"/>
      <c r="X48" s="367"/>
      <c r="Y48" s="367"/>
      <c r="Z48" s="367"/>
      <c r="AA48" s="367"/>
      <c r="AB48" s="367"/>
      <c r="AC48" s="367"/>
      <c r="AD48" s="367"/>
      <c r="AE48" s="367"/>
      <c r="AF48" s="367"/>
      <c r="AG48" s="367"/>
      <c r="AH48" s="367"/>
      <c r="AI48" s="367"/>
      <c r="AJ48" s="367"/>
      <c r="AK48" s="1286" t="s">
        <v>534</v>
      </c>
      <c r="AM48" s="506"/>
      <c r="AN48" s="506" t="str">
        <f>IF(T48="","",T48)</f>
        <v>Добавить значение признака дифференциации</v>
      </c>
      <c r="AO48" s="506"/>
      <c r="AP48" s="506"/>
    </row>
    <row customHeight="1" ht="21">
      <c r="A49" s="1393" t="s">
        <v>271</v>
      </c>
      <c r="B49" s="1393" t="s">
        <v>272</v>
      </c>
      <c r="C49" s="1393" t="s">
        <v>273</v>
      </c>
      <c r="D49" s="1393" t="s">
        <v>542</v>
      </c>
      <c r="E49" s="2108"/>
      <c r="F49" s="2108"/>
      <c r="G49" s="2108"/>
      <c r="H49" s="2108"/>
      <c r="I49" s="2109"/>
      <c r="J49" s="1393"/>
      <c r="K49" s="1393"/>
      <c r="L49" s="1394"/>
      <c r="P49" s="2111"/>
      <c r="Q49" s="1384"/>
      <c r="R49" s="352"/>
      <c r="S49" s="1308"/>
      <c r="T49" s="364" t="s">
        <v>459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271</v>
      </c>
      <c r="B50" s="1393" t="s">
        <v>272</v>
      </c>
      <c r="C50" s="1393" t="s">
        <v>273</v>
      </c>
      <c r="D50" s="1393" t="s">
        <v>542</v>
      </c>
      <c r="E50" s="2108"/>
      <c r="F50" s="2108"/>
      <c r="G50" s="2108"/>
      <c r="H50" s="2107"/>
      <c r="I50" s="1393"/>
      <c r="J50" s="1393"/>
      <c r="K50" s="1393"/>
      <c r="L50" s="1394"/>
      <c r="M50" s="1395"/>
      <c r="N50" s="1395"/>
      <c r="O50" s="543"/>
      <c r="P50" s="356"/>
      <c r="Q50" s="376"/>
      <c r="R50" s="351"/>
      <c r="S50" s="1308"/>
      <c r="T50" s="372" t="s">
        <v>535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271</v>
      </c>
      <c r="B51" s="1373" t="s">
        <v>272</v>
      </c>
      <c r="C51" s="1344"/>
      <c r="D51" s="1344"/>
      <c r="E51" s="2108"/>
      <c r="F51" s="2107"/>
      <c r="G51" s="1344"/>
      <c r="H51" s="1344"/>
      <c r="I51" s="1344"/>
      <c r="J51" s="1344"/>
      <c r="K51" s="1344"/>
      <c r="L51" s="1456"/>
      <c r="M51" s="1351"/>
      <c r="N51" s="1351"/>
      <c r="P51" s="1346"/>
      <c r="Q51" s="1347"/>
      <c r="R51" s="1346"/>
      <c r="S51" s="1352"/>
      <c r="T51" s="1355" t="s">
        <v>192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271</v>
      </c>
      <c r="B52" s="1373"/>
      <c r="C52" s="1373"/>
      <c r="D52" s="1373"/>
      <c r="E52" s="2107"/>
      <c r="F52" s="1373"/>
      <c r="G52" s="1373"/>
      <c r="H52" s="1373"/>
      <c r="I52" s="1373"/>
      <c r="J52" s="1373"/>
      <c r="K52" s="1373"/>
      <c r="L52" s="1376"/>
      <c r="M52" s="1351"/>
      <c r="N52" s="1351"/>
      <c r="O52" s="524"/>
      <c r="P52" s="385"/>
      <c r="Q52" s="1374"/>
      <c r="R52" s="385"/>
      <c r="S52" s="1352"/>
      <c r="T52" s="1355" t="s">
        <v>211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230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4A6AF-1CDC-71C7-BE3A-C3A3AF0C762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6133" width="19.140625" hidden="1" customWidth="1"/>
    <col min="13" max="14" style="3332" width="12.28125" hidden="1" customWidth="1"/>
    <col min="15" max="15" style="3332" width="23.421875" hidden="1" customWidth="1"/>
    <col min="16" max="16" style="6138" width="3.7109375" customWidth="1"/>
    <col min="17" max="18" style="3409" width="3.7109375" customWidth="1"/>
    <col min="19" max="19" style="3410" width="12.7109375" customWidth="1"/>
    <col min="20" max="20" style="2983" width="35.7109375" customWidth="1"/>
    <col min="21" max="21" style="2983" width="0.140625" customWidth="1"/>
    <col min="22" max="24" style="2983" width="24.7109375" hidden="1" customWidth="1"/>
    <col min="25" max="25" style="2983" width="11.7109375" hidden="1" customWidth="1"/>
    <col min="26" max="26" style="2983" width="3.7109375" hidden="1" customWidth="1"/>
    <col min="27" max="27" style="2983" width="11.7109375" hidden="1" customWidth="1"/>
    <col min="28" max="28" style="2983" width="8.57421875" hidden="1" customWidth="1"/>
    <col min="29" max="31" style="2983" width="24.7109375" customWidth="1"/>
    <col min="32" max="32" style="2983" width="11.7109375" customWidth="1"/>
    <col min="33" max="33" style="2983" width="3.7109375" customWidth="1"/>
    <col min="34" max="34" style="2983" width="11.7109375" customWidth="1"/>
    <col min="35" max="35" style="2983" width="8.57421875" hidden="1" customWidth="1"/>
    <col min="36" max="36" style="2983" width="4.7109375" customWidth="1"/>
    <col min="37" max="37" style="298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140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444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528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530</v>
      </c>
      <c r="U5" s="288"/>
      <c r="V5" s="2194"/>
      <c r="W5" s="2195"/>
      <c r="X5" s="2195"/>
      <c r="Y5" s="2195"/>
      <c r="Z5" s="2195"/>
      <c r="AA5" s="2195"/>
      <c r="AB5" s="2196"/>
      <c r="AC5" s="2197"/>
      <c r="AD5" s="2198"/>
      <c r="AE5" s="2198"/>
      <c r="AF5" s="2198"/>
      <c r="AG5" s="2198"/>
      <c r="AH5" s="2198"/>
      <c r="AI5" s="2198"/>
      <c r="AJ5" s="2199"/>
      <c r="AK5" s="1286" t="s">
        <v>531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453</v>
      </c>
      <c r="P6" s="2111"/>
      <c r="Q6" s="2111">
        <v>1</v>
      </c>
      <c r="R6" s="353"/>
      <c r="S6" s="1487">
        <f>$J6</f>
      </c>
      <c r="T6" s="274" t="s">
        <v>454</v>
      </c>
      <c r="U6" s="288"/>
      <c r="V6" s="2095"/>
      <c r="W6" s="2096"/>
      <c r="X6" s="2096"/>
      <c r="Y6" s="2096"/>
      <c r="Z6" s="2096"/>
      <c r="AA6" s="2096"/>
      <c r="AB6" s="2097"/>
      <c r="AC6" s="2095"/>
      <c r="AD6" s="2096"/>
      <c r="AE6" s="2096"/>
      <c r="AF6" s="2096"/>
      <c r="AG6" s="2096"/>
      <c r="AH6" s="2096"/>
      <c r="AI6" s="2096"/>
      <c r="AJ6" s="2097"/>
      <c r="AK6" s="1337" t="s">
        <v>532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533</v>
      </c>
      <c r="U9" s="367"/>
      <c r="V9" s="367"/>
      <c r="W9" s="367"/>
      <c r="X9" s="367"/>
      <c r="Y9" s="367"/>
      <c r="Z9" s="367"/>
      <c r="AA9" s="367"/>
      <c r="AB9" s="367"/>
      <c r="AC9" s="367"/>
      <c r="AD9" s="367"/>
      <c r="AE9" s="367"/>
      <c r="AF9" s="367"/>
      <c r="AG9" s="367"/>
      <c r="AH9" s="367"/>
      <c r="AI9" s="367"/>
      <c r="AJ9" s="367"/>
      <c r="AK9" s="1286" t="s">
        <v>534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459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192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461</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462</v>
      </c>
      <c r="P20" s="1392"/>
      <c r="Q20" s="1472"/>
      <c r="R20" s="1472"/>
      <c r="S20" s="735"/>
      <c r="T20" s="1168" t="s">
        <v>463</v>
      </c>
      <c r="Z20" s="172" t="s">
        <v>464</v>
      </c>
      <c r="AB20" s="172" t="s">
        <v>465</v>
      </c>
      <c r="AC20" s="1168" t="s">
        <v>463</v>
      </c>
      <c r="AG20" s="172" t="s">
        <v>466</v>
      </c>
      <c r="AI20" s="172" t="s">
        <v>465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3" customFormat="1" customHeight="1" ht="18.75">
      <c r="A28" s="1398"/>
      <c r="B28" s="1398"/>
      <c r="C28" s="1398"/>
      <c r="D28" s="1398"/>
      <c r="E28" s="1398"/>
      <c r="F28" s="1398"/>
      <c r="G28" s="1398"/>
      <c r="H28" s="1398"/>
      <c r="I28" s="1398"/>
      <c r="J28" s="1398"/>
      <c r="K28" s="1398"/>
      <c r="L28" s="1399"/>
      <c r="M28" s="1398"/>
      <c r="N28" s="1398"/>
      <c r="O28" s="1398"/>
      <c r="S28" s="2098" t="s">
        <v>467</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3" customFormat="1" customHeight="1" ht="18.75">
      <c r="A29" s="1398"/>
      <c r="B29" s="1398"/>
      <c r="C29" s="1398"/>
      <c r="D29" s="1398"/>
      <c r="E29" s="1398"/>
      <c r="F29" s="1398"/>
      <c r="G29" s="1398"/>
      <c r="H29" s="1398"/>
      <c r="I29" s="1398"/>
      <c r="J29" s="1398"/>
      <c r="K29" s="1398"/>
      <c r="L29" s="1399"/>
      <c r="M29" s="1398"/>
      <c r="N29" s="1398"/>
      <c r="O29" s="1398"/>
      <c r="S29" s="2098" t="s">
        <v>468</v>
      </c>
      <c r="T29" s="2098"/>
      <c r="U29" s="1402"/>
      <c r="V29" s="2100" t="str">
        <f>IF(TITLE_NUMBER_PR_CHANGE="",IF(TITLE_NUMBER_PR="","",TITLE_NUMBER_PR),TITLE_NUMBER_PR_CHANGE)</f>
        <v>51/11</v>
      </c>
      <c r="W29" s="2100"/>
      <c r="X29" s="2100"/>
      <c r="Y29" s="2100"/>
      <c r="Z29" s="2100"/>
      <c r="AA29" s="2100"/>
      <c r="AB29" s="322"/>
      <c r="AC29" s="2100" t="str">
        <f>IF(TITLE_NUMBER_PR_CHANGE="",IF(TITLE_NUMBER_PR="","",TITLE_NUMBER_PR),TITLE_NUMBER_PR_CHANGE)</f>
        <v>51/11</v>
      </c>
      <c r="AD29" s="2100"/>
      <c r="AE29" s="2100"/>
      <c r="AF29" s="2100"/>
      <c r="AG29" s="2100"/>
      <c r="AH29" s="2100"/>
      <c r="AI29" s="322"/>
      <c r="AJ29" s="322"/>
      <c r="AK29" s="268"/>
      <c r="AL29" s="368"/>
      <c r="AM29" s="368"/>
      <c r="AN29" s="368"/>
      <c r="AO29" s="368"/>
      <c r="AP29" s="368"/>
    </row>
    <row s="33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https://npa.gov-murman.ru/bitrix/components/b1team/govmurman.element.file/download.php?ID=508451&amp;FID=750724</v>
      </c>
      <c r="W30" s="2100"/>
      <c r="X30" s="2100"/>
      <c r="Y30" s="2100"/>
      <c r="Z30" s="2100"/>
      <c r="AA30" s="2100"/>
      <c r="AB30" s="322"/>
      <c r="AC30" s="2100" t="str">
        <f>IF(TITLE_IST_PUB_CHANGE="",IF(TITLE_IST_PUB="","",TITLE_IST_PUB),TITLE_IST_PUB_CHANGE)</f>
        <v>https://npa.gov-murman.ru/bitrix/components/b1team/govmurman.element.file/download.php?ID=508451&amp;FID=750724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3" customFormat="1" customHeight="1" ht="18.75" hidden="1">
      <c r="A32" s="1398"/>
      <c r="B32" s="1398"/>
      <c r="C32" s="1398"/>
      <c r="D32" s="1398"/>
      <c r="E32" s="1398"/>
      <c r="F32" s="1398"/>
      <c r="G32" s="1398"/>
      <c r="H32" s="1398"/>
      <c r="I32" s="1398"/>
      <c r="J32" s="1398"/>
      <c r="K32" s="1398"/>
      <c r="L32" s="1399"/>
      <c r="M32" s="1398"/>
      <c r="N32" s="1398"/>
      <c r="O32" s="1398"/>
      <c r="S32" s="2098" t="s">
        <v>469</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3" customFormat="1" customHeight="1" ht="18.75" hidden="1">
      <c r="A33" s="1398"/>
      <c r="B33" s="1398"/>
      <c r="C33" s="1398"/>
      <c r="D33" s="1398"/>
      <c r="E33" s="1398"/>
      <c r="F33" s="1398"/>
      <c r="G33" s="1398"/>
      <c r="H33" s="1398"/>
      <c r="I33" s="1398"/>
      <c r="J33" s="1398"/>
      <c r="K33" s="1398"/>
      <c r="L33" s="1399"/>
      <c r="M33" s="1398"/>
      <c r="N33" s="1398"/>
      <c r="O33" s="1398"/>
      <c r="S33" s="2098" t="s">
        <v>470</v>
      </c>
      <c r="T33" s="2098"/>
      <c r="U33" s="1402"/>
      <c r="V33" s="2100" t="str">
        <f>IF(TITLE_NUMBER_PR_CHANGE="",IF(TITLE_NUMBER_PR="","",TITLE_NUMBER_PR),TITLE_NUMBER_PR_CHANGE)</f>
        <v>51/11</v>
      </c>
      <c r="W33" s="2100"/>
      <c r="X33" s="2100"/>
      <c r="Y33" s="2100"/>
      <c r="Z33" s="2100"/>
      <c r="AA33" s="2100"/>
      <c r="AB33" s="322"/>
      <c r="AC33" s="2100" t="str">
        <f>IF(TITLE_NUMBER_PR_CHANGE="",IF(TITLE_NUMBER_PR="","",TITLE_NUMBER_PR),TITLE_NUMBER_PR_CHANGE)</f>
        <v>51/11</v>
      </c>
      <c r="AD33" s="2100"/>
      <c r="AE33" s="2100"/>
      <c r="AF33" s="2100"/>
      <c r="AG33" s="2100"/>
      <c r="AH33" s="2100"/>
      <c r="AI33" s="322"/>
      <c r="AJ33" s="322"/>
      <c r="AK33" s="268"/>
      <c r="AL33" s="368"/>
      <c r="AM33" s="368"/>
      <c r="AN33" s="368"/>
      <c r="AO33" s="368"/>
      <c r="AP33" s="368"/>
    </row>
    <row s="334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471</v>
      </c>
      <c r="AC34" s="322"/>
      <c r="AD34" s="322"/>
      <c r="AE34" s="322"/>
      <c r="AF34" s="322"/>
      <c r="AG34" s="322"/>
      <c r="AH34" s="322"/>
      <c r="AI34" s="266" t="s">
        <v>471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345</v>
      </c>
      <c r="T36" s="1971"/>
      <c r="U36" s="1971"/>
      <c r="V36" s="1971"/>
      <c r="W36" s="1971"/>
      <c r="X36" s="1971"/>
      <c r="Y36" s="1971"/>
      <c r="Z36" s="1971"/>
      <c r="AA36" s="1971"/>
      <c r="AB36" s="1971"/>
      <c r="AC36" s="1971"/>
      <c r="AD36" s="1971"/>
      <c r="AE36" s="1971"/>
      <c r="AF36" s="1971"/>
      <c r="AG36" s="1971"/>
      <c r="AH36" s="1971"/>
      <c r="AI36" s="1971"/>
      <c r="AJ36" s="1971"/>
      <c r="AK36" s="1971" t="s">
        <v>346</v>
      </c>
    </row>
    <row customHeight="1" ht="14.25">
      <c r="Q37" s="377"/>
      <c r="R37" s="377"/>
      <c r="S37" s="2125" t="s">
        <v>87</v>
      </c>
      <c r="T37" s="2062" t="s">
        <v>472</v>
      </c>
      <c r="U37" s="289"/>
      <c r="V37" s="2126" t="s">
        <v>473</v>
      </c>
      <c r="W37" s="2127"/>
      <c r="X37" s="2127"/>
      <c r="Y37" s="2127"/>
      <c r="Z37" s="2127"/>
      <c r="AA37" s="2128"/>
      <c r="AB37" s="2129" t="s">
        <v>474</v>
      </c>
      <c r="AC37" s="2126" t="s">
        <v>473</v>
      </c>
      <c r="AD37" s="2127"/>
      <c r="AE37" s="2127"/>
      <c r="AF37" s="2127"/>
      <c r="AG37" s="2127"/>
      <c r="AH37" s="2128"/>
      <c r="AI37" s="2129" t="s">
        <v>475</v>
      </c>
      <c r="AJ37" s="2132" t="s">
        <v>476</v>
      </c>
      <c r="AK37" s="1971"/>
    </row>
    <row customHeight="1" ht="33.75">
      <c r="Q38" s="377"/>
      <c r="R38" s="377"/>
      <c r="S38" s="2125"/>
      <c r="T38" s="2062"/>
      <c r="U38" s="1038"/>
      <c r="V38" s="1482" t="s">
        <v>536</v>
      </c>
      <c r="W38" s="2118" t="s">
        <v>479</v>
      </c>
      <c r="X38" s="2120"/>
      <c r="Y38" s="2118" t="s">
        <v>480</v>
      </c>
      <c r="Z38" s="2119"/>
      <c r="AA38" s="2120"/>
      <c r="AB38" s="2130"/>
      <c r="AC38" s="1482" t="s">
        <v>536</v>
      </c>
      <c r="AD38" s="2118" t="s">
        <v>479</v>
      </c>
      <c r="AE38" s="2120"/>
      <c r="AF38" s="2118" t="s">
        <v>480</v>
      </c>
      <c r="AG38" s="2119"/>
      <c r="AH38" s="2120"/>
      <c r="AI38" s="2130"/>
      <c r="AJ38" s="2133"/>
      <c r="AK38" s="1971"/>
    </row>
    <row customHeight="1" ht="33.75">
      <c r="A39" s="1400"/>
      <c r="B39" s="1400" t="s">
        <v>152</v>
      </c>
      <c r="C39" s="1400" t="s">
        <v>153</v>
      </c>
      <c r="D39" s="1400" t="s">
        <v>154</v>
      </c>
      <c r="E39" s="1394" t="s">
        <v>481</v>
      </c>
      <c r="F39" s="1394" t="s">
        <v>482</v>
      </c>
      <c r="G39" s="1394" t="s">
        <v>483</v>
      </c>
      <c r="H39" s="1394"/>
      <c r="I39" s="1394" t="s">
        <v>537</v>
      </c>
      <c r="J39" s="1394" t="s">
        <v>486</v>
      </c>
      <c r="K39" s="1394" t="s">
        <v>538</v>
      </c>
      <c r="L39" s="1394" t="s">
        <v>462</v>
      </c>
      <c r="Q39" s="377"/>
      <c r="R39" s="377"/>
      <c r="S39" s="2125"/>
      <c r="T39" s="2062"/>
      <c r="U39" s="290"/>
      <c r="V39" s="1482" t="s">
        <v>539</v>
      </c>
      <c r="W39" s="1237" t="s">
        <v>540</v>
      </c>
      <c r="X39" s="1237" t="s">
        <v>541</v>
      </c>
      <c r="Y39" s="1485" t="s">
        <v>490</v>
      </c>
      <c r="Z39" s="2121" t="s">
        <v>491</v>
      </c>
      <c r="AA39" s="2122"/>
      <c r="AB39" s="2131"/>
      <c r="AC39" s="1482" t="s">
        <v>539</v>
      </c>
      <c r="AD39" s="1237" t="s">
        <v>540</v>
      </c>
      <c r="AE39" s="1237" t="s">
        <v>541</v>
      </c>
      <c r="AF39" s="1485" t="s">
        <v>490</v>
      </c>
      <c r="AG39" s="2121" t="s">
        <v>491</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128</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276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140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276</v>
      </c>
      <c r="B42" s="1393" t="s">
        <v>277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444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445</v>
      </c>
      <c r="AM42" s="506"/>
      <c r="AN42" s="506" t="str">
        <f>IF(T42="","",T42)</f>
        <v>Территория действия тарифа</v>
      </c>
      <c r="AO42" s="506"/>
      <c r="AP42" s="506"/>
    </row>
    <row customHeight="1" ht="23.25">
      <c r="A43" s="1393" t="s">
        <v>276</v>
      </c>
      <c r="B43" s="1393" t="s">
        <v>277</v>
      </c>
      <c r="C43" s="1393" t="s">
        <v>278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528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529</v>
      </c>
      <c r="AM43" s="506"/>
      <c r="AN43" s="506" t="str">
        <f>IF(T43="","",T43)</f>
        <v>Наименование централизованной системы холодного водоснабжения</v>
      </c>
      <c r="AO43" s="506"/>
      <c r="AP43" s="506"/>
    </row>
    <row customHeight="1" ht="23.25">
      <c r="A44" s="1393" t="s">
        <v>276</v>
      </c>
      <c r="B44" s="1393" t="s">
        <v>277</v>
      </c>
      <c r="C44" s="1393" t="s">
        <v>278</v>
      </c>
      <c r="D44" s="1393" t="s">
        <v>543</v>
      </c>
      <c r="E44" s="2108"/>
      <c r="F44" s="2108"/>
      <c r="G44" s="2108"/>
      <c r="H44" s="2108"/>
      <c r="I44" s="2109" t="str">
        <f>S43&amp;".1"</f>
        <v>...1</v>
      </c>
      <c r="J44" s="1393"/>
      <c r="K44" s="1393"/>
      <c r="L44" s="1394"/>
      <c r="P44" s="2111">
        <v>1</v>
      </c>
      <c r="Q44" s="1480"/>
      <c r="R44" s="352"/>
      <c r="S44" s="1487" t="str">
        <f>$I44</f>
        <v>...1</v>
      </c>
      <c r="T44" s="273" t="s">
        <v>530</v>
      </c>
      <c r="U44" s="288"/>
      <c r="V44" s="2194"/>
      <c r="W44" s="2195"/>
      <c r="X44" s="2195"/>
      <c r="Y44" s="2195"/>
      <c r="Z44" s="2195"/>
      <c r="AA44" s="2195"/>
      <c r="AB44" s="2196"/>
      <c r="AC44" s="2197"/>
      <c r="AD44" s="2198"/>
      <c r="AE44" s="2198"/>
      <c r="AF44" s="2198"/>
      <c r="AG44" s="2198"/>
      <c r="AH44" s="2198"/>
      <c r="AI44" s="2198"/>
      <c r="AJ44" s="2199"/>
      <c r="AK44" s="1286" t="s">
        <v>531</v>
      </c>
      <c r="AM44" s="506"/>
      <c r="AN44" s="506" t="str">
        <f>IF(T44="","",T44)</f>
        <v>Наименование признака дифференциации</v>
      </c>
      <c r="AO44" s="506"/>
      <c r="AP44" s="506"/>
    </row>
    <row customHeight="1" ht="23.25">
      <c r="A45" s="1393" t="s">
        <v>276</v>
      </c>
      <c r="B45" s="1393" t="s">
        <v>277</v>
      </c>
      <c r="C45" s="1393" t="s">
        <v>278</v>
      </c>
      <c r="D45" s="1393" t="s">
        <v>543</v>
      </c>
      <c r="E45" s="2108"/>
      <c r="F45" s="2108"/>
      <c r="G45" s="2108"/>
      <c r="H45" s="2108"/>
      <c r="I45" s="2110"/>
      <c r="J45" s="2109" t="str">
        <f>I44&amp;".1"</f>
        <v>...1.1</v>
      </c>
      <c r="K45" s="1393"/>
      <c r="L45" s="1394" t="s">
        <v>453</v>
      </c>
      <c r="P45" s="2111"/>
      <c r="Q45" s="2111">
        <v>1</v>
      </c>
      <c r="R45" s="353"/>
      <c r="S45" s="1487" t="str">
        <f>$J45</f>
        <v>...1.1</v>
      </c>
      <c r="T45" s="274" t="s">
        <v>454</v>
      </c>
      <c r="U45" s="288"/>
      <c r="V45" s="2095"/>
      <c r="W45" s="2096"/>
      <c r="X45" s="2096"/>
      <c r="Y45" s="2096"/>
      <c r="Z45" s="2096"/>
      <c r="AA45" s="2096"/>
      <c r="AB45" s="2097"/>
      <c r="AC45" s="2095"/>
      <c r="AD45" s="2096"/>
      <c r="AE45" s="2096"/>
      <c r="AF45" s="2096"/>
      <c r="AG45" s="2096"/>
      <c r="AH45" s="2096"/>
      <c r="AI45" s="2096"/>
      <c r="AJ45" s="2097"/>
      <c r="AK45" s="1337" t="s">
        <v>532</v>
      </c>
      <c r="AM45" s="506"/>
      <c r="AN45" s="506" t="str">
        <f>IF(T45="","",T45)</f>
        <v>Группа потребителей</v>
      </c>
      <c r="AO45" s="506"/>
      <c r="AP45" s="506"/>
    </row>
    <row customHeight="1" ht="23.25">
      <c r="A46" s="1393" t="s">
        <v>276</v>
      </c>
      <c r="B46" s="1393" t="s">
        <v>277</v>
      </c>
      <c r="C46" s="1393" t="s">
        <v>278</v>
      </c>
      <c r="D46" s="1393" t="s">
        <v>543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276</v>
      </c>
      <c r="B47" s="1393" t="s">
        <v>277</v>
      </c>
      <c r="C47" s="1393" t="s">
        <v>278</v>
      </c>
      <c r="D47" s="1393" t="s">
        <v>543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276</v>
      </c>
      <c r="B48" s="1393" t="s">
        <v>277</v>
      </c>
      <c r="C48" s="1393" t="s">
        <v>278</v>
      </c>
      <c r="D48" s="1393" t="s">
        <v>543</v>
      </c>
      <c r="E48" s="2108"/>
      <c r="F48" s="2108"/>
      <c r="G48" s="2108"/>
      <c r="H48" s="2108"/>
      <c r="I48" s="2110"/>
      <c r="J48" s="2109"/>
      <c r="K48" s="1393"/>
      <c r="L48" s="1394"/>
      <c r="P48" s="2111"/>
      <c r="Q48" s="2111"/>
      <c r="R48" s="352"/>
      <c r="S48" s="1308"/>
      <c r="T48" s="275" t="s">
        <v>533</v>
      </c>
      <c r="U48" s="367"/>
      <c r="V48" s="367"/>
      <c r="W48" s="367"/>
      <c r="X48" s="367"/>
      <c r="Y48" s="367"/>
      <c r="Z48" s="367"/>
      <c r="AA48" s="367"/>
      <c r="AB48" s="367"/>
      <c r="AC48" s="367"/>
      <c r="AD48" s="367"/>
      <c r="AE48" s="367"/>
      <c r="AF48" s="367"/>
      <c r="AG48" s="367"/>
      <c r="AH48" s="367"/>
      <c r="AI48" s="367"/>
      <c r="AJ48" s="367"/>
      <c r="AK48" s="1286" t="s">
        <v>534</v>
      </c>
      <c r="AM48" s="506"/>
      <c r="AN48" s="506" t="str">
        <f>IF(T48="","",T48)</f>
        <v>Добавить значение признака дифференциации</v>
      </c>
      <c r="AO48" s="506"/>
      <c r="AP48" s="506"/>
    </row>
    <row customHeight="1" ht="21">
      <c r="A49" s="1393" t="s">
        <v>276</v>
      </c>
      <c r="B49" s="1393" t="s">
        <v>277</v>
      </c>
      <c r="C49" s="1393" t="s">
        <v>278</v>
      </c>
      <c r="D49" s="1393" t="s">
        <v>543</v>
      </c>
      <c r="E49" s="2108"/>
      <c r="F49" s="2108"/>
      <c r="G49" s="2108"/>
      <c r="H49" s="2108"/>
      <c r="I49" s="2109"/>
      <c r="J49" s="1393"/>
      <c r="K49" s="1393"/>
      <c r="L49" s="1394"/>
      <c r="P49" s="2111"/>
      <c r="Q49" s="1480"/>
      <c r="R49" s="352"/>
      <c r="S49" s="1308"/>
      <c r="T49" s="364" t="s">
        <v>459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276</v>
      </c>
      <c r="B50" s="1393" t="s">
        <v>277</v>
      </c>
      <c r="C50" s="1393" t="s">
        <v>278</v>
      </c>
      <c r="D50" s="1393" t="s">
        <v>543</v>
      </c>
      <c r="E50" s="2108"/>
      <c r="F50" s="2108"/>
      <c r="G50" s="2108"/>
      <c r="H50" s="2107"/>
      <c r="I50" s="1393"/>
      <c r="J50" s="1393"/>
      <c r="K50" s="1393"/>
      <c r="L50" s="1394"/>
      <c r="M50" s="1395"/>
      <c r="N50" s="1395"/>
      <c r="O50" s="543"/>
      <c r="P50" s="356"/>
      <c r="Q50" s="376"/>
      <c r="R50" s="351"/>
      <c r="S50" s="1308"/>
      <c r="T50" s="372" t="s">
        <v>535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276</v>
      </c>
      <c r="B51" s="1373" t="s">
        <v>277</v>
      </c>
      <c r="C51" s="1344"/>
      <c r="D51" s="1344"/>
      <c r="E51" s="2108"/>
      <c r="F51" s="2107"/>
      <c r="G51" s="1344"/>
      <c r="H51" s="1344"/>
      <c r="I51" s="1344"/>
      <c r="J51" s="1344"/>
      <c r="K51" s="1344"/>
      <c r="L51" s="1488"/>
      <c r="M51" s="1351"/>
      <c r="N51" s="1351"/>
      <c r="P51" s="1346"/>
      <c r="Q51" s="1347"/>
      <c r="R51" s="1346"/>
      <c r="S51" s="1352"/>
      <c r="T51" s="1355" t="s">
        <v>192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276</v>
      </c>
      <c r="B52" s="1373"/>
      <c r="C52" s="1373"/>
      <c r="D52" s="1373"/>
      <c r="E52" s="2107"/>
      <c r="F52" s="1373"/>
      <c r="G52" s="1373"/>
      <c r="H52" s="1373"/>
      <c r="I52" s="1373"/>
      <c r="J52" s="1373"/>
      <c r="K52" s="1373"/>
      <c r="L52" s="1376"/>
      <c r="M52" s="1351"/>
      <c r="N52" s="1351"/>
      <c r="O52" s="524"/>
      <c r="P52" s="385"/>
      <c r="Q52" s="1374"/>
      <c r="R52" s="385"/>
      <c r="S52" s="1352"/>
      <c r="T52" s="1355" t="s">
        <v>211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3465E-9E02-2FFF-239D-0290A3B9628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6133" width="19.140625" hidden="1" customWidth="1"/>
    <col min="13" max="14" style="3332" width="12.28125" hidden="1" customWidth="1"/>
    <col min="15" max="15" style="3332" width="23.421875" hidden="1" customWidth="1"/>
    <col min="16" max="16" style="6138" width="3.7109375" customWidth="1"/>
    <col min="17" max="18" style="3409" width="3.7109375" customWidth="1"/>
    <col min="19" max="19" style="3410" width="12.7109375" customWidth="1"/>
    <col min="20" max="20" style="2983" width="35.7109375" customWidth="1"/>
    <col min="21" max="21" style="2983" width="0.140625" customWidth="1"/>
    <col min="22" max="24" style="2983" width="24.7109375" hidden="1" customWidth="1"/>
    <col min="25" max="25" style="2983" width="11.7109375" hidden="1" customWidth="1"/>
    <col min="26" max="26" style="2983" width="3.7109375" hidden="1" customWidth="1"/>
    <col min="27" max="27" style="2983" width="11.7109375" hidden="1" customWidth="1"/>
    <col min="28" max="28" style="2983" width="8.57421875" hidden="1" customWidth="1"/>
    <col min="29" max="31" style="2983" width="24.7109375" customWidth="1"/>
    <col min="32" max="32" style="2983" width="11.7109375" customWidth="1"/>
    <col min="33" max="33" style="2983" width="3.7109375" customWidth="1"/>
    <col min="34" max="34" style="2983" width="11.7109375" customWidth="1"/>
    <col min="35" max="35" style="2983" width="8.57421875" hidden="1" customWidth="1"/>
    <col min="36" max="36" style="2983" width="4.7109375" customWidth="1"/>
    <col min="37" max="37" style="298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140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444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528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530</v>
      </c>
      <c r="U5" s="288"/>
      <c r="V5" s="2194"/>
      <c r="W5" s="2195"/>
      <c r="X5" s="2195"/>
      <c r="Y5" s="2195"/>
      <c r="Z5" s="2195"/>
      <c r="AA5" s="2195"/>
      <c r="AB5" s="2196"/>
      <c r="AC5" s="2197"/>
      <c r="AD5" s="2198"/>
      <c r="AE5" s="2198"/>
      <c r="AF5" s="2198"/>
      <c r="AG5" s="2198"/>
      <c r="AH5" s="2198"/>
      <c r="AI5" s="2198"/>
      <c r="AJ5" s="2199"/>
      <c r="AK5" s="1286" t="s">
        <v>531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453</v>
      </c>
      <c r="P6" s="2111"/>
      <c r="Q6" s="2111">
        <v>1</v>
      </c>
      <c r="R6" s="353"/>
      <c r="S6" s="1487">
        <f>$J6</f>
      </c>
      <c r="T6" s="274" t="s">
        <v>454</v>
      </c>
      <c r="U6" s="288"/>
      <c r="V6" s="2095"/>
      <c r="W6" s="2096"/>
      <c r="X6" s="2096"/>
      <c r="Y6" s="2096"/>
      <c r="Z6" s="2096"/>
      <c r="AA6" s="2096"/>
      <c r="AB6" s="2097"/>
      <c r="AC6" s="2095"/>
      <c r="AD6" s="2096"/>
      <c r="AE6" s="2096"/>
      <c r="AF6" s="2096"/>
      <c r="AG6" s="2096"/>
      <c r="AH6" s="2096"/>
      <c r="AI6" s="2096"/>
      <c r="AJ6" s="2097"/>
      <c r="AK6" s="1337" t="s">
        <v>532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533</v>
      </c>
      <c r="U9" s="367"/>
      <c r="V9" s="367"/>
      <c r="W9" s="367"/>
      <c r="X9" s="367"/>
      <c r="Y9" s="367"/>
      <c r="Z9" s="367"/>
      <c r="AA9" s="367"/>
      <c r="AB9" s="367"/>
      <c r="AC9" s="367"/>
      <c r="AD9" s="367"/>
      <c r="AE9" s="367"/>
      <c r="AF9" s="367"/>
      <c r="AG9" s="367"/>
      <c r="AH9" s="367"/>
      <c r="AI9" s="367"/>
      <c r="AJ9" s="367"/>
      <c r="AK9" s="1286" t="s">
        <v>534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459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192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461</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462</v>
      </c>
      <c r="P20" s="1392"/>
      <c r="Q20" s="1472"/>
      <c r="R20" s="1472"/>
      <c r="S20" s="735"/>
      <c r="T20" s="1168" t="s">
        <v>463</v>
      </c>
      <c r="Z20" s="172" t="s">
        <v>464</v>
      </c>
      <c r="AB20" s="172" t="s">
        <v>465</v>
      </c>
      <c r="AC20" s="1168" t="s">
        <v>463</v>
      </c>
      <c r="AG20" s="172" t="s">
        <v>466</v>
      </c>
      <c r="AI20" s="172" t="s">
        <v>465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3" customFormat="1" customHeight="1" ht="18.75">
      <c r="A28" s="1398"/>
      <c r="B28" s="1398"/>
      <c r="C28" s="1398"/>
      <c r="D28" s="1398"/>
      <c r="E28" s="1398"/>
      <c r="F28" s="1398"/>
      <c r="G28" s="1398"/>
      <c r="H28" s="1398"/>
      <c r="I28" s="1398"/>
      <c r="J28" s="1398"/>
      <c r="K28" s="1398"/>
      <c r="L28" s="1399"/>
      <c r="M28" s="1398"/>
      <c r="N28" s="1398"/>
      <c r="O28" s="1398"/>
      <c r="S28" s="2098" t="s">
        <v>467</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3" customFormat="1" customHeight="1" ht="18.75">
      <c r="A29" s="1398"/>
      <c r="B29" s="1398"/>
      <c r="C29" s="1398"/>
      <c r="D29" s="1398"/>
      <c r="E29" s="1398"/>
      <c r="F29" s="1398"/>
      <c r="G29" s="1398"/>
      <c r="H29" s="1398"/>
      <c r="I29" s="1398"/>
      <c r="J29" s="1398"/>
      <c r="K29" s="1398"/>
      <c r="L29" s="1399"/>
      <c r="M29" s="1398"/>
      <c r="N29" s="1398"/>
      <c r="O29" s="1398"/>
      <c r="S29" s="2098" t="s">
        <v>468</v>
      </c>
      <c r="T29" s="2098"/>
      <c r="U29" s="1402"/>
      <c r="V29" s="2100" t="str">
        <f>IF(TITLE_NUMBER_PR_CHANGE="",IF(TITLE_NUMBER_PR="","",TITLE_NUMBER_PR),TITLE_NUMBER_PR_CHANGE)</f>
        <v>51/11</v>
      </c>
      <c r="W29" s="2100"/>
      <c r="X29" s="2100"/>
      <c r="Y29" s="2100"/>
      <c r="Z29" s="2100"/>
      <c r="AA29" s="2100"/>
      <c r="AB29" s="322"/>
      <c r="AC29" s="2100" t="str">
        <f>IF(TITLE_NUMBER_PR_CHANGE="",IF(TITLE_NUMBER_PR="","",TITLE_NUMBER_PR),TITLE_NUMBER_PR_CHANGE)</f>
        <v>51/11</v>
      </c>
      <c r="AD29" s="2100"/>
      <c r="AE29" s="2100"/>
      <c r="AF29" s="2100"/>
      <c r="AG29" s="2100"/>
      <c r="AH29" s="2100"/>
      <c r="AI29" s="322"/>
      <c r="AJ29" s="322"/>
      <c r="AK29" s="268"/>
      <c r="AL29" s="368"/>
      <c r="AM29" s="368"/>
      <c r="AN29" s="368"/>
      <c r="AO29" s="368"/>
      <c r="AP29" s="368"/>
    </row>
    <row s="33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https://npa.gov-murman.ru/bitrix/components/b1team/govmurman.element.file/download.php?ID=508451&amp;FID=750724</v>
      </c>
      <c r="W30" s="2100"/>
      <c r="X30" s="2100"/>
      <c r="Y30" s="2100"/>
      <c r="Z30" s="2100"/>
      <c r="AA30" s="2100"/>
      <c r="AB30" s="322"/>
      <c r="AC30" s="2100" t="str">
        <f>IF(TITLE_IST_PUB_CHANGE="",IF(TITLE_IST_PUB="","",TITLE_IST_PUB),TITLE_IST_PUB_CHANGE)</f>
        <v>https://npa.gov-murman.ru/bitrix/components/b1team/govmurman.element.file/download.php?ID=508451&amp;FID=750724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3" customFormat="1" customHeight="1" ht="18.75" hidden="1">
      <c r="A32" s="1398"/>
      <c r="B32" s="1398"/>
      <c r="C32" s="1398"/>
      <c r="D32" s="1398"/>
      <c r="E32" s="1398"/>
      <c r="F32" s="1398"/>
      <c r="G32" s="1398"/>
      <c r="H32" s="1398"/>
      <c r="I32" s="1398"/>
      <c r="J32" s="1398"/>
      <c r="K32" s="1398"/>
      <c r="L32" s="1399"/>
      <c r="M32" s="1398"/>
      <c r="N32" s="1398"/>
      <c r="O32" s="1398"/>
      <c r="S32" s="2098" t="s">
        <v>469</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3" customFormat="1" customHeight="1" ht="18.75" hidden="1">
      <c r="A33" s="1398"/>
      <c r="B33" s="1398"/>
      <c r="C33" s="1398"/>
      <c r="D33" s="1398"/>
      <c r="E33" s="1398"/>
      <c r="F33" s="1398"/>
      <c r="G33" s="1398"/>
      <c r="H33" s="1398"/>
      <c r="I33" s="1398"/>
      <c r="J33" s="1398"/>
      <c r="K33" s="1398"/>
      <c r="L33" s="1399"/>
      <c r="M33" s="1398"/>
      <c r="N33" s="1398"/>
      <c r="O33" s="1398"/>
      <c r="S33" s="2098" t="s">
        <v>470</v>
      </c>
      <c r="T33" s="2098"/>
      <c r="U33" s="1402"/>
      <c r="V33" s="2100" t="str">
        <f>IF(TITLE_NUMBER_PR_CHANGE="",IF(TITLE_NUMBER_PR="","",TITLE_NUMBER_PR),TITLE_NUMBER_PR_CHANGE)</f>
        <v>51/11</v>
      </c>
      <c r="W33" s="2100"/>
      <c r="X33" s="2100"/>
      <c r="Y33" s="2100"/>
      <c r="Z33" s="2100"/>
      <c r="AA33" s="2100"/>
      <c r="AB33" s="322"/>
      <c r="AC33" s="2100" t="str">
        <f>IF(TITLE_NUMBER_PR_CHANGE="",IF(TITLE_NUMBER_PR="","",TITLE_NUMBER_PR),TITLE_NUMBER_PR_CHANGE)</f>
        <v>51/11</v>
      </c>
      <c r="AD33" s="2100"/>
      <c r="AE33" s="2100"/>
      <c r="AF33" s="2100"/>
      <c r="AG33" s="2100"/>
      <c r="AH33" s="2100"/>
      <c r="AI33" s="322"/>
      <c r="AJ33" s="322"/>
      <c r="AK33" s="268"/>
      <c r="AL33" s="368"/>
      <c r="AM33" s="368"/>
      <c r="AN33" s="368"/>
      <c r="AO33" s="368"/>
      <c r="AP33" s="368"/>
    </row>
    <row s="334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471</v>
      </c>
      <c r="AC34" s="322"/>
      <c r="AD34" s="322"/>
      <c r="AE34" s="322"/>
      <c r="AF34" s="322"/>
      <c r="AG34" s="322"/>
      <c r="AH34" s="322"/>
      <c r="AI34" s="266" t="s">
        <v>471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345</v>
      </c>
      <c r="T36" s="1971"/>
      <c r="U36" s="1971"/>
      <c r="V36" s="1971"/>
      <c r="W36" s="1971"/>
      <c r="X36" s="1971"/>
      <c r="Y36" s="1971"/>
      <c r="Z36" s="1971"/>
      <c r="AA36" s="1971"/>
      <c r="AB36" s="1971"/>
      <c r="AC36" s="1971"/>
      <c r="AD36" s="1971"/>
      <c r="AE36" s="1971"/>
      <c r="AF36" s="1971"/>
      <c r="AG36" s="1971"/>
      <c r="AH36" s="1971"/>
      <c r="AI36" s="1971"/>
      <c r="AJ36" s="1971"/>
      <c r="AK36" s="1971" t="s">
        <v>346</v>
      </c>
    </row>
    <row customHeight="1" ht="14.25">
      <c r="Q37" s="377"/>
      <c r="R37" s="377"/>
      <c r="S37" s="2125" t="s">
        <v>87</v>
      </c>
      <c r="T37" s="2062" t="s">
        <v>472</v>
      </c>
      <c r="U37" s="289"/>
      <c r="V37" s="2126" t="s">
        <v>473</v>
      </c>
      <c r="W37" s="2127"/>
      <c r="X37" s="2127"/>
      <c r="Y37" s="2127"/>
      <c r="Z37" s="2127"/>
      <c r="AA37" s="2128"/>
      <c r="AB37" s="2129" t="s">
        <v>474</v>
      </c>
      <c r="AC37" s="2126" t="s">
        <v>473</v>
      </c>
      <c r="AD37" s="2127"/>
      <c r="AE37" s="2127"/>
      <c r="AF37" s="2127"/>
      <c r="AG37" s="2127"/>
      <c r="AH37" s="2128"/>
      <c r="AI37" s="2129" t="s">
        <v>475</v>
      </c>
      <c r="AJ37" s="2132" t="s">
        <v>476</v>
      </c>
      <c r="AK37" s="1971"/>
    </row>
    <row customHeight="1" ht="33.75">
      <c r="Q38" s="377"/>
      <c r="R38" s="377"/>
      <c r="S38" s="2125"/>
      <c r="T38" s="2062"/>
      <c r="U38" s="1038"/>
      <c r="V38" s="1482" t="s">
        <v>536</v>
      </c>
      <c r="W38" s="2118" t="s">
        <v>479</v>
      </c>
      <c r="X38" s="2120"/>
      <c r="Y38" s="2118" t="s">
        <v>480</v>
      </c>
      <c r="Z38" s="2119"/>
      <c r="AA38" s="2120"/>
      <c r="AB38" s="2130"/>
      <c r="AC38" s="1482" t="s">
        <v>536</v>
      </c>
      <c r="AD38" s="2118" t="s">
        <v>479</v>
      </c>
      <c r="AE38" s="2120"/>
      <c r="AF38" s="2118" t="s">
        <v>480</v>
      </c>
      <c r="AG38" s="2119"/>
      <c r="AH38" s="2120"/>
      <c r="AI38" s="2130"/>
      <c r="AJ38" s="2133"/>
      <c r="AK38" s="1971"/>
    </row>
    <row customHeight="1" ht="33.75">
      <c r="A39" s="1400"/>
      <c r="B39" s="1400" t="s">
        <v>152</v>
      </c>
      <c r="C39" s="1400" t="s">
        <v>153</v>
      </c>
      <c r="D39" s="1400" t="s">
        <v>154</v>
      </c>
      <c r="E39" s="1394" t="s">
        <v>481</v>
      </c>
      <c r="F39" s="1394" t="s">
        <v>482</v>
      </c>
      <c r="G39" s="1394" t="s">
        <v>483</v>
      </c>
      <c r="H39" s="1394"/>
      <c r="I39" s="1394" t="s">
        <v>537</v>
      </c>
      <c r="J39" s="1394" t="s">
        <v>486</v>
      </c>
      <c r="K39" s="1394" t="s">
        <v>538</v>
      </c>
      <c r="L39" s="1394" t="s">
        <v>462</v>
      </c>
      <c r="Q39" s="377"/>
      <c r="R39" s="377"/>
      <c r="S39" s="2125"/>
      <c r="T39" s="2062"/>
      <c r="U39" s="290"/>
      <c r="V39" s="1482" t="s">
        <v>539</v>
      </c>
      <c r="W39" s="1237" t="s">
        <v>540</v>
      </c>
      <c r="X39" s="1237" t="s">
        <v>541</v>
      </c>
      <c r="Y39" s="1485" t="s">
        <v>490</v>
      </c>
      <c r="Z39" s="2121" t="s">
        <v>491</v>
      </c>
      <c r="AA39" s="2122"/>
      <c r="AB39" s="2131"/>
      <c r="AC39" s="1482" t="s">
        <v>539</v>
      </c>
      <c r="AD39" s="1237" t="s">
        <v>540</v>
      </c>
      <c r="AE39" s="1237" t="s">
        <v>541</v>
      </c>
      <c r="AF39" s="1485" t="s">
        <v>490</v>
      </c>
      <c r="AG39" s="2121" t="s">
        <v>491</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128</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281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140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281</v>
      </c>
      <c r="B42" s="1393" t="s">
        <v>282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444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445</v>
      </c>
      <c r="AM42" s="506"/>
      <c r="AN42" s="506" t="str">
        <f>IF(T42="","",T42)</f>
        <v>Территория действия тарифа</v>
      </c>
      <c r="AO42" s="506"/>
      <c r="AP42" s="506"/>
    </row>
    <row customHeight="1" ht="23.25">
      <c r="A43" s="1393" t="s">
        <v>281</v>
      </c>
      <c r="B43" s="1393" t="s">
        <v>282</v>
      </c>
      <c r="C43" s="1393" t="s">
        <v>283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528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529</v>
      </c>
      <c r="AM43" s="506"/>
      <c r="AN43" s="506" t="str">
        <f>IF(T43="","",T43)</f>
        <v>Наименование централизованной системы холодного водоснабжения</v>
      </c>
      <c r="AO43" s="506"/>
      <c r="AP43" s="506"/>
    </row>
    <row customHeight="1" ht="23.25">
      <c r="A44" s="1393" t="s">
        <v>281</v>
      </c>
      <c r="B44" s="1393" t="s">
        <v>282</v>
      </c>
      <c r="C44" s="1393" t="s">
        <v>283</v>
      </c>
      <c r="D44" s="1393" t="s">
        <v>544</v>
      </c>
      <c r="E44" s="2108"/>
      <c r="F44" s="2108"/>
      <c r="G44" s="2108"/>
      <c r="H44" s="2108"/>
      <c r="I44" s="2109" t="str">
        <f>S43&amp;".1"</f>
        <v>...1</v>
      </c>
      <c r="J44" s="1393"/>
      <c r="K44" s="1393"/>
      <c r="L44" s="1394"/>
      <c r="P44" s="2111">
        <v>1</v>
      </c>
      <c r="Q44" s="1480"/>
      <c r="R44" s="352"/>
      <c r="S44" s="1487" t="str">
        <f>$I44</f>
        <v>...1</v>
      </c>
      <c r="T44" s="273" t="s">
        <v>530</v>
      </c>
      <c r="U44" s="288"/>
      <c r="V44" s="2194"/>
      <c r="W44" s="2195"/>
      <c r="X44" s="2195"/>
      <c r="Y44" s="2195"/>
      <c r="Z44" s="2195"/>
      <c r="AA44" s="2195"/>
      <c r="AB44" s="2196"/>
      <c r="AC44" s="2197"/>
      <c r="AD44" s="2198"/>
      <c r="AE44" s="2198"/>
      <c r="AF44" s="2198"/>
      <c r="AG44" s="2198"/>
      <c r="AH44" s="2198"/>
      <c r="AI44" s="2198"/>
      <c r="AJ44" s="2199"/>
      <c r="AK44" s="1286" t="s">
        <v>531</v>
      </c>
      <c r="AM44" s="506"/>
      <c r="AN44" s="506" t="str">
        <f>IF(T44="","",T44)</f>
        <v>Наименование признака дифференциации</v>
      </c>
      <c r="AO44" s="506"/>
      <c r="AP44" s="506"/>
    </row>
    <row customHeight="1" ht="23.25">
      <c r="A45" s="1393" t="s">
        <v>281</v>
      </c>
      <c r="B45" s="1393" t="s">
        <v>282</v>
      </c>
      <c r="C45" s="1393" t="s">
        <v>283</v>
      </c>
      <c r="D45" s="1393" t="s">
        <v>544</v>
      </c>
      <c r="E45" s="2108"/>
      <c r="F45" s="2108"/>
      <c r="G45" s="2108"/>
      <c r="H45" s="2108"/>
      <c r="I45" s="2110"/>
      <c r="J45" s="2109" t="str">
        <f>I44&amp;".1"</f>
        <v>...1.1</v>
      </c>
      <c r="K45" s="1393"/>
      <c r="L45" s="1394" t="s">
        <v>453</v>
      </c>
      <c r="P45" s="2111"/>
      <c r="Q45" s="2111">
        <v>1</v>
      </c>
      <c r="R45" s="353"/>
      <c r="S45" s="1487" t="str">
        <f>$J45</f>
        <v>...1.1</v>
      </c>
      <c r="T45" s="274" t="s">
        <v>454</v>
      </c>
      <c r="U45" s="288"/>
      <c r="V45" s="2095"/>
      <c r="W45" s="2096"/>
      <c r="X45" s="2096"/>
      <c r="Y45" s="2096"/>
      <c r="Z45" s="2096"/>
      <c r="AA45" s="2096"/>
      <c r="AB45" s="2097"/>
      <c r="AC45" s="2095"/>
      <c r="AD45" s="2096"/>
      <c r="AE45" s="2096"/>
      <c r="AF45" s="2096"/>
      <c r="AG45" s="2096"/>
      <c r="AH45" s="2096"/>
      <c r="AI45" s="2096"/>
      <c r="AJ45" s="2097"/>
      <c r="AK45" s="1337" t="s">
        <v>532</v>
      </c>
      <c r="AM45" s="506"/>
      <c r="AN45" s="506" t="str">
        <f>IF(T45="","",T45)</f>
        <v>Группа потребителей</v>
      </c>
      <c r="AO45" s="506"/>
      <c r="AP45" s="506"/>
    </row>
    <row customHeight="1" ht="23.25">
      <c r="A46" s="1393" t="s">
        <v>281</v>
      </c>
      <c r="B46" s="1393" t="s">
        <v>282</v>
      </c>
      <c r="C46" s="1393" t="s">
        <v>283</v>
      </c>
      <c r="D46" s="1393" t="s">
        <v>544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281</v>
      </c>
      <c r="B47" s="1393" t="s">
        <v>282</v>
      </c>
      <c r="C47" s="1393" t="s">
        <v>283</v>
      </c>
      <c r="D47" s="1393" t="s">
        <v>544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281</v>
      </c>
      <c r="B48" s="1393" t="s">
        <v>282</v>
      </c>
      <c r="C48" s="1393" t="s">
        <v>283</v>
      </c>
      <c r="D48" s="1393" t="s">
        <v>544</v>
      </c>
      <c r="E48" s="2108"/>
      <c r="F48" s="2108"/>
      <c r="G48" s="2108"/>
      <c r="H48" s="2108"/>
      <c r="I48" s="2110"/>
      <c r="J48" s="2109"/>
      <c r="K48" s="1393"/>
      <c r="L48" s="1394"/>
      <c r="P48" s="2111"/>
      <c r="Q48" s="2111"/>
      <c r="R48" s="352"/>
      <c r="S48" s="1308"/>
      <c r="T48" s="275" t="s">
        <v>533</v>
      </c>
      <c r="U48" s="367"/>
      <c r="V48" s="367"/>
      <c r="W48" s="367"/>
      <c r="X48" s="367"/>
      <c r="Y48" s="367"/>
      <c r="Z48" s="367"/>
      <c r="AA48" s="367"/>
      <c r="AB48" s="367"/>
      <c r="AC48" s="367"/>
      <c r="AD48" s="367"/>
      <c r="AE48" s="367"/>
      <c r="AF48" s="367"/>
      <c r="AG48" s="367"/>
      <c r="AH48" s="367"/>
      <c r="AI48" s="367"/>
      <c r="AJ48" s="367"/>
      <c r="AK48" s="1286" t="s">
        <v>534</v>
      </c>
      <c r="AM48" s="506"/>
      <c r="AN48" s="506" t="str">
        <f>IF(T48="","",T48)</f>
        <v>Добавить значение признака дифференциации</v>
      </c>
      <c r="AO48" s="506"/>
      <c r="AP48" s="506"/>
    </row>
    <row customHeight="1" ht="21">
      <c r="A49" s="1393" t="s">
        <v>281</v>
      </c>
      <c r="B49" s="1393" t="s">
        <v>282</v>
      </c>
      <c r="C49" s="1393" t="s">
        <v>283</v>
      </c>
      <c r="D49" s="1393" t="s">
        <v>544</v>
      </c>
      <c r="E49" s="2108"/>
      <c r="F49" s="2108"/>
      <c r="G49" s="2108"/>
      <c r="H49" s="2108"/>
      <c r="I49" s="2109"/>
      <c r="J49" s="1393"/>
      <c r="K49" s="1393"/>
      <c r="L49" s="1394"/>
      <c r="P49" s="2111"/>
      <c r="Q49" s="1480"/>
      <c r="R49" s="352"/>
      <c r="S49" s="1308"/>
      <c r="T49" s="364" t="s">
        <v>459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281</v>
      </c>
      <c r="B50" s="1393" t="s">
        <v>282</v>
      </c>
      <c r="C50" s="1393" t="s">
        <v>283</v>
      </c>
      <c r="D50" s="1393" t="s">
        <v>544</v>
      </c>
      <c r="E50" s="2108"/>
      <c r="F50" s="2108"/>
      <c r="G50" s="2108"/>
      <c r="H50" s="2107"/>
      <c r="I50" s="1393"/>
      <c r="J50" s="1393"/>
      <c r="K50" s="1393"/>
      <c r="L50" s="1394"/>
      <c r="M50" s="1395"/>
      <c r="N50" s="1395"/>
      <c r="O50" s="543"/>
      <c r="P50" s="356"/>
      <c r="Q50" s="376"/>
      <c r="R50" s="351"/>
      <c r="S50" s="1308"/>
      <c r="T50" s="372" t="s">
        <v>535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281</v>
      </c>
      <c r="B51" s="1373" t="s">
        <v>282</v>
      </c>
      <c r="C51" s="1344"/>
      <c r="D51" s="1344"/>
      <c r="E51" s="2108"/>
      <c r="F51" s="2107"/>
      <c r="G51" s="1344"/>
      <c r="H51" s="1344"/>
      <c r="I51" s="1344"/>
      <c r="J51" s="1344"/>
      <c r="K51" s="1344"/>
      <c r="L51" s="1488"/>
      <c r="M51" s="1351"/>
      <c r="N51" s="1351"/>
      <c r="P51" s="1346"/>
      <c r="Q51" s="1347"/>
      <c r="R51" s="1346"/>
      <c r="S51" s="1352"/>
      <c r="T51" s="1355" t="s">
        <v>192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281</v>
      </c>
      <c r="B52" s="1373"/>
      <c r="C52" s="1373"/>
      <c r="D52" s="1373"/>
      <c r="E52" s="2107"/>
      <c r="F52" s="1373"/>
      <c r="G52" s="1373"/>
      <c r="H52" s="1373"/>
      <c r="I52" s="1373"/>
      <c r="J52" s="1373"/>
      <c r="K52" s="1373"/>
      <c r="L52" s="1376"/>
      <c r="M52" s="1351"/>
      <c r="N52" s="1351"/>
      <c r="O52" s="524"/>
      <c r="P52" s="385"/>
      <c r="Q52" s="1374"/>
      <c r="R52" s="385"/>
      <c r="S52" s="1352"/>
      <c r="T52" s="1355" t="s">
        <v>211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5C454-EBA4-E248-0353-9254B6D736A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6133" width="19.140625" hidden="1" customWidth="1"/>
    <col min="13" max="14" style="3332" width="12.28125" hidden="1" customWidth="1"/>
    <col min="15" max="15" style="3332" width="23.421875" hidden="1" customWidth="1"/>
    <col min="16" max="16" style="6138" width="3.7109375" customWidth="1"/>
    <col min="17" max="18" style="3409" width="3.7109375" customWidth="1"/>
    <col min="19" max="19" style="3410" width="12.7109375" customWidth="1"/>
    <col min="20" max="20" style="2983" width="35.7109375" customWidth="1"/>
    <col min="21" max="21" style="2983" width="0.140625" customWidth="1"/>
    <col min="22" max="24" style="2983" width="24.7109375" hidden="1" customWidth="1"/>
    <col min="25" max="25" style="2983" width="11.7109375" hidden="1" customWidth="1"/>
    <col min="26" max="26" style="2983" width="3.7109375" hidden="1" customWidth="1"/>
    <col min="27" max="27" style="2983" width="11.7109375" hidden="1" customWidth="1"/>
    <col min="28" max="28" style="2983" width="8.57421875" hidden="1" customWidth="1"/>
    <col min="29" max="31" style="2983" width="24.7109375" customWidth="1"/>
    <col min="32" max="32" style="2983" width="11.7109375" customWidth="1"/>
    <col min="33" max="33" style="2983" width="3.7109375" customWidth="1"/>
    <col min="34" max="34" style="2983" width="11.7109375" customWidth="1"/>
    <col min="35" max="35" style="2983" width="8.57421875" hidden="1" customWidth="1"/>
    <col min="36" max="36" style="2983" width="4.7109375" customWidth="1"/>
    <col min="37" max="37" style="298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140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444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528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530</v>
      </c>
      <c r="U5" s="288"/>
      <c r="V5" s="2194"/>
      <c r="W5" s="2195"/>
      <c r="X5" s="2195"/>
      <c r="Y5" s="2195"/>
      <c r="Z5" s="2195"/>
      <c r="AA5" s="2195"/>
      <c r="AB5" s="2196"/>
      <c r="AC5" s="2197"/>
      <c r="AD5" s="2198"/>
      <c r="AE5" s="2198"/>
      <c r="AF5" s="2198"/>
      <c r="AG5" s="2198"/>
      <c r="AH5" s="2198"/>
      <c r="AI5" s="2198"/>
      <c r="AJ5" s="2199"/>
      <c r="AK5" s="1286" t="s">
        <v>531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453</v>
      </c>
      <c r="P6" s="2111"/>
      <c r="Q6" s="2111">
        <v>1</v>
      </c>
      <c r="R6" s="353"/>
      <c r="S6" s="1487">
        <f>$J6</f>
      </c>
      <c r="T6" s="274" t="s">
        <v>454</v>
      </c>
      <c r="U6" s="288"/>
      <c r="V6" s="2095"/>
      <c r="W6" s="2096"/>
      <c r="X6" s="2096"/>
      <c r="Y6" s="2096"/>
      <c r="Z6" s="2096"/>
      <c r="AA6" s="2096"/>
      <c r="AB6" s="2097"/>
      <c r="AC6" s="2095"/>
      <c r="AD6" s="2096"/>
      <c r="AE6" s="2096"/>
      <c r="AF6" s="2096"/>
      <c r="AG6" s="2096"/>
      <c r="AH6" s="2096"/>
      <c r="AI6" s="2096"/>
      <c r="AJ6" s="2097"/>
      <c r="AK6" s="1337" t="s">
        <v>532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533</v>
      </c>
      <c r="U9" s="367"/>
      <c r="V9" s="367"/>
      <c r="W9" s="367"/>
      <c r="X9" s="367"/>
      <c r="Y9" s="367"/>
      <c r="Z9" s="367"/>
      <c r="AA9" s="367"/>
      <c r="AB9" s="367"/>
      <c r="AC9" s="367"/>
      <c r="AD9" s="367"/>
      <c r="AE9" s="367"/>
      <c r="AF9" s="367"/>
      <c r="AG9" s="367"/>
      <c r="AH9" s="367"/>
      <c r="AI9" s="367"/>
      <c r="AJ9" s="367"/>
      <c r="AK9" s="1286" t="s">
        <v>534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459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192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461</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462</v>
      </c>
      <c r="P20" s="1392"/>
      <c r="Q20" s="1472"/>
      <c r="R20" s="1472"/>
      <c r="S20" s="735"/>
      <c r="T20" s="1168" t="s">
        <v>463</v>
      </c>
      <c r="Z20" s="172" t="s">
        <v>464</v>
      </c>
      <c r="AB20" s="172" t="s">
        <v>465</v>
      </c>
      <c r="AC20" s="1168" t="s">
        <v>463</v>
      </c>
      <c r="AG20" s="172" t="s">
        <v>466</v>
      </c>
      <c r="AI20" s="172" t="s">
        <v>465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3" customFormat="1" customHeight="1" ht="18.75">
      <c r="A28" s="1398"/>
      <c r="B28" s="1398"/>
      <c r="C28" s="1398"/>
      <c r="D28" s="1398"/>
      <c r="E28" s="1398"/>
      <c r="F28" s="1398"/>
      <c r="G28" s="1398"/>
      <c r="H28" s="1398"/>
      <c r="I28" s="1398"/>
      <c r="J28" s="1398"/>
      <c r="K28" s="1398"/>
      <c r="L28" s="1399"/>
      <c r="M28" s="1398"/>
      <c r="N28" s="1398"/>
      <c r="O28" s="1398"/>
      <c r="S28" s="2098" t="s">
        <v>467</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3" customFormat="1" customHeight="1" ht="18.75">
      <c r="A29" s="1398"/>
      <c r="B29" s="1398"/>
      <c r="C29" s="1398"/>
      <c r="D29" s="1398"/>
      <c r="E29" s="1398"/>
      <c r="F29" s="1398"/>
      <c r="G29" s="1398"/>
      <c r="H29" s="1398"/>
      <c r="I29" s="1398"/>
      <c r="J29" s="1398"/>
      <c r="K29" s="1398"/>
      <c r="L29" s="1399"/>
      <c r="M29" s="1398"/>
      <c r="N29" s="1398"/>
      <c r="O29" s="1398"/>
      <c r="S29" s="2098" t="s">
        <v>468</v>
      </c>
      <c r="T29" s="2098"/>
      <c r="U29" s="1402"/>
      <c r="V29" s="2100" t="str">
        <f>IF(TITLE_NUMBER_PR_CHANGE="",IF(TITLE_NUMBER_PR="","",TITLE_NUMBER_PR),TITLE_NUMBER_PR_CHANGE)</f>
        <v>51/11</v>
      </c>
      <c r="W29" s="2100"/>
      <c r="X29" s="2100"/>
      <c r="Y29" s="2100"/>
      <c r="Z29" s="2100"/>
      <c r="AA29" s="2100"/>
      <c r="AB29" s="322"/>
      <c r="AC29" s="2100" t="str">
        <f>IF(TITLE_NUMBER_PR_CHANGE="",IF(TITLE_NUMBER_PR="","",TITLE_NUMBER_PR),TITLE_NUMBER_PR_CHANGE)</f>
        <v>51/11</v>
      </c>
      <c r="AD29" s="2100"/>
      <c r="AE29" s="2100"/>
      <c r="AF29" s="2100"/>
      <c r="AG29" s="2100"/>
      <c r="AH29" s="2100"/>
      <c r="AI29" s="322"/>
      <c r="AJ29" s="322"/>
      <c r="AK29" s="268"/>
      <c r="AL29" s="368"/>
      <c r="AM29" s="368"/>
      <c r="AN29" s="368"/>
      <c r="AO29" s="368"/>
      <c r="AP29" s="368"/>
    </row>
    <row s="33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https://npa.gov-murman.ru/bitrix/components/b1team/govmurman.element.file/download.php?ID=508451&amp;FID=750724</v>
      </c>
      <c r="W30" s="2100"/>
      <c r="X30" s="2100"/>
      <c r="Y30" s="2100"/>
      <c r="Z30" s="2100"/>
      <c r="AA30" s="2100"/>
      <c r="AB30" s="322"/>
      <c r="AC30" s="2100" t="str">
        <f>IF(TITLE_IST_PUB_CHANGE="",IF(TITLE_IST_PUB="","",TITLE_IST_PUB),TITLE_IST_PUB_CHANGE)</f>
        <v>https://npa.gov-murman.ru/bitrix/components/b1team/govmurman.element.file/download.php?ID=508451&amp;FID=750724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3" customFormat="1" customHeight="1" ht="18.75" hidden="1">
      <c r="A32" s="1398"/>
      <c r="B32" s="1398"/>
      <c r="C32" s="1398"/>
      <c r="D32" s="1398"/>
      <c r="E32" s="1398"/>
      <c r="F32" s="1398"/>
      <c r="G32" s="1398"/>
      <c r="H32" s="1398"/>
      <c r="I32" s="1398"/>
      <c r="J32" s="1398"/>
      <c r="K32" s="1398"/>
      <c r="L32" s="1399"/>
      <c r="M32" s="1398"/>
      <c r="N32" s="1398"/>
      <c r="O32" s="1398"/>
      <c r="S32" s="2098" t="s">
        <v>469</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3" customFormat="1" customHeight="1" ht="18.75" hidden="1">
      <c r="A33" s="1398"/>
      <c r="B33" s="1398"/>
      <c r="C33" s="1398"/>
      <c r="D33" s="1398"/>
      <c r="E33" s="1398"/>
      <c r="F33" s="1398"/>
      <c r="G33" s="1398"/>
      <c r="H33" s="1398"/>
      <c r="I33" s="1398"/>
      <c r="J33" s="1398"/>
      <c r="K33" s="1398"/>
      <c r="L33" s="1399"/>
      <c r="M33" s="1398"/>
      <c r="N33" s="1398"/>
      <c r="O33" s="1398"/>
      <c r="S33" s="2098" t="s">
        <v>470</v>
      </c>
      <c r="T33" s="2098"/>
      <c r="U33" s="1402"/>
      <c r="V33" s="2100" t="str">
        <f>IF(TITLE_NUMBER_PR_CHANGE="",IF(TITLE_NUMBER_PR="","",TITLE_NUMBER_PR),TITLE_NUMBER_PR_CHANGE)</f>
        <v>51/11</v>
      </c>
      <c r="W33" s="2100"/>
      <c r="X33" s="2100"/>
      <c r="Y33" s="2100"/>
      <c r="Z33" s="2100"/>
      <c r="AA33" s="2100"/>
      <c r="AB33" s="322"/>
      <c r="AC33" s="2100" t="str">
        <f>IF(TITLE_NUMBER_PR_CHANGE="",IF(TITLE_NUMBER_PR="","",TITLE_NUMBER_PR),TITLE_NUMBER_PR_CHANGE)</f>
        <v>51/11</v>
      </c>
      <c r="AD33" s="2100"/>
      <c r="AE33" s="2100"/>
      <c r="AF33" s="2100"/>
      <c r="AG33" s="2100"/>
      <c r="AH33" s="2100"/>
      <c r="AI33" s="322"/>
      <c r="AJ33" s="322"/>
      <c r="AK33" s="268"/>
      <c r="AL33" s="368"/>
      <c r="AM33" s="368"/>
      <c r="AN33" s="368"/>
      <c r="AO33" s="368"/>
      <c r="AP33" s="368"/>
    </row>
    <row s="334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471</v>
      </c>
      <c r="AC34" s="322"/>
      <c r="AD34" s="322"/>
      <c r="AE34" s="322"/>
      <c r="AF34" s="322"/>
      <c r="AG34" s="322"/>
      <c r="AH34" s="322"/>
      <c r="AI34" s="266" t="s">
        <v>471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345</v>
      </c>
      <c r="T36" s="1971"/>
      <c r="U36" s="1971"/>
      <c r="V36" s="1971"/>
      <c r="W36" s="1971"/>
      <c r="X36" s="1971"/>
      <c r="Y36" s="1971"/>
      <c r="Z36" s="1971"/>
      <c r="AA36" s="1971"/>
      <c r="AB36" s="1971"/>
      <c r="AC36" s="1971"/>
      <c r="AD36" s="1971"/>
      <c r="AE36" s="1971"/>
      <c r="AF36" s="1971"/>
      <c r="AG36" s="1971"/>
      <c r="AH36" s="1971"/>
      <c r="AI36" s="1971"/>
      <c r="AJ36" s="1971"/>
      <c r="AK36" s="1971" t="s">
        <v>346</v>
      </c>
    </row>
    <row customHeight="1" ht="14.25">
      <c r="Q37" s="377"/>
      <c r="R37" s="377"/>
      <c r="S37" s="2125" t="s">
        <v>87</v>
      </c>
      <c r="T37" s="2062" t="s">
        <v>472</v>
      </c>
      <c r="U37" s="289"/>
      <c r="V37" s="2126" t="s">
        <v>473</v>
      </c>
      <c r="W37" s="2127"/>
      <c r="X37" s="2127"/>
      <c r="Y37" s="2127"/>
      <c r="Z37" s="2127"/>
      <c r="AA37" s="2128"/>
      <c r="AB37" s="2129" t="s">
        <v>474</v>
      </c>
      <c r="AC37" s="2126" t="s">
        <v>473</v>
      </c>
      <c r="AD37" s="2127"/>
      <c r="AE37" s="2127"/>
      <c r="AF37" s="2127"/>
      <c r="AG37" s="2127"/>
      <c r="AH37" s="2128"/>
      <c r="AI37" s="2129" t="s">
        <v>475</v>
      </c>
      <c r="AJ37" s="2132" t="s">
        <v>476</v>
      </c>
      <c r="AK37" s="1971"/>
    </row>
    <row customHeight="1" ht="33.75">
      <c r="Q38" s="377"/>
      <c r="R38" s="377"/>
      <c r="S38" s="2125"/>
      <c r="T38" s="2062"/>
      <c r="U38" s="1038"/>
      <c r="V38" s="1482" t="s">
        <v>536</v>
      </c>
      <c r="W38" s="2118" t="s">
        <v>479</v>
      </c>
      <c r="X38" s="2120"/>
      <c r="Y38" s="2118" t="s">
        <v>480</v>
      </c>
      <c r="Z38" s="2119"/>
      <c r="AA38" s="2120"/>
      <c r="AB38" s="2130"/>
      <c r="AC38" s="1482" t="s">
        <v>536</v>
      </c>
      <c r="AD38" s="2118" t="s">
        <v>479</v>
      </c>
      <c r="AE38" s="2120"/>
      <c r="AF38" s="2118" t="s">
        <v>480</v>
      </c>
      <c r="AG38" s="2119"/>
      <c r="AH38" s="2120"/>
      <c r="AI38" s="2130"/>
      <c r="AJ38" s="2133"/>
      <c r="AK38" s="1971"/>
    </row>
    <row customHeight="1" ht="33.75">
      <c r="A39" s="1400"/>
      <c r="B39" s="1400" t="s">
        <v>152</v>
      </c>
      <c r="C39" s="1400" t="s">
        <v>153</v>
      </c>
      <c r="D39" s="1400" t="s">
        <v>154</v>
      </c>
      <c r="E39" s="1394" t="s">
        <v>481</v>
      </c>
      <c r="F39" s="1394" t="s">
        <v>482</v>
      </c>
      <c r="G39" s="1394" t="s">
        <v>483</v>
      </c>
      <c r="H39" s="1394"/>
      <c r="I39" s="1394" t="s">
        <v>537</v>
      </c>
      <c r="J39" s="1394" t="s">
        <v>486</v>
      </c>
      <c r="K39" s="1394" t="s">
        <v>538</v>
      </c>
      <c r="L39" s="1394" t="s">
        <v>462</v>
      </c>
      <c r="Q39" s="377"/>
      <c r="R39" s="377"/>
      <c r="S39" s="2125"/>
      <c r="T39" s="2062"/>
      <c r="U39" s="290"/>
      <c r="V39" s="1482" t="s">
        <v>539</v>
      </c>
      <c r="W39" s="1237" t="s">
        <v>540</v>
      </c>
      <c r="X39" s="1237" t="s">
        <v>541</v>
      </c>
      <c r="Y39" s="1485" t="s">
        <v>490</v>
      </c>
      <c r="Z39" s="2121" t="s">
        <v>491</v>
      </c>
      <c r="AA39" s="2122"/>
      <c r="AB39" s="2131"/>
      <c r="AC39" s="1482" t="s">
        <v>539</v>
      </c>
      <c r="AD39" s="1237" t="s">
        <v>540</v>
      </c>
      <c r="AE39" s="1237" t="s">
        <v>541</v>
      </c>
      <c r="AF39" s="1485" t="s">
        <v>490</v>
      </c>
      <c r="AG39" s="2121" t="s">
        <v>491</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128</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286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140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286</v>
      </c>
      <c r="B42" s="1393" t="s">
        <v>287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444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445</v>
      </c>
      <c r="AM42" s="506"/>
      <c r="AN42" s="506" t="str">
        <f>IF(T42="","",T42)</f>
        <v>Территория действия тарифа</v>
      </c>
      <c r="AO42" s="506"/>
      <c r="AP42" s="506"/>
    </row>
    <row customHeight="1" ht="23.25">
      <c r="A43" s="1393" t="s">
        <v>286</v>
      </c>
      <c r="B43" s="1393" t="s">
        <v>287</v>
      </c>
      <c r="C43" s="1393" t="s">
        <v>288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528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529</v>
      </c>
      <c r="AM43" s="506"/>
      <c r="AN43" s="506" t="str">
        <f>IF(T43="","",T43)</f>
        <v>Наименование централизованной системы холодного водоснабжения</v>
      </c>
      <c r="AO43" s="506"/>
      <c r="AP43" s="506"/>
    </row>
    <row customHeight="1" ht="23.25">
      <c r="A44" s="1393" t="s">
        <v>286</v>
      </c>
      <c r="B44" s="1393" t="s">
        <v>287</v>
      </c>
      <c r="C44" s="1393" t="s">
        <v>288</v>
      </c>
      <c r="D44" s="1393" t="s">
        <v>545</v>
      </c>
      <c r="E44" s="2108"/>
      <c r="F44" s="2108"/>
      <c r="G44" s="2108"/>
      <c r="H44" s="2108"/>
      <c r="I44" s="2109" t="str">
        <f>S43&amp;".1"</f>
        <v>...1</v>
      </c>
      <c r="J44" s="1393"/>
      <c r="K44" s="1393"/>
      <c r="L44" s="1394"/>
      <c r="P44" s="2111">
        <v>1</v>
      </c>
      <c r="Q44" s="1480"/>
      <c r="R44" s="352"/>
      <c r="S44" s="1487" t="str">
        <f>$I44</f>
        <v>...1</v>
      </c>
      <c r="T44" s="273" t="s">
        <v>530</v>
      </c>
      <c r="U44" s="288"/>
      <c r="V44" s="2194"/>
      <c r="W44" s="2195"/>
      <c r="X44" s="2195"/>
      <c r="Y44" s="2195"/>
      <c r="Z44" s="2195"/>
      <c r="AA44" s="2195"/>
      <c r="AB44" s="2196"/>
      <c r="AC44" s="2197"/>
      <c r="AD44" s="2198"/>
      <c r="AE44" s="2198"/>
      <c r="AF44" s="2198"/>
      <c r="AG44" s="2198"/>
      <c r="AH44" s="2198"/>
      <c r="AI44" s="2198"/>
      <c r="AJ44" s="2199"/>
      <c r="AK44" s="1286" t="s">
        <v>531</v>
      </c>
      <c r="AM44" s="506"/>
      <c r="AN44" s="506" t="str">
        <f>IF(T44="","",T44)</f>
        <v>Наименование признака дифференциации</v>
      </c>
      <c r="AO44" s="506"/>
      <c r="AP44" s="506"/>
    </row>
    <row customHeight="1" ht="23.25">
      <c r="A45" s="1393" t="s">
        <v>286</v>
      </c>
      <c r="B45" s="1393" t="s">
        <v>287</v>
      </c>
      <c r="C45" s="1393" t="s">
        <v>288</v>
      </c>
      <c r="D45" s="1393" t="s">
        <v>545</v>
      </c>
      <c r="E45" s="2108"/>
      <c r="F45" s="2108"/>
      <c r="G45" s="2108"/>
      <c r="H45" s="2108"/>
      <c r="I45" s="2110"/>
      <c r="J45" s="2109" t="str">
        <f>I44&amp;".1"</f>
        <v>...1.1</v>
      </c>
      <c r="K45" s="1393"/>
      <c r="L45" s="1394" t="s">
        <v>453</v>
      </c>
      <c r="P45" s="2111"/>
      <c r="Q45" s="2111">
        <v>1</v>
      </c>
      <c r="R45" s="353"/>
      <c r="S45" s="1487" t="str">
        <f>$J45</f>
        <v>...1.1</v>
      </c>
      <c r="T45" s="274" t="s">
        <v>454</v>
      </c>
      <c r="U45" s="288"/>
      <c r="V45" s="2095"/>
      <c r="W45" s="2096"/>
      <c r="X45" s="2096"/>
      <c r="Y45" s="2096"/>
      <c r="Z45" s="2096"/>
      <c r="AA45" s="2096"/>
      <c r="AB45" s="2097"/>
      <c r="AC45" s="2095"/>
      <c r="AD45" s="2096"/>
      <c r="AE45" s="2096"/>
      <c r="AF45" s="2096"/>
      <c r="AG45" s="2096"/>
      <c r="AH45" s="2096"/>
      <c r="AI45" s="2096"/>
      <c r="AJ45" s="2097"/>
      <c r="AK45" s="1337" t="s">
        <v>532</v>
      </c>
      <c r="AM45" s="506"/>
      <c r="AN45" s="506" t="str">
        <f>IF(T45="","",T45)</f>
        <v>Группа потребителей</v>
      </c>
      <c r="AO45" s="506"/>
      <c r="AP45" s="506"/>
    </row>
    <row customHeight="1" ht="23.25">
      <c r="A46" s="1393" t="s">
        <v>286</v>
      </c>
      <c r="B46" s="1393" t="s">
        <v>287</v>
      </c>
      <c r="C46" s="1393" t="s">
        <v>288</v>
      </c>
      <c r="D46" s="1393" t="s">
        <v>545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286</v>
      </c>
      <c r="B47" s="1393" t="s">
        <v>287</v>
      </c>
      <c r="C47" s="1393" t="s">
        <v>288</v>
      </c>
      <c r="D47" s="1393" t="s">
        <v>545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286</v>
      </c>
      <c r="B48" s="1393" t="s">
        <v>287</v>
      </c>
      <c r="C48" s="1393" t="s">
        <v>288</v>
      </c>
      <c r="D48" s="1393" t="s">
        <v>545</v>
      </c>
      <c r="E48" s="2108"/>
      <c r="F48" s="2108"/>
      <c r="G48" s="2108"/>
      <c r="H48" s="2108"/>
      <c r="I48" s="2110"/>
      <c r="J48" s="2109"/>
      <c r="K48" s="1393"/>
      <c r="L48" s="1394"/>
      <c r="P48" s="2111"/>
      <c r="Q48" s="2111"/>
      <c r="R48" s="352"/>
      <c r="S48" s="1308"/>
      <c r="T48" s="275" t="s">
        <v>533</v>
      </c>
      <c r="U48" s="367"/>
      <c r="V48" s="367"/>
      <c r="W48" s="367"/>
      <c r="X48" s="367"/>
      <c r="Y48" s="367"/>
      <c r="Z48" s="367"/>
      <c r="AA48" s="367"/>
      <c r="AB48" s="367"/>
      <c r="AC48" s="367"/>
      <c r="AD48" s="367"/>
      <c r="AE48" s="367"/>
      <c r="AF48" s="367"/>
      <c r="AG48" s="367"/>
      <c r="AH48" s="367"/>
      <c r="AI48" s="367"/>
      <c r="AJ48" s="367"/>
      <c r="AK48" s="1286" t="s">
        <v>534</v>
      </c>
      <c r="AM48" s="506"/>
      <c r="AN48" s="506" t="str">
        <f>IF(T48="","",T48)</f>
        <v>Добавить значение признака дифференциации</v>
      </c>
      <c r="AO48" s="506"/>
      <c r="AP48" s="506"/>
    </row>
    <row customHeight="1" ht="21">
      <c r="A49" s="1393" t="s">
        <v>286</v>
      </c>
      <c r="B49" s="1393" t="s">
        <v>287</v>
      </c>
      <c r="C49" s="1393" t="s">
        <v>288</v>
      </c>
      <c r="D49" s="1393" t="s">
        <v>545</v>
      </c>
      <c r="E49" s="2108"/>
      <c r="F49" s="2108"/>
      <c r="G49" s="2108"/>
      <c r="H49" s="2108"/>
      <c r="I49" s="2109"/>
      <c r="J49" s="1393"/>
      <c r="K49" s="1393"/>
      <c r="L49" s="1394"/>
      <c r="P49" s="2111"/>
      <c r="Q49" s="1480"/>
      <c r="R49" s="352"/>
      <c r="S49" s="1308"/>
      <c r="T49" s="364" t="s">
        <v>459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286</v>
      </c>
      <c r="B50" s="1393" t="s">
        <v>287</v>
      </c>
      <c r="C50" s="1393" t="s">
        <v>288</v>
      </c>
      <c r="D50" s="1393" t="s">
        <v>545</v>
      </c>
      <c r="E50" s="2108"/>
      <c r="F50" s="2108"/>
      <c r="G50" s="2108"/>
      <c r="H50" s="2107"/>
      <c r="I50" s="1393"/>
      <c r="J50" s="1393"/>
      <c r="K50" s="1393"/>
      <c r="L50" s="1394"/>
      <c r="M50" s="1395"/>
      <c r="N50" s="1395"/>
      <c r="O50" s="543"/>
      <c r="P50" s="356"/>
      <c r="Q50" s="376"/>
      <c r="R50" s="351"/>
      <c r="S50" s="1308"/>
      <c r="T50" s="372" t="s">
        <v>535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286</v>
      </c>
      <c r="B51" s="1373" t="s">
        <v>287</v>
      </c>
      <c r="C51" s="1344"/>
      <c r="D51" s="1344"/>
      <c r="E51" s="2108"/>
      <c r="F51" s="2107"/>
      <c r="G51" s="1344"/>
      <c r="H51" s="1344"/>
      <c r="I51" s="1344"/>
      <c r="J51" s="1344"/>
      <c r="K51" s="1344"/>
      <c r="L51" s="1488"/>
      <c r="M51" s="1351"/>
      <c r="N51" s="1351"/>
      <c r="P51" s="1346"/>
      <c r="Q51" s="1347"/>
      <c r="R51" s="1346"/>
      <c r="S51" s="1352"/>
      <c r="T51" s="1355" t="s">
        <v>192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286</v>
      </c>
      <c r="B52" s="1373"/>
      <c r="C52" s="1373"/>
      <c r="D52" s="1373"/>
      <c r="E52" s="2107"/>
      <c r="F52" s="1373"/>
      <c r="G52" s="1373"/>
      <c r="H52" s="1373"/>
      <c r="I52" s="1373"/>
      <c r="J52" s="1373"/>
      <c r="K52" s="1373"/>
      <c r="L52" s="1376"/>
      <c r="M52" s="1351"/>
      <c r="N52" s="1351"/>
      <c r="O52" s="524"/>
      <c r="P52" s="385"/>
      <c r="Q52" s="1374"/>
      <c r="R52" s="385"/>
      <c r="S52" s="1352"/>
      <c r="T52" s="1355" t="s">
        <v>211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5206A-DEEC-62B2-76DC-6D794ECBCD4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6160" width="19.140625" hidden="1" customWidth="1"/>
    <col min="13" max="14" style="3332" width="12.28125" hidden="1" customWidth="1"/>
    <col min="15" max="15" style="3332" width="23.421875" hidden="1" customWidth="1"/>
    <col min="16" max="16" style="3332" width="3.7109375" hidden="1" customWidth="1"/>
    <col min="17" max="17" style="3334" width="3.7109375" hidden="1" customWidth="1"/>
    <col min="18" max="18" style="3409" width="3.7109375" customWidth="1"/>
    <col min="19" max="19" style="3410" width="12.7109375" customWidth="1"/>
    <col min="20" max="20" style="2983" width="32.00390625" customWidth="1"/>
    <col min="21" max="21" style="2983" width="0.140625" customWidth="1"/>
    <col min="22" max="25" style="2983" width="21.7109375" hidden="1" customWidth="1"/>
    <col min="26" max="26" style="2983" width="11.7109375" hidden="1" customWidth="1"/>
    <col min="27" max="27" style="2983" width="3.7109375" hidden="1" customWidth="1"/>
    <col min="28" max="28" style="2983" width="11.7109375" hidden="1" customWidth="1"/>
    <col min="29" max="29" style="2983" width="8.57421875" hidden="1" customWidth="1"/>
    <col min="30" max="32" style="2983" width="3.7109375" customWidth="1"/>
    <col min="33" max="33" style="2983" width="24.7109375" customWidth="1"/>
    <col min="34" max="36" style="2983" width="3.7109375" customWidth="1"/>
    <col min="37" max="37" style="2983" width="24.7109375" customWidth="1"/>
    <col min="38" max="40" style="2983" width="3.7109375" customWidth="1"/>
    <col min="41" max="41" style="2983" width="18.8515625" customWidth="1"/>
    <col min="42" max="44" style="2983" width="3.7109375" customWidth="1"/>
    <col min="45" max="45" style="2983" width="18.8515625" customWidth="1"/>
    <col min="46" max="49" style="2983" width="21.7109375" customWidth="1"/>
    <col min="50" max="50" style="2983" width="11.7109375" customWidth="1"/>
    <col min="51" max="51" style="2983" width="3.7109375" customWidth="1"/>
    <col min="52" max="52" style="2983" width="11.7109375" customWidth="1"/>
    <col min="53" max="53" style="2983" width="8.57421875" hidden="1" customWidth="1"/>
    <col min="54" max="54" style="2983" width="4.7109375" customWidth="1"/>
    <col min="55" max="55" style="2983"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140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444</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445</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528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529</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449</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450</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546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547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548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549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550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514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2"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2"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192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461</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6075" customFormat="1" customHeight="1" ht="14.25" hidden="1">
      <c r="M24" s="1538"/>
      <c r="N24" s="1538"/>
      <c r="O24" s="1539" t="s">
        <v>462</v>
      </c>
      <c r="P24" s="1538"/>
      <c r="Q24" s="1540"/>
      <c r="R24" s="1540"/>
      <c r="AA24" s="1537" t="s">
        <v>464</v>
      </c>
      <c r="AC24" s="1537" t="s">
        <v>465</v>
      </c>
      <c r="AD24" s="1537" t="s">
        <v>515</v>
      </c>
      <c r="AH24" s="1537" t="s">
        <v>515</v>
      </c>
      <c r="AK24" s="1537" t="s">
        <v>551</v>
      </c>
      <c r="AL24" s="1537" t="s">
        <v>515</v>
      </c>
      <c r="AP24" s="1537" t="s">
        <v>515</v>
      </c>
      <c r="AY24" s="1537" t="s">
        <v>464</v>
      </c>
      <c r="BA24" s="1537" t="s">
        <v>465</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3"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3" customFormat="1" customHeight="1" ht="18.75">
      <c r="A32" s="1398"/>
      <c r="B32" s="1398"/>
      <c r="C32" s="1398"/>
      <c r="D32" s="1398"/>
      <c r="E32" s="1398"/>
      <c r="F32" s="1398"/>
      <c r="G32" s="1398"/>
      <c r="H32" s="1398"/>
      <c r="I32" s="1398"/>
      <c r="J32" s="1398"/>
      <c r="K32" s="1398"/>
      <c r="L32" s="1399"/>
      <c r="M32" s="1398"/>
      <c r="N32" s="1398"/>
      <c r="O32" s="1398"/>
      <c r="P32" s="1398"/>
      <c r="Q32" s="1398"/>
      <c r="S32" s="2098" t="s">
        <v>467</v>
      </c>
      <c r="T32" s="2098"/>
      <c r="U32" s="1402"/>
      <c r="V32" s="2099" t="str">
        <f>IF(TITLE_DATE_PR_CHANGE="",IF(TITLE_DATE_PR="","",TITLE_DATE_PR),TITLE_DATE_PR_CHANGE)</f>
        <v>45280</v>
      </c>
      <c r="W32" s="2099"/>
      <c r="X32" s="2099"/>
      <c r="Y32" s="2099"/>
      <c r="Z32" s="2099"/>
      <c r="AA32" s="2099"/>
      <c r="AB32" s="2099"/>
      <c r="AC32" s="322"/>
      <c r="AD32" s="2099" t="str">
        <f>IF(TITLE_DATE_PR_CHANGE="",IF(TITLE_DATE_PR="","",TITLE_DATE_PR),TITLE_DATE_PR_CHANGE)</f>
        <v>45280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3" customFormat="1" customHeight="1" ht="18.75">
      <c r="A33" s="1398"/>
      <c r="B33" s="1398"/>
      <c r="C33" s="1398"/>
      <c r="D33" s="1398"/>
      <c r="E33" s="1398"/>
      <c r="F33" s="1398"/>
      <c r="G33" s="1398"/>
      <c r="H33" s="1398"/>
      <c r="I33" s="1398"/>
      <c r="J33" s="1398"/>
      <c r="K33" s="1398"/>
      <c r="L33" s="1399"/>
      <c r="M33" s="1398"/>
      <c r="N33" s="1398"/>
      <c r="O33" s="1398"/>
      <c r="P33" s="1398"/>
      <c r="Q33" s="1398"/>
      <c r="S33" s="2098" t="s">
        <v>468</v>
      </c>
      <c r="T33" s="2098"/>
      <c r="U33" s="1402"/>
      <c r="V33" s="2100" t="str">
        <f>IF(TITLE_NUMBER_PR_CHANGE="",IF(TITLE_NUMBER_PR="","",TITLE_NUMBER_PR),TITLE_NUMBER_PR_CHANGE)</f>
        <v>51/11</v>
      </c>
      <c r="W33" s="2100"/>
      <c r="X33" s="2100"/>
      <c r="Y33" s="2100"/>
      <c r="Z33" s="2100"/>
      <c r="AA33" s="2100"/>
      <c r="AB33" s="2100"/>
      <c r="AC33" s="322"/>
      <c r="AD33" s="2100" t="str">
        <f>IF(TITLE_NUMBER_PR_CHANGE="",IF(TITLE_NUMBER_PR="","",TITLE_NUMBER_PR),TITLE_NUMBER_PR_CHANGE)</f>
        <v>51/11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3"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https://npa.gov-murman.ru/bitrix/components/b1team/govmurman.element.file/download.php?ID=508451&amp;FID=750724</v>
      </c>
      <c r="W34" s="2100"/>
      <c r="X34" s="2100"/>
      <c r="Y34" s="2100"/>
      <c r="Z34" s="2100"/>
      <c r="AA34" s="2100"/>
      <c r="AB34" s="2100"/>
      <c r="AC34" s="322"/>
      <c r="AD34" s="2100" t="str">
        <f>IF(TITLE_IST_PUB_CHANGE="",IF(TITLE_IST_PUB="","",TITLE_IST_PUB),TITLE_IST_PUB_CHANGE)</f>
        <v>https://npa.gov-murman.ru/bitrix/components/b1team/govmurman.element.file/download.php?ID=508451&amp;FID=750724</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3"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467</v>
      </c>
      <c r="T36" s="2098"/>
      <c r="U36" s="1402"/>
      <c r="V36" s="2099" t="str">
        <f>IF(TITLE_DATE_PR_CHANGE="",IF(TITLE_DATE_PR="","",TITLE_DATE_PR),TITLE_DATE_PR_CHANGE)</f>
        <v>45280</v>
      </c>
      <c r="W36" s="2099"/>
      <c r="X36" s="2099"/>
      <c r="Y36" s="2099"/>
      <c r="Z36" s="2099"/>
      <c r="AA36" s="2099"/>
      <c r="AB36" s="2099"/>
      <c r="AC36" s="322"/>
      <c r="AD36" s="2099" t="str">
        <f>IF(TITLE_DATE_PR_CHANGE="",IF(TITLE_DATE_PR="","",TITLE_DATE_PR),TITLE_DATE_PR_CHANGE)</f>
        <v>45280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3"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468</v>
      </c>
      <c r="T37" s="2098"/>
      <c r="U37" s="1402"/>
      <c r="V37" s="2100" t="str">
        <f>IF(TITLE_NUMBER_PR_CHANGE="",IF(TITLE_NUMBER_PR="","",TITLE_NUMBER_PR),TITLE_NUMBER_PR_CHANGE)</f>
        <v>51/11</v>
      </c>
      <c r="W37" s="2100"/>
      <c r="X37" s="2100"/>
      <c r="Y37" s="2100"/>
      <c r="Z37" s="2100"/>
      <c r="AA37" s="2100"/>
      <c r="AB37" s="2100"/>
      <c r="AC37" s="322"/>
      <c r="AD37" s="2100" t="str">
        <f>IF(TITLE_NUMBER_PR_CHANGE="",IF(TITLE_NUMBER_PR="","",TITLE_NUMBER_PR),TITLE_NUMBER_PR_CHANGE)</f>
        <v>51/11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471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471</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345</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346</v>
      </c>
    </row>
    <row customHeight="1" ht="14.25">
      <c r="Q41" s="279"/>
      <c r="R41" s="377"/>
      <c r="S41" s="2125" t="s">
        <v>87</v>
      </c>
      <c r="T41" s="2062" t="s">
        <v>552</v>
      </c>
      <c r="U41" s="289"/>
      <c r="V41" s="2126" t="s">
        <v>473</v>
      </c>
      <c r="W41" s="2127"/>
      <c r="X41" s="2127"/>
      <c r="Y41" s="2127"/>
      <c r="Z41" s="2127"/>
      <c r="AA41" s="2127"/>
      <c r="AB41" s="2128"/>
      <c r="AC41" s="2129" t="s">
        <v>474</v>
      </c>
      <c r="AD41" s="2173" t="s">
        <v>553</v>
      </c>
      <c r="AE41" s="2146"/>
      <c r="AF41" s="2146"/>
      <c r="AG41" s="2174"/>
      <c r="AH41" s="2173" t="s">
        <v>554</v>
      </c>
      <c r="AI41" s="2146"/>
      <c r="AJ41" s="2146"/>
      <c r="AK41" s="2174"/>
      <c r="AL41" s="2173" t="s">
        <v>555</v>
      </c>
      <c r="AM41" s="2146"/>
      <c r="AN41" s="2146"/>
      <c r="AO41" s="2174"/>
      <c r="AP41" s="2173" t="s">
        <v>556</v>
      </c>
      <c r="AQ41" s="2146"/>
      <c r="AR41" s="2146"/>
      <c r="AS41" s="2174"/>
      <c r="AT41" s="2126" t="s">
        <v>473</v>
      </c>
      <c r="AU41" s="2127"/>
      <c r="AV41" s="2127"/>
      <c r="AW41" s="2127"/>
      <c r="AX41" s="2127"/>
      <c r="AY41" s="2127"/>
      <c r="AZ41" s="2128"/>
      <c r="BA41" s="2129" t="s">
        <v>474</v>
      </c>
      <c r="BB41" s="2132" t="s">
        <v>476</v>
      </c>
      <c r="BC41" s="1971"/>
    </row>
    <row customHeight="1" ht="33.75">
      <c r="Q42" s="279"/>
      <c r="R42" s="377"/>
      <c r="S42" s="2125"/>
      <c r="T42" s="2062"/>
      <c r="U42" s="1038"/>
      <c r="V42" s="2029" t="s">
        <v>557</v>
      </c>
      <c r="W42" s="2030"/>
      <c r="X42" s="2029" t="s">
        <v>558</v>
      </c>
      <c r="Y42" s="2030"/>
      <c r="Z42" s="2144" t="s">
        <v>559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557</v>
      </c>
      <c r="AU42" s="2030"/>
      <c r="AV42" s="2029" t="s">
        <v>558</v>
      </c>
      <c r="AW42" s="2030"/>
      <c r="AX42" s="2144" t="s">
        <v>559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152</v>
      </c>
      <c r="C44" s="1400" t="s">
        <v>153</v>
      </c>
      <c r="D44" s="1400" t="s">
        <v>154</v>
      </c>
      <c r="E44" s="1394" t="s">
        <v>481</v>
      </c>
      <c r="F44" s="1394" t="s">
        <v>482</v>
      </c>
      <c r="G44" s="1394" t="s">
        <v>483</v>
      </c>
      <c r="H44" s="1394" t="s">
        <v>484</v>
      </c>
      <c r="I44" s="1394" t="s">
        <v>485</v>
      </c>
      <c r="J44" s="1394" t="s">
        <v>486</v>
      </c>
      <c r="K44" s="1394" t="s">
        <v>487</v>
      </c>
      <c r="L44" s="1394" t="s">
        <v>462</v>
      </c>
      <c r="Q44" s="279"/>
      <c r="R44" s="377"/>
      <c r="S44" s="2125"/>
      <c r="T44" s="2062"/>
      <c r="U44" s="290"/>
      <c r="V44" s="1478" t="s">
        <v>525</v>
      </c>
      <c r="W44" s="1478" t="s">
        <v>526</v>
      </c>
      <c r="X44" s="1478" t="s">
        <v>525</v>
      </c>
      <c r="Y44" s="1478" t="s">
        <v>526</v>
      </c>
      <c r="Z44" s="1485" t="s">
        <v>490</v>
      </c>
      <c r="AA44" s="2121" t="s">
        <v>491</v>
      </c>
      <c r="AB44" s="2122"/>
      <c r="AC44" s="2131"/>
      <c r="AD44" s="2177"/>
      <c r="AE44" s="2178"/>
      <c r="AF44" s="2178"/>
      <c r="AG44" s="2179"/>
      <c r="AH44" s="2177"/>
      <c r="AI44" s="2178"/>
      <c r="AJ44" s="2178"/>
      <c r="AK44" s="2179"/>
      <c r="AL44" s="2177"/>
      <c r="AM44" s="2178"/>
      <c r="AN44" s="2178"/>
      <c r="AO44" s="2179"/>
      <c r="AP44" s="2177"/>
      <c r="AQ44" s="2178"/>
      <c r="AR44" s="2178"/>
      <c r="AS44" s="2179"/>
      <c r="AT44" s="1478" t="s">
        <v>525</v>
      </c>
      <c r="AU44" s="1478" t="s">
        <v>526</v>
      </c>
      <c r="AV44" s="1478" t="s">
        <v>525</v>
      </c>
      <c r="AW44" s="1478" t="s">
        <v>526</v>
      </c>
      <c r="AX44" s="1485" t="s">
        <v>490</v>
      </c>
      <c r="AY44" s="2121" t="s">
        <v>491</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128</v>
      </c>
      <c r="T45" s="1281" t="s">
        <v>102</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291</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140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291</v>
      </c>
      <c r="B47" s="1393" t="s">
        <v>292</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444</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445</v>
      </c>
      <c r="BE47" s="506"/>
      <c r="BF47" s="506" t="str">
        <f>IF(T47="","",T47)</f>
        <v>Территория действия тарифа</v>
      </c>
      <c r="BG47" s="506"/>
      <c r="BH47" s="506"/>
    </row>
    <row customHeight="1" ht="42">
      <c r="A48" s="1393" t="s">
        <v>291</v>
      </c>
      <c r="B48" s="1393" t="s">
        <v>292</v>
      </c>
      <c r="C48" s="1393" t="s">
        <v>293</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528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529</v>
      </c>
      <c r="BE48" s="506"/>
      <c r="BF48" s="506" t="str">
        <f>IF(T48="","",T48)</f>
        <v>Наименование централизованной системы холодного водоснабжения</v>
      </c>
      <c r="BG48" s="506"/>
      <c r="BH48" s="506"/>
    </row>
    <row s="2612" customFormat="1" customHeight="1" ht="0">
      <c r="A49" s="1373" t="s">
        <v>291</v>
      </c>
      <c r="B49" s="1373" t="s">
        <v>292</v>
      </c>
      <c r="C49" s="1373" t="s">
        <v>293</v>
      </c>
      <c r="D49" s="1373" t="s">
        <v>560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449</v>
      </c>
      <c r="BE49" s="506"/>
      <c r="BF49" s="506" t="str">
        <f>IF(T49="","",T49)</f>
        <v/>
      </c>
      <c r="BG49" s="506"/>
      <c r="BH49" s="506"/>
    </row>
    <row s="2612" customFormat="1" customHeight="1" ht="0">
      <c r="A50" s="1373" t="s">
        <v>291</v>
      </c>
      <c r="B50" s="1373" t="s">
        <v>292</v>
      </c>
      <c r="C50" s="1373" t="s">
        <v>293</v>
      </c>
      <c r="D50" s="1373" t="s">
        <v>560</v>
      </c>
      <c r="E50" s="2108"/>
      <c r="F50" s="2108"/>
      <c r="G50" s="2108"/>
      <c r="H50" s="2108"/>
      <c r="I50" s="2109" t="str">
        <f>S49&amp;".1"</f>
        <v>.1</v>
      </c>
      <c r="J50" s="1373"/>
      <c r="K50" s="1373"/>
      <c r="L50" s="1376" t="s">
        <v>450</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291</v>
      </c>
      <c r="B51" s="1373" t="s">
        <v>292</v>
      </c>
      <c r="C51" s="1373" t="s">
        <v>293</v>
      </c>
      <c r="D51" s="1373" t="s">
        <v>560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291</v>
      </c>
      <c r="B52" s="1393" t="s">
        <v>292</v>
      </c>
      <c r="C52" s="1393" t="s">
        <v>293</v>
      </c>
      <c r="D52" s="1393" t="s">
        <v>560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546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547</v>
      </c>
      <c r="AT53" s="1423"/>
      <c r="AU53" s="1526"/>
      <c r="AV53" s="1423"/>
      <c r="AW53" s="1526"/>
      <c r="AX53" s="1423"/>
      <c r="AY53" s="1423"/>
      <c r="AZ53" s="1423"/>
      <c r="BA53" s="1423"/>
      <c r="BB53" s="1427"/>
      <c r="BC53" s="2138"/>
      <c r="BE53" s="506"/>
      <c r="BF53" s="506"/>
      <c r="BG53" s="506"/>
      <c r="BH53" s="506"/>
    </row>
    <row customHeight="1" ht="11.25">
      <c r="A54" s="1393" t="s">
        <v>291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548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291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549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291</v>
      </c>
      <c r="B56" s="1393" t="s">
        <v>292</v>
      </c>
      <c r="C56" s="1393" t="s">
        <v>293</v>
      </c>
      <c r="D56" s="1393" t="s">
        <v>560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550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291</v>
      </c>
      <c r="B57" s="1393" t="s">
        <v>292</v>
      </c>
      <c r="C57" s="1393" t="s">
        <v>293</v>
      </c>
      <c r="D57" s="1393" t="s">
        <v>560</v>
      </c>
      <c r="E57" s="2108"/>
      <c r="F57" s="2108"/>
      <c r="G57" s="2108"/>
      <c r="H57" s="2108"/>
      <c r="I57" s="2110"/>
      <c r="J57" s="2109"/>
      <c r="K57" s="1393"/>
      <c r="L57" s="1394"/>
      <c r="P57" s="2111"/>
      <c r="Q57" s="2111"/>
      <c r="R57" s="352"/>
      <c r="S57" s="1308"/>
      <c r="T57" s="275" t="s">
        <v>514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291</v>
      </c>
      <c r="B58" s="1373" t="s">
        <v>292</v>
      </c>
      <c r="C58" s="1373" t="s">
        <v>293</v>
      </c>
      <c r="D58" s="1373" t="s">
        <v>560</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291</v>
      </c>
      <c r="B59" s="1373" t="s">
        <v>292</v>
      </c>
      <c r="C59" s="1373" t="s">
        <v>293</v>
      </c>
      <c r="D59" s="1373" t="s">
        <v>560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2" customFormat="1" customHeight="1" ht="0">
      <c r="A60" s="1373" t="s">
        <v>291</v>
      </c>
      <c r="B60" s="1373" t="s">
        <v>292</v>
      </c>
      <c r="C60" s="1373" t="s">
        <v>293</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2" customFormat="1" customHeight="1" ht="0">
      <c r="A61" s="1373" t="s">
        <v>291</v>
      </c>
      <c r="B61" s="1373" t="s">
        <v>292</v>
      </c>
      <c r="C61" s="1344"/>
      <c r="D61" s="1344"/>
      <c r="E61" s="2108"/>
      <c r="F61" s="2107"/>
      <c r="G61" s="1344"/>
      <c r="H61" s="1344"/>
      <c r="I61" s="1344"/>
      <c r="J61" s="1344"/>
      <c r="K61" s="1344"/>
      <c r="L61" s="1494"/>
      <c r="M61" s="1351"/>
      <c r="N61" s="1351"/>
      <c r="P61" s="1346"/>
      <c r="Q61" s="1347"/>
      <c r="R61" s="1346"/>
      <c r="S61" s="1352"/>
      <c r="T61" s="1355" t="s">
        <v>192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291</v>
      </c>
      <c r="B62" s="1373"/>
      <c r="C62" s="1373"/>
      <c r="D62" s="1373"/>
      <c r="E62" s="2107"/>
      <c r="F62" s="1373"/>
      <c r="G62" s="1373"/>
      <c r="H62" s="1373"/>
      <c r="I62" s="1373"/>
      <c r="J62" s="1373"/>
      <c r="K62" s="1373"/>
      <c r="L62" s="1376"/>
      <c r="M62" s="1351"/>
      <c r="N62" s="1351"/>
      <c r="O62" s="524"/>
      <c r="P62" s="385"/>
      <c r="Q62" s="1374"/>
      <c r="R62" s="385"/>
      <c r="S62" s="1352"/>
      <c r="T62" s="1355" t="s">
        <v>211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2"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230</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CC01C-1327-BE7F-D81E-024CA92AB1D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6166" width="19.140625" hidden="1" customWidth="1"/>
    <col min="13" max="14" style="3332" width="12.28125" hidden="1" customWidth="1"/>
    <col min="15" max="15" style="3332" width="23.421875" hidden="1" customWidth="1"/>
    <col min="16" max="16" style="6171" width="3.7109375" customWidth="1"/>
    <col min="17" max="18" style="3409" width="3.7109375" customWidth="1"/>
    <col min="19" max="19" style="3410" width="12.7109375" customWidth="1"/>
    <col min="20" max="20" style="2983" width="35.7109375" customWidth="1"/>
    <col min="21" max="21" style="2983" width="0.140625" customWidth="1"/>
    <col min="22" max="24" style="2983" width="24.7109375" hidden="1" customWidth="1"/>
    <col min="25" max="25" style="2983" width="11.7109375" hidden="1" customWidth="1"/>
    <col min="26" max="26" style="2983" width="3.7109375" hidden="1" customWidth="1"/>
    <col min="27" max="27" style="2983" width="11.7109375" hidden="1" customWidth="1"/>
    <col min="28" max="28" style="2983" width="8.57421875" hidden="1" customWidth="1"/>
    <col min="29" max="31" style="2983" width="24.7109375" customWidth="1"/>
    <col min="32" max="32" style="2983" width="11.7109375" customWidth="1"/>
    <col min="33" max="33" style="2983" width="3.7109375" customWidth="1"/>
    <col min="34" max="34" style="2983" width="11.7109375" customWidth="1"/>
    <col min="35" max="35" style="2983" width="8.57421875" hidden="1" customWidth="1"/>
    <col min="36" max="36" style="2983" width="4.7109375" customWidth="1"/>
    <col min="37" max="37" style="298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444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561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562</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530</v>
      </c>
      <c r="U5" s="288"/>
      <c r="V5" s="2194"/>
      <c r="W5" s="2195"/>
      <c r="X5" s="2195"/>
      <c r="Y5" s="2195"/>
      <c r="Z5" s="2195"/>
      <c r="AA5" s="2195"/>
      <c r="AB5" s="2196"/>
      <c r="AC5" s="2197"/>
      <c r="AD5" s="2198"/>
      <c r="AE5" s="2198"/>
      <c r="AF5" s="2198"/>
      <c r="AG5" s="2198"/>
      <c r="AH5" s="2198"/>
      <c r="AI5" s="2198"/>
      <c r="AJ5" s="2199"/>
      <c r="AK5" s="1286" t="s">
        <v>531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453</v>
      </c>
      <c r="P6" s="2111"/>
      <c r="Q6" s="2111">
        <v>1</v>
      </c>
      <c r="R6" s="353"/>
      <c r="S6" s="1523">
        <f>$J6</f>
      </c>
      <c r="T6" s="274" t="s">
        <v>454</v>
      </c>
      <c r="U6" s="288"/>
      <c r="V6" s="2095"/>
      <c r="W6" s="2096"/>
      <c r="X6" s="2096"/>
      <c r="Y6" s="2096"/>
      <c r="Z6" s="2096"/>
      <c r="AA6" s="2096"/>
      <c r="AB6" s="2097"/>
      <c r="AC6" s="2095"/>
      <c r="AD6" s="2096"/>
      <c r="AE6" s="2096"/>
      <c r="AF6" s="2096"/>
      <c r="AG6" s="2096"/>
      <c r="AH6" s="2096"/>
      <c r="AI6" s="2096"/>
      <c r="AJ6" s="2097"/>
      <c r="AK6" s="1337" t="s">
        <v>532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533</v>
      </c>
      <c r="U9" s="367"/>
      <c r="V9" s="367"/>
      <c r="W9" s="367"/>
      <c r="X9" s="367"/>
      <c r="Y9" s="367"/>
      <c r="Z9" s="367"/>
      <c r="AA9" s="367"/>
      <c r="AB9" s="367"/>
      <c r="AC9" s="367"/>
      <c r="AD9" s="367"/>
      <c r="AE9" s="367"/>
      <c r="AF9" s="367"/>
      <c r="AG9" s="367"/>
      <c r="AH9" s="367"/>
      <c r="AI9" s="367"/>
      <c r="AJ9" s="367"/>
      <c r="AK9" s="1286" t="s">
        <v>534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459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192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461</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462</v>
      </c>
      <c r="P20" s="1392"/>
      <c r="Q20" s="1472"/>
      <c r="R20" s="1472"/>
      <c r="S20" s="735"/>
      <c r="T20" s="1168" t="s">
        <v>463</v>
      </c>
      <c r="Z20" s="172" t="s">
        <v>464</v>
      </c>
      <c r="AB20" s="172" t="s">
        <v>465</v>
      </c>
      <c r="AC20" s="1168" t="s">
        <v>463</v>
      </c>
      <c r="AG20" s="172" t="s">
        <v>466</v>
      </c>
      <c r="AI20" s="172" t="s">
        <v>465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3" customFormat="1" customHeight="1" ht="18.75">
      <c r="A28" s="1398"/>
      <c r="B28" s="1398"/>
      <c r="C28" s="1398"/>
      <c r="D28" s="1398"/>
      <c r="E28" s="1398"/>
      <c r="F28" s="1398"/>
      <c r="G28" s="1398"/>
      <c r="H28" s="1398"/>
      <c r="I28" s="1398"/>
      <c r="J28" s="1398"/>
      <c r="K28" s="1398"/>
      <c r="L28" s="1399"/>
      <c r="M28" s="1398"/>
      <c r="N28" s="1398"/>
      <c r="O28" s="1398"/>
      <c r="S28" s="2098" t="s">
        <v>467</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3" customFormat="1" customHeight="1" ht="18.75">
      <c r="A29" s="1398"/>
      <c r="B29" s="1398"/>
      <c r="C29" s="1398"/>
      <c r="D29" s="1398"/>
      <c r="E29" s="1398"/>
      <c r="F29" s="1398"/>
      <c r="G29" s="1398"/>
      <c r="H29" s="1398"/>
      <c r="I29" s="1398"/>
      <c r="J29" s="1398"/>
      <c r="K29" s="1398"/>
      <c r="L29" s="1399"/>
      <c r="M29" s="1398"/>
      <c r="N29" s="1398"/>
      <c r="O29" s="1398"/>
      <c r="S29" s="2098" t="s">
        <v>468</v>
      </c>
      <c r="T29" s="2098"/>
      <c r="U29" s="1402"/>
      <c r="V29" s="2100" t="str">
        <f>IF(TITLE_NUMBER_PR_CHANGE="",IF(TITLE_NUMBER_PR="","",TITLE_NUMBER_PR),TITLE_NUMBER_PR_CHANGE)</f>
        <v>51/11</v>
      </c>
      <c r="W29" s="2100"/>
      <c r="X29" s="2100"/>
      <c r="Y29" s="2100"/>
      <c r="Z29" s="2100"/>
      <c r="AA29" s="2100"/>
      <c r="AB29" s="322"/>
      <c r="AC29" s="2100" t="str">
        <f>IF(TITLE_NUMBER_PR_CHANGE="",IF(TITLE_NUMBER_PR="","",TITLE_NUMBER_PR),TITLE_NUMBER_PR_CHANGE)</f>
        <v>51/11</v>
      </c>
      <c r="AD29" s="2100"/>
      <c r="AE29" s="2100"/>
      <c r="AF29" s="2100"/>
      <c r="AG29" s="2100"/>
      <c r="AH29" s="2100"/>
      <c r="AI29" s="322"/>
      <c r="AJ29" s="322"/>
      <c r="AK29" s="268"/>
      <c r="AL29" s="368"/>
      <c r="AM29" s="368"/>
      <c r="AN29" s="368"/>
      <c r="AO29" s="368"/>
      <c r="AP29" s="368"/>
    </row>
    <row s="33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https://npa.gov-murman.ru/bitrix/components/b1team/govmurman.element.file/download.php?ID=508451&amp;FID=750724</v>
      </c>
      <c r="W30" s="2100"/>
      <c r="X30" s="2100"/>
      <c r="Y30" s="2100"/>
      <c r="Z30" s="2100"/>
      <c r="AA30" s="2100"/>
      <c r="AB30" s="322"/>
      <c r="AC30" s="2100" t="str">
        <f>IF(TITLE_IST_PUB_CHANGE="",IF(TITLE_IST_PUB="","",TITLE_IST_PUB),TITLE_IST_PUB_CHANGE)</f>
        <v>https://npa.gov-murman.ru/bitrix/components/b1team/govmurman.element.file/download.php?ID=508451&amp;FID=750724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3" customFormat="1" customHeight="1" ht="18.75" hidden="1">
      <c r="A32" s="1398"/>
      <c r="B32" s="1398"/>
      <c r="C32" s="1398"/>
      <c r="D32" s="1398"/>
      <c r="E32" s="1398"/>
      <c r="F32" s="1398"/>
      <c r="G32" s="1398"/>
      <c r="H32" s="1398"/>
      <c r="I32" s="1398"/>
      <c r="J32" s="1398"/>
      <c r="K32" s="1398"/>
      <c r="L32" s="1399"/>
      <c r="M32" s="1398"/>
      <c r="N32" s="1398"/>
      <c r="O32" s="1398"/>
      <c r="S32" s="2098" t="s">
        <v>469</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3" customFormat="1" customHeight="1" ht="18.75" hidden="1">
      <c r="A33" s="1398"/>
      <c r="B33" s="1398"/>
      <c r="C33" s="1398"/>
      <c r="D33" s="1398"/>
      <c r="E33" s="1398"/>
      <c r="F33" s="1398"/>
      <c r="G33" s="1398"/>
      <c r="H33" s="1398"/>
      <c r="I33" s="1398"/>
      <c r="J33" s="1398"/>
      <c r="K33" s="1398"/>
      <c r="L33" s="1399"/>
      <c r="M33" s="1398"/>
      <c r="N33" s="1398"/>
      <c r="O33" s="1398"/>
      <c r="S33" s="2098" t="s">
        <v>470</v>
      </c>
      <c r="T33" s="2098"/>
      <c r="U33" s="1402"/>
      <c r="V33" s="2100" t="str">
        <f>IF(TITLE_NUMBER_PR_CHANGE="",IF(TITLE_NUMBER_PR="","",TITLE_NUMBER_PR),TITLE_NUMBER_PR_CHANGE)</f>
        <v>51/11</v>
      </c>
      <c r="W33" s="2100"/>
      <c r="X33" s="2100"/>
      <c r="Y33" s="2100"/>
      <c r="Z33" s="2100"/>
      <c r="AA33" s="2100"/>
      <c r="AB33" s="322"/>
      <c r="AC33" s="2100" t="str">
        <f>IF(TITLE_NUMBER_PR_CHANGE="",IF(TITLE_NUMBER_PR="","",TITLE_NUMBER_PR),TITLE_NUMBER_PR_CHANGE)</f>
        <v>51/11</v>
      </c>
      <c r="AD33" s="2100"/>
      <c r="AE33" s="2100"/>
      <c r="AF33" s="2100"/>
      <c r="AG33" s="2100"/>
      <c r="AH33" s="2100"/>
      <c r="AI33" s="322"/>
      <c r="AJ33" s="322"/>
      <c r="AK33" s="268"/>
      <c r="AL33" s="368"/>
      <c r="AM33" s="368"/>
      <c r="AN33" s="368"/>
      <c r="AO33" s="368"/>
      <c r="AP33" s="368"/>
    </row>
    <row s="334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471</v>
      </c>
      <c r="AC34" s="322"/>
      <c r="AD34" s="322"/>
      <c r="AE34" s="322"/>
      <c r="AF34" s="322"/>
      <c r="AG34" s="322"/>
      <c r="AH34" s="322"/>
      <c r="AI34" s="266" t="s">
        <v>471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345</v>
      </c>
      <c r="T36" s="1971"/>
      <c r="U36" s="1971"/>
      <c r="V36" s="1971"/>
      <c r="W36" s="1971"/>
      <c r="X36" s="1971"/>
      <c r="Y36" s="1971"/>
      <c r="Z36" s="1971"/>
      <c r="AA36" s="1971"/>
      <c r="AB36" s="1971"/>
      <c r="AC36" s="1971"/>
      <c r="AD36" s="1971"/>
      <c r="AE36" s="1971"/>
      <c r="AF36" s="1971"/>
      <c r="AG36" s="1971"/>
      <c r="AH36" s="1971"/>
      <c r="AI36" s="1971"/>
      <c r="AJ36" s="1971"/>
      <c r="AK36" s="1971" t="s">
        <v>346</v>
      </c>
    </row>
    <row customHeight="1" ht="14.25">
      <c r="Q37" s="377"/>
      <c r="R37" s="377"/>
      <c r="S37" s="2125" t="s">
        <v>87</v>
      </c>
      <c r="T37" s="2062" t="s">
        <v>472</v>
      </c>
      <c r="U37" s="289"/>
      <c r="V37" s="2126" t="s">
        <v>473</v>
      </c>
      <c r="W37" s="2127"/>
      <c r="X37" s="2127"/>
      <c r="Y37" s="2127"/>
      <c r="Z37" s="2127"/>
      <c r="AA37" s="2128"/>
      <c r="AB37" s="2129" t="s">
        <v>474</v>
      </c>
      <c r="AC37" s="2126" t="s">
        <v>473</v>
      </c>
      <c r="AD37" s="2127"/>
      <c r="AE37" s="2127"/>
      <c r="AF37" s="2127"/>
      <c r="AG37" s="2127"/>
      <c r="AH37" s="2128"/>
      <c r="AI37" s="2129" t="s">
        <v>475</v>
      </c>
      <c r="AJ37" s="2132" t="s">
        <v>476</v>
      </c>
      <c r="AK37" s="1971"/>
    </row>
    <row customHeight="1" ht="33.75">
      <c r="Q38" s="377"/>
      <c r="R38" s="377"/>
      <c r="S38" s="2125"/>
      <c r="T38" s="2062"/>
      <c r="U38" s="1038"/>
      <c r="V38" s="1513" t="s">
        <v>536</v>
      </c>
      <c r="W38" s="2118" t="s">
        <v>479</v>
      </c>
      <c r="X38" s="2120"/>
      <c r="Y38" s="2118" t="s">
        <v>480</v>
      </c>
      <c r="Z38" s="2119"/>
      <c r="AA38" s="2120"/>
      <c r="AB38" s="2130"/>
      <c r="AC38" s="1513" t="s">
        <v>536</v>
      </c>
      <c r="AD38" s="2118" t="s">
        <v>479</v>
      </c>
      <c r="AE38" s="2120"/>
      <c r="AF38" s="2118" t="s">
        <v>480</v>
      </c>
      <c r="AG38" s="2119"/>
      <c r="AH38" s="2120"/>
      <c r="AI38" s="2130"/>
      <c r="AJ38" s="2133"/>
      <c r="AK38" s="1971"/>
    </row>
    <row customHeight="1" ht="86.25">
      <c r="A39" s="1400"/>
      <c r="B39" s="1400" t="s">
        <v>152</v>
      </c>
      <c r="C39" s="1400" t="s">
        <v>153</v>
      </c>
      <c r="D39" s="1400" t="s">
        <v>154</v>
      </c>
      <c r="E39" s="1394" t="s">
        <v>481</v>
      </c>
      <c r="F39" s="1394" t="s">
        <v>482</v>
      </c>
      <c r="G39" s="1394" t="s">
        <v>483</v>
      </c>
      <c r="H39" s="1394"/>
      <c r="I39" s="1394" t="s">
        <v>537</v>
      </c>
      <c r="J39" s="1394" t="s">
        <v>486</v>
      </c>
      <c r="K39" s="1394" t="s">
        <v>538</v>
      </c>
      <c r="L39" s="1394" t="s">
        <v>462</v>
      </c>
      <c r="Q39" s="377"/>
      <c r="R39" s="377"/>
      <c r="S39" s="2125"/>
      <c r="T39" s="2062"/>
      <c r="U39" s="290"/>
      <c r="V39" s="1513" t="s">
        <v>563</v>
      </c>
      <c r="W39" s="1237" t="s">
        <v>564</v>
      </c>
      <c r="X39" s="1237" t="s">
        <v>541</v>
      </c>
      <c r="Y39" s="1519" t="s">
        <v>490</v>
      </c>
      <c r="Z39" s="2121" t="s">
        <v>491</v>
      </c>
      <c r="AA39" s="2122"/>
      <c r="AB39" s="2131"/>
      <c r="AC39" s="1513" t="s">
        <v>563</v>
      </c>
      <c r="AD39" s="1237" t="s">
        <v>564</v>
      </c>
      <c r="AE39" s="1237" t="s">
        <v>541</v>
      </c>
      <c r="AF39" s="1519" t="s">
        <v>490</v>
      </c>
      <c r="AG39" s="2121" t="s">
        <v>491</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128</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311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311</v>
      </c>
      <c r="B42" s="1393" t="s">
        <v>312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444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445</v>
      </c>
      <c r="AM42" s="506"/>
      <c r="AN42" s="506" t="str">
        <f>IF(T42="","",T42)</f>
        <v>Территория действия тарифа</v>
      </c>
      <c r="AO42" s="506"/>
      <c r="AP42" s="506"/>
    </row>
    <row customHeight="1" ht="23.25">
      <c r="A43" s="1393" t="s">
        <v>311</v>
      </c>
      <c r="B43" s="1393" t="s">
        <v>312</v>
      </c>
      <c r="C43" s="1393" t="s">
        <v>313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561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562</v>
      </c>
      <c r="AM43" s="506"/>
      <c r="AN43" s="506" t="str">
        <f>IF(T43="","",T43)</f>
        <v>Наименование централизованной системы водоотведения</v>
      </c>
      <c r="AO43" s="506"/>
      <c r="AP43" s="506"/>
    </row>
    <row customHeight="1" ht="23.25">
      <c r="A44" s="1393" t="s">
        <v>311</v>
      </c>
      <c r="B44" s="1393" t="s">
        <v>312</v>
      </c>
      <c r="C44" s="1393" t="s">
        <v>313</v>
      </c>
      <c r="D44" s="1393" t="s">
        <v>565</v>
      </c>
      <c r="E44" s="2108"/>
      <c r="F44" s="2108"/>
      <c r="G44" s="2108"/>
      <c r="H44" s="2108"/>
      <c r="I44" s="2109" t="str">
        <f>S43&amp;".1"</f>
        <v>...1</v>
      </c>
      <c r="J44" s="1393"/>
      <c r="K44" s="1393"/>
      <c r="L44" s="1394"/>
      <c r="P44" s="2111">
        <v>1</v>
      </c>
      <c r="Q44" s="1511"/>
      <c r="R44" s="352"/>
      <c r="S44" s="1523" t="str">
        <f>$I44</f>
        <v>...1</v>
      </c>
      <c r="T44" s="273" t="s">
        <v>530</v>
      </c>
      <c r="U44" s="288"/>
      <c r="V44" s="2194"/>
      <c r="W44" s="2195"/>
      <c r="X44" s="2195"/>
      <c r="Y44" s="2195"/>
      <c r="Z44" s="2195"/>
      <c r="AA44" s="2195"/>
      <c r="AB44" s="2196"/>
      <c r="AC44" s="2197"/>
      <c r="AD44" s="2198"/>
      <c r="AE44" s="2198"/>
      <c r="AF44" s="2198"/>
      <c r="AG44" s="2198"/>
      <c r="AH44" s="2198"/>
      <c r="AI44" s="2198"/>
      <c r="AJ44" s="2199"/>
      <c r="AK44" s="1286" t="s">
        <v>531</v>
      </c>
      <c r="AM44" s="506"/>
      <c r="AN44" s="506" t="str">
        <f>IF(T44="","",T44)</f>
        <v>Наименование признака дифференциации</v>
      </c>
      <c r="AO44" s="506"/>
      <c r="AP44" s="506"/>
    </row>
    <row customHeight="1" ht="23.25">
      <c r="A45" s="1393" t="s">
        <v>311</v>
      </c>
      <c r="B45" s="1393" t="s">
        <v>312</v>
      </c>
      <c r="C45" s="1393" t="s">
        <v>313</v>
      </c>
      <c r="D45" s="1393" t="s">
        <v>565</v>
      </c>
      <c r="E45" s="2108"/>
      <c r="F45" s="2108"/>
      <c r="G45" s="2108"/>
      <c r="H45" s="2108"/>
      <c r="I45" s="2110"/>
      <c r="J45" s="2109" t="str">
        <f>I44&amp;".1"</f>
        <v>...1.1</v>
      </c>
      <c r="K45" s="1393"/>
      <c r="L45" s="1394" t="s">
        <v>453</v>
      </c>
      <c r="P45" s="2111"/>
      <c r="Q45" s="2111">
        <v>1</v>
      </c>
      <c r="R45" s="353"/>
      <c r="S45" s="1523" t="str">
        <f>$J45</f>
        <v>...1.1</v>
      </c>
      <c r="T45" s="274" t="s">
        <v>454</v>
      </c>
      <c r="U45" s="288"/>
      <c r="V45" s="2095"/>
      <c r="W45" s="2096"/>
      <c r="X45" s="2096"/>
      <c r="Y45" s="2096"/>
      <c r="Z45" s="2096"/>
      <c r="AA45" s="2096"/>
      <c r="AB45" s="2097"/>
      <c r="AC45" s="2095"/>
      <c r="AD45" s="2096"/>
      <c r="AE45" s="2096"/>
      <c r="AF45" s="2096"/>
      <c r="AG45" s="2096"/>
      <c r="AH45" s="2096"/>
      <c r="AI45" s="2096"/>
      <c r="AJ45" s="2097"/>
      <c r="AK45" s="1337" t="s">
        <v>532</v>
      </c>
      <c r="AM45" s="506"/>
      <c r="AN45" s="506" t="str">
        <f>IF(T45="","",T45)</f>
        <v>Группа потребителей</v>
      </c>
      <c r="AO45" s="506"/>
      <c r="AP45" s="506"/>
    </row>
    <row customHeight="1" ht="23.25">
      <c r="A46" s="1393" t="s">
        <v>311</v>
      </c>
      <c r="B46" s="1393" t="s">
        <v>312</v>
      </c>
      <c r="C46" s="1393" t="s">
        <v>313</v>
      </c>
      <c r="D46" s="1393" t="s">
        <v>565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311</v>
      </c>
      <c r="B47" s="1393" t="s">
        <v>312</v>
      </c>
      <c r="C47" s="1393" t="s">
        <v>313</v>
      </c>
      <c r="D47" s="1393" t="s">
        <v>565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311</v>
      </c>
      <c r="B48" s="1393" t="s">
        <v>312</v>
      </c>
      <c r="C48" s="1393" t="s">
        <v>313</v>
      </c>
      <c r="D48" s="1393" t="s">
        <v>565</v>
      </c>
      <c r="E48" s="2108"/>
      <c r="F48" s="2108"/>
      <c r="G48" s="2108"/>
      <c r="H48" s="2108"/>
      <c r="I48" s="2110"/>
      <c r="J48" s="2109"/>
      <c r="K48" s="1393"/>
      <c r="L48" s="1394"/>
      <c r="P48" s="2111"/>
      <c r="Q48" s="2111"/>
      <c r="R48" s="352"/>
      <c r="S48" s="1308"/>
      <c r="T48" s="275" t="s">
        <v>533</v>
      </c>
      <c r="U48" s="367"/>
      <c r="V48" s="367"/>
      <c r="W48" s="367"/>
      <c r="X48" s="367"/>
      <c r="Y48" s="367"/>
      <c r="Z48" s="367"/>
      <c r="AA48" s="367"/>
      <c r="AB48" s="367"/>
      <c r="AC48" s="367"/>
      <c r="AD48" s="367"/>
      <c r="AE48" s="367"/>
      <c r="AF48" s="367"/>
      <c r="AG48" s="367"/>
      <c r="AH48" s="367"/>
      <c r="AI48" s="367"/>
      <c r="AJ48" s="367"/>
      <c r="AK48" s="1286" t="s">
        <v>534</v>
      </c>
      <c r="AM48" s="506"/>
      <c r="AN48" s="506" t="str">
        <f>IF(T48="","",T48)</f>
        <v>Добавить значение признака дифференциации</v>
      </c>
      <c r="AO48" s="506"/>
      <c r="AP48" s="506"/>
    </row>
    <row customHeight="1" ht="21">
      <c r="A49" s="1393" t="s">
        <v>311</v>
      </c>
      <c r="B49" s="1393" t="s">
        <v>312</v>
      </c>
      <c r="C49" s="1393" t="s">
        <v>313</v>
      </c>
      <c r="D49" s="1393" t="s">
        <v>565</v>
      </c>
      <c r="E49" s="2108"/>
      <c r="F49" s="2108"/>
      <c r="G49" s="2108"/>
      <c r="H49" s="2108"/>
      <c r="I49" s="2109"/>
      <c r="J49" s="1393"/>
      <c r="K49" s="1393"/>
      <c r="L49" s="1394"/>
      <c r="P49" s="2111"/>
      <c r="Q49" s="1511"/>
      <c r="R49" s="352"/>
      <c r="S49" s="1308"/>
      <c r="T49" s="364" t="s">
        <v>459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311</v>
      </c>
      <c r="B50" s="1393" t="s">
        <v>312</v>
      </c>
      <c r="C50" s="1393" t="s">
        <v>313</v>
      </c>
      <c r="D50" s="1393" t="s">
        <v>565</v>
      </c>
      <c r="E50" s="2108"/>
      <c r="F50" s="2108"/>
      <c r="G50" s="2108"/>
      <c r="H50" s="2107"/>
      <c r="I50" s="1393"/>
      <c r="J50" s="1393"/>
      <c r="K50" s="1393"/>
      <c r="L50" s="1394"/>
      <c r="M50" s="1395"/>
      <c r="N50" s="1395"/>
      <c r="O50" s="543"/>
      <c r="P50" s="356"/>
      <c r="Q50" s="376"/>
      <c r="R50" s="351"/>
      <c r="S50" s="1308"/>
      <c r="T50" s="372" t="s">
        <v>535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311</v>
      </c>
      <c r="B51" s="1373" t="s">
        <v>312</v>
      </c>
      <c r="C51" s="1344"/>
      <c r="D51" s="1344"/>
      <c r="E51" s="2108"/>
      <c r="F51" s="2107"/>
      <c r="G51" s="1344"/>
      <c r="H51" s="1344"/>
      <c r="I51" s="1344"/>
      <c r="J51" s="1344"/>
      <c r="K51" s="1344"/>
      <c r="L51" s="1524"/>
      <c r="M51" s="1351"/>
      <c r="N51" s="1351"/>
      <c r="P51" s="1346"/>
      <c r="Q51" s="1347"/>
      <c r="R51" s="1346"/>
      <c r="S51" s="1352"/>
      <c r="T51" s="1355" t="s">
        <v>192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311</v>
      </c>
      <c r="B52" s="1373"/>
      <c r="C52" s="1373"/>
      <c r="D52" s="1373"/>
      <c r="E52" s="2107"/>
      <c r="F52" s="1373"/>
      <c r="G52" s="1373"/>
      <c r="H52" s="1373"/>
      <c r="I52" s="1373"/>
      <c r="J52" s="1373"/>
      <c r="K52" s="1373"/>
      <c r="L52" s="1376"/>
      <c r="M52" s="1351"/>
      <c r="N52" s="1351"/>
      <c r="O52" s="524"/>
      <c r="P52" s="385"/>
      <c r="Q52" s="1374"/>
      <c r="R52" s="385"/>
      <c r="S52" s="1352"/>
      <c r="T52" s="1355" t="s">
        <v>211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70A84-9806-7EE6-A917-B4C417B7C75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6166" width="19.140625" hidden="1" customWidth="1"/>
    <col min="13" max="14" style="3332" width="12.28125" hidden="1" customWidth="1"/>
    <col min="15" max="15" style="3332" width="23.421875" hidden="1" customWidth="1"/>
    <col min="16" max="16" style="6171" width="3.7109375" customWidth="1"/>
    <col min="17" max="18" style="3409" width="3.7109375" customWidth="1"/>
    <col min="19" max="19" style="3410" width="12.7109375" customWidth="1"/>
    <col min="20" max="20" style="2983" width="35.7109375" customWidth="1"/>
    <col min="21" max="21" style="2983" width="0.140625" customWidth="1"/>
    <col min="22" max="24" style="2983" width="24.7109375" hidden="1" customWidth="1"/>
    <col min="25" max="25" style="2983" width="11.7109375" hidden="1" customWidth="1"/>
    <col min="26" max="26" style="2983" width="3.7109375" hidden="1" customWidth="1"/>
    <col min="27" max="27" style="2983" width="11.7109375" hidden="1" customWidth="1"/>
    <col min="28" max="28" style="2983" width="8.57421875" hidden="1" customWidth="1"/>
    <col min="29" max="31" style="2983" width="24.7109375" customWidth="1"/>
    <col min="32" max="32" style="2983" width="11.7109375" customWidth="1"/>
    <col min="33" max="33" style="2983" width="3.7109375" customWidth="1"/>
    <col min="34" max="34" style="2983" width="11.7109375" customWidth="1"/>
    <col min="35" max="35" style="2983" width="8.57421875" hidden="1" customWidth="1"/>
    <col min="36" max="36" style="2983" width="4.7109375" customWidth="1"/>
    <col min="37" max="37" style="298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444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561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562</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530</v>
      </c>
      <c r="U5" s="288"/>
      <c r="V5" s="2194"/>
      <c r="W5" s="2195"/>
      <c r="X5" s="2195"/>
      <c r="Y5" s="2195"/>
      <c r="Z5" s="2195"/>
      <c r="AA5" s="2195"/>
      <c r="AB5" s="2196"/>
      <c r="AC5" s="2197"/>
      <c r="AD5" s="2198"/>
      <c r="AE5" s="2198"/>
      <c r="AF5" s="2198"/>
      <c r="AG5" s="2198"/>
      <c r="AH5" s="2198"/>
      <c r="AI5" s="2198"/>
      <c r="AJ5" s="2199"/>
      <c r="AK5" s="1286" t="s">
        <v>531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453</v>
      </c>
      <c r="P6" s="2111"/>
      <c r="Q6" s="2111">
        <v>1</v>
      </c>
      <c r="R6" s="353"/>
      <c r="S6" s="1523">
        <f>$J6</f>
      </c>
      <c r="T6" s="274" t="s">
        <v>454</v>
      </c>
      <c r="U6" s="288"/>
      <c r="V6" s="2095"/>
      <c r="W6" s="2096"/>
      <c r="X6" s="2096"/>
      <c r="Y6" s="2096"/>
      <c r="Z6" s="2096"/>
      <c r="AA6" s="2096"/>
      <c r="AB6" s="2097"/>
      <c r="AC6" s="2095"/>
      <c r="AD6" s="2096"/>
      <c r="AE6" s="2096"/>
      <c r="AF6" s="2096"/>
      <c r="AG6" s="2096"/>
      <c r="AH6" s="2096"/>
      <c r="AI6" s="2096"/>
      <c r="AJ6" s="2097"/>
      <c r="AK6" s="1337" t="s">
        <v>532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533</v>
      </c>
      <c r="U9" s="367"/>
      <c r="V9" s="367"/>
      <c r="W9" s="367"/>
      <c r="X9" s="367"/>
      <c r="Y9" s="367"/>
      <c r="Z9" s="367"/>
      <c r="AA9" s="367"/>
      <c r="AB9" s="367"/>
      <c r="AC9" s="367"/>
      <c r="AD9" s="367"/>
      <c r="AE9" s="367"/>
      <c r="AF9" s="367"/>
      <c r="AG9" s="367"/>
      <c r="AH9" s="367"/>
      <c r="AI9" s="367"/>
      <c r="AJ9" s="367"/>
      <c r="AK9" s="1286" t="s">
        <v>534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459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192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461</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462</v>
      </c>
      <c r="P20" s="1392"/>
      <c r="Q20" s="1472"/>
      <c r="R20" s="1472"/>
      <c r="S20" s="735"/>
      <c r="T20" s="1168" t="s">
        <v>463</v>
      </c>
      <c r="Z20" s="172" t="s">
        <v>464</v>
      </c>
      <c r="AB20" s="172" t="s">
        <v>465</v>
      </c>
      <c r="AC20" s="1168" t="s">
        <v>463</v>
      </c>
      <c r="AG20" s="172" t="s">
        <v>466</v>
      </c>
      <c r="AI20" s="172" t="s">
        <v>465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3" customFormat="1" customHeight="1" ht="18.75">
      <c r="A28" s="1398"/>
      <c r="B28" s="1398"/>
      <c r="C28" s="1398"/>
      <c r="D28" s="1398"/>
      <c r="E28" s="1398"/>
      <c r="F28" s="1398"/>
      <c r="G28" s="1398"/>
      <c r="H28" s="1398"/>
      <c r="I28" s="1398"/>
      <c r="J28" s="1398"/>
      <c r="K28" s="1398"/>
      <c r="L28" s="1399"/>
      <c r="M28" s="1398"/>
      <c r="N28" s="1398"/>
      <c r="O28" s="1398"/>
      <c r="S28" s="2098" t="s">
        <v>467</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3" customFormat="1" customHeight="1" ht="18.75">
      <c r="A29" s="1398"/>
      <c r="B29" s="1398"/>
      <c r="C29" s="1398"/>
      <c r="D29" s="1398"/>
      <c r="E29" s="1398"/>
      <c r="F29" s="1398"/>
      <c r="G29" s="1398"/>
      <c r="H29" s="1398"/>
      <c r="I29" s="1398"/>
      <c r="J29" s="1398"/>
      <c r="K29" s="1398"/>
      <c r="L29" s="1399"/>
      <c r="M29" s="1398"/>
      <c r="N29" s="1398"/>
      <c r="O29" s="1398"/>
      <c r="S29" s="2098" t="s">
        <v>468</v>
      </c>
      <c r="T29" s="2098"/>
      <c r="U29" s="1402"/>
      <c r="V29" s="2100" t="str">
        <f>IF(TITLE_NUMBER_PR_CHANGE="",IF(TITLE_NUMBER_PR="","",TITLE_NUMBER_PR),TITLE_NUMBER_PR_CHANGE)</f>
        <v>51/11</v>
      </c>
      <c r="W29" s="2100"/>
      <c r="X29" s="2100"/>
      <c r="Y29" s="2100"/>
      <c r="Z29" s="2100"/>
      <c r="AA29" s="2100"/>
      <c r="AB29" s="322"/>
      <c r="AC29" s="2100" t="str">
        <f>IF(TITLE_NUMBER_PR_CHANGE="",IF(TITLE_NUMBER_PR="","",TITLE_NUMBER_PR),TITLE_NUMBER_PR_CHANGE)</f>
        <v>51/11</v>
      </c>
      <c r="AD29" s="2100"/>
      <c r="AE29" s="2100"/>
      <c r="AF29" s="2100"/>
      <c r="AG29" s="2100"/>
      <c r="AH29" s="2100"/>
      <c r="AI29" s="322"/>
      <c r="AJ29" s="322"/>
      <c r="AK29" s="268"/>
      <c r="AL29" s="368"/>
      <c r="AM29" s="368"/>
      <c r="AN29" s="368"/>
      <c r="AO29" s="368"/>
      <c r="AP29" s="368"/>
    </row>
    <row s="33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https://npa.gov-murman.ru/bitrix/components/b1team/govmurman.element.file/download.php?ID=508451&amp;FID=750724</v>
      </c>
      <c r="W30" s="2100"/>
      <c r="X30" s="2100"/>
      <c r="Y30" s="2100"/>
      <c r="Z30" s="2100"/>
      <c r="AA30" s="2100"/>
      <c r="AB30" s="322"/>
      <c r="AC30" s="2100" t="str">
        <f>IF(TITLE_IST_PUB_CHANGE="",IF(TITLE_IST_PUB="","",TITLE_IST_PUB),TITLE_IST_PUB_CHANGE)</f>
        <v>https://npa.gov-murman.ru/bitrix/components/b1team/govmurman.element.file/download.php?ID=508451&amp;FID=750724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3" customFormat="1" customHeight="1" ht="18.75" hidden="1">
      <c r="A32" s="1398"/>
      <c r="B32" s="1398"/>
      <c r="C32" s="1398"/>
      <c r="D32" s="1398"/>
      <c r="E32" s="1398"/>
      <c r="F32" s="1398"/>
      <c r="G32" s="1398"/>
      <c r="H32" s="1398"/>
      <c r="I32" s="1398"/>
      <c r="J32" s="1398"/>
      <c r="K32" s="1398"/>
      <c r="L32" s="1399"/>
      <c r="M32" s="1398"/>
      <c r="N32" s="1398"/>
      <c r="O32" s="1398"/>
      <c r="S32" s="2098" t="s">
        <v>469</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3" customFormat="1" customHeight="1" ht="18.75" hidden="1">
      <c r="A33" s="1398"/>
      <c r="B33" s="1398"/>
      <c r="C33" s="1398"/>
      <c r="D33" s="1398"/>
      <c r="E33" s="1398"/>
      <c r="F33" s="1398"/>
      <c r="G33" s="1398"/>
      <c r="H33" s="1398"/>
      <c r="I33" s="1398"/>
      <c r="J33" s="1398"/>
      <c r="K33" s="1398"/>
      <c r="L33" s="1399"/>
      <c r="M33" s="1398"/>
      <c r="N33" s="1398"/>
      <c r="O33" s="1398"/>
      <c r="S33" s="2098" t="s">
        <v>470</v>
      </c>
      <c r="T33" s="2098"/>
      <c r="U33" s="1402"/>
      <c r="V33" s="2100" t="str">
        <f>IF(TITLE_NUMBER_PR_CHANGE="",IF(TITLE_NUMBER_PR="","",TITLE_NUMBER_PR),TITLE_NUMBER_PR_CHANGE)</f>
        <v>51/11</v>
      </c>
      <c r="W33" s="2100"/>
      <c r="X33" s="2100"/>
      <c r="Y33" s="2100"/>
      <c r="Z33" s="2100"/>
      <c r="AA33" s="2100"/>
      <c r="AB33" s="322"/>
      <c r="AC33" s="2100" t="str">
        <f>IF(TITLE_NUMBER_PR_CHANGE="",IF(TITLE_NUMBER_PR="","",TITLE_NUMBER_PR),TITLE_NUMBER_PR_CHANGE)</f>
        <v>51/11</v>
      </c>
      <c r="AD33" s="2100"/>
      <c r="AE33" s="2100"/>
      <c r="AF33" s="2100"/>
      <c r="AG33" s="2100"/>
      <c r="AH33" s="2100"/>
      <c r="AI33" s="322"/>
      <c r="AJ33" s="322"/>
      <c r="AK33" s="268"/>
      <c r="AL33" s="368"/>
      <c r="AM33" s="368"/>
      <c r="AN33" s="368"/>
      <c r="AO33" s="368"/>
      <c r="AP33" s="368"/>
    </row>
    <row s="334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471</v>
      </c>
      <c r="AC34" s="322"/>
      <c r="AD34" s="322"/>
      <c r="AE34" s="322"/>
      <c r="AF34" s="322"/>
      <c r="AG34" s="322"/>
      <c r="AH34" s="322"/>
      <c r="AI34" s="266" t="s">
        <v>471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345</v>
      </c>
      <c r="T36" s="1971"/>
      <c r="U36" s="1971"/>
      <c r="V36" s="1971"/>
      <c r="W36" s="1971"/>
      <c r="X36" s="1971"/>
      <c r="Y36" s="1971"/>
      <c r="Z36" s="1971"/>
      <c r="AA36" s="1971"/>
      <c r="AB36" s="1971"/>
      <c r="AC36" s="1971"/>
      <c r="AD36" s="1971"/>
      <c r="AE36" s="1971"/>
      <c r="AF36" s="1971"/>
      <c r="AG36" s="1971"/>
      <c r="AH36" s="1971"/>
      <c r="AI36" s="1971"/>
      <c r="AJ36" s="1971"/>
      <c r="AK36" s="1971" t="s">
        <v>346</v>
      </c>
    </row>
    <row customHeight="1" ht="14.25">
      <c r="Q37" s="377"/>
      <c r="R37" s="377"/>
      <c r="S37" s="2125" t="s">
        <v>87</v>
      </c>
      <c r="T37" s="2062" t="s">
        <v>472</v>
      </c>
      <c r="U37" s="289"/>
      <c r="V37" s="2126" t="s">
        <v>473</v>
      </c>
      <c r="W37" s="2127"/>
      <c r="X37" s="2127"/>
      <c r="Y37" s="2127"/>
      <c r="Z37" s="2127"/>
      <c r="AA37" s="2128"/>
      <c r="AB37" s="2129" t="s">
        <v>474</v>
      </c>
      <c r="AC37" s="2126" t="s">
        <v>473</v>
      </c>
      <c r="AD37" s="2127"/>
      <c r="AE37" s="2127"/>
      <c r="AF37" s="2127"/>
      <c r="AG37" s="2127"/>
      <c r="AH37" s="2128"/>
      <c r="AI37" s="2129" t="s">
        <v>475</v>
      </c>
      <c r="AJ37" s="2132" t="s">
        <v>476</v>
      </c>
      <c r="AK37" s="1971"/>
    </row>
    <row customHeight="1" ht="33.75">
      <c r="Q38" s="377"/>
      <c r="R38" s="377"/>
      <c r="S38" s="2125"/>
      <c r="T38" s="2062"/>
      <c r="U38" s="1038"/>
      <c r="V38" s="1513" t="s">
        <v>536</v>
      </c>
      <c r="W38" s="2118" t="s">
        <v>479</v>
      </c>
      <c r="X38" s="2120"/>
      <c r="Y38" s="2118" t="s">
        <v>480</v>
      </c>
      <c r="Z38" s="2119"/>
      <c r="AA38" s="2120"/>
      <c r="AB38" s="2130"/>
      <c r="AC38" s="1513" t="s">
        <v>536</v>
      </c>
      <c r="AD38" s="2118" t="s">
        <v>479</v>
      </c>
      <c r="AE38" s="2120"/>
      <c r="AF38" s="2118" t="s">
        <v>480</v>
      </c>
      <c r="AG38" s="2119"/>
      <c r="AH38" s="2120"/>
      <c r="AI38" s="2130"/>
      <c r="AJ38" s="2133"/>
      <c r="AK38" s="1971"/>
    </row>
    <row customHeight="1" ht="86.25">
      <c r="A39" s="1400"/>
      <c r="B39" s="1400" t="s">
        <v>152</v>
      </c>
      <c r="C39" s="1400" t="s">
        <v>153</v>
      </c>
      <c r="D39" s="1400" t="s">
        <v>154</v>
      </c>
      <c r="E39" s="1394" t="s">
        <v>481</v>
      </c>
      <c r="F39" s="1394" t="s">
        <v>482</v>
      </c>
      <c r="G39" s="1394" t="s">
        <v>483</v>
      </c>
      <c r="H39" s="1394"/>
      <c r="I39" s="1394" t="s">
        <v>537</v>
      </c>
      <c r="J39" s="1394" t="s">
        <v>486</v>
      </c>
      <c r="K39" s="1394" t="s">
        <v>538</v>
      </c>
      <c r="L39" s="1394" t="s">
        <v>462</v>
      </c>
      <c r="Q39" s="377"/>
      <c r="R39" s="377"/>
      <c r="S39" s="2125"/>
      <c r="T39" s="2062"/>
      <c r="U39" s="290"/>
      <c r="V39" s="1513" t="s">
        <v>563</v>
      </c>
      <c r="W39" s="1237" t="s">
        <v>564</v>
      </c>
      <c r="X39" s="1237" t="s">
        <v>541</v>
      </c>
      <c r="Y39" s="1519" t="s">
        <v>490</v>
      </c>
      <c r="Z39" s="2121" t="s">
        <v>491</v>
      </c>
      <c r="AA39" s="2122"/>
      <c r="AB39" s="2131"/>
      <c r="AC39" s="1513" t="s">
        <v>563</v>
      </c>
      <c r="AD39" s="1237" t="s">
        <v>564</v>
      </c>
      <c r="AE39" s="1237" t="s">
        <v>541</v>
      </c>
      <c r="AF39" s="1519" t="s">
        <v>490</v>
      </c>
      <c r="AG39" s="2121" t="s">
        <v>491</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128</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316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316</v>
      </c>
      <c r="B42" s="1393" t="s">
        <v>317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444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445</v>
      </c>
      <c r="AM42" s="506"/>
      <c r="AN42" s="506" t="str">
        <f>IF(T42="","",T42)</f>
        <v>Территория действия тарифа</v>
      </c>
      <c r="AO42" s="506"/>
      <c r="AP42" s="506"/>
    </row>
    <row customHeight="1" ht="23.25">
      <c r="A43" s="1393" t="s">
        <v>316</v>
      </c>
      <c r="B43" s="1393" t="s">
        <v>317</v>
      </c>
      <c r="C43" s="1393" t="s">
        <v>318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561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562</v>
      </c>
      <c r="AM43" s="506"/>
      <c r="AN43" s="506" t="str">
        <f>IF(T43="","",T43)</f>
        <v>Наименование централизованной системы водоотведения</v>
      </c>
      <c r="AO43" s="506"/>
      <c r="AP43" s="506"/>
    </row>
    <row customHeight="1" ht="23.25">
      <c r="A44" s="1393" t="s">
        <v>316</v>
      </c>
      <c r="B44" s="1393" t="s">
        <v>317</v>
      </c>
      <c r="C44" s="1393" t="s">
        <v>318</v>
      </c>
      <c r="D44" s="1393" t="s">
        <v>566</v>
      </c>
      <c r="E44" s="2108"/>
      <c r="F44" s="2108"/>
      <c r="G44" s="2108"/>
      <c r="H44" s="2108"/>
      <c r="I44" s="2109" t="str">
        <f>S43&amp;".1"</f>
        <v>...1</v>
      </c>
      <c r="J44" s="1393"/>
      <c r="K44" s="1393"/>
      <c r="L44" s="1394"/>
      <c r="P44" s="2111">
        <v>1</v>
      </c>
      <c r="Q44" s="1511"/>
      <c r="R44" s="352"/>
      <c r="S44" s="1523" t="str">
        <f>$I44</f>
        <v>...1</v>
      </c>
      <c r="T44" s="273" t="s">
        <v>530</v>
      </c>
      <c r="U44" s="288"/>
      <c r="V44" s="2194"/>
      <c r="W44" s="2195"/>
      <c r="X44" s="2195"/>
      <c r="Y44" s="2195"/>
      <c r="Z44" s="2195"/>
      <c r="AA44" s="2195"/>
      <c r="AB44" s="2196"/>
      <c r="AC44" s="2197"/>
      <c r="AD44" s="2198"/>
      <c r="AE44" s="2198"/>
      <c r="AF44" s="2198"/>
      <c r="AG44" s="2198"/>
      <c r="AH44" s="2198"/>
      <c r="AI44" s="2198"/>
      <c r="AJ44" s="2199"/>
      <c r="AK44" s="1286" t="s">
        <v>531</v>
      </c>
      <c r="AM44" s="506"/>
      <c r="AN44" s="506" t="str">
        <f>IF(T44="","",T44)</f>
        <v>Наименование признака дифференциации</v>
      </c>
      <c r="AO44" s="506"/>
      <c r="AP44" s="506"/>
    </row>
    <row customHeight="1" ht="23.25">
      <c r="A45" s="1393" t="s">
        <v>316</v>
      </c>
      <c r="B45" s="1393" t="s">
        <v>317</v>
      </c>
      <c r="C45" s="1393" t="s">
        <v>318</v>
      </c>
      <c r="D45" s="1393" t="s">
        <v>566</v>
      </c>
      <c r="E45" s="2108"/>
      <c r="F45" s="2108"/>
      <c r="G45" s="2108"/>
      <c r="H45" s="2108"/>
      <c r="I45" s="2110"/>
      <c r="J45" s="2109" t="str">
        <f>I44&amp;".1"</f>
        <v>...1.1</v>
      </c>
      <c r="K45" s="1393"/>
      <c r="L45" s="1394" t="s">
        <v>453</v>
      </c>
      <c r="P45" s="2111"/>
      <c r="Q45" s="2111">
        <v>1</v>
      </c>
      <c r="R45" s="353"/>
      <c r="S45" s="1523" t="str">
        <f>$J45</f>
        <v>...1.1</v>
      </c>
      <c r="T45" s="274" t="s">
        <v>454</v>
      </c>
      <c r="U45" s="288"/>
      <c r="V45" s="2095"/>
      <c r="W45" s="2096"/>
      <c r="X45" s="2096"/>
      <c r="Y45" s="2096"/>
      <c r="Z45" s="2096"/>
      <c r="AA45" s="2096"/>
      <c r="AB45" s="2097"/>
      <c r="AC45" s="2095"/>
      <c r="AD45" s="2096"/>
      <c r="AE45" s="2096"/>
      <c r="AF45" s="2096"/>
      <c r="AG45" s="2096"/>
      <c r="AH45" s="2096"/>
      <c r="AI45" s="2096"/>
      <c r="AJ45" s="2097"/>
      <c r="AK45" s="1337" t="s">
        <v>532</v>
      </c>
      <c r="AM45" s="506"/>
      <c r="AN45" s="506" t="str">
        <f>IF(T45="","",T45)</f>
        <v>Группа потребителей</v>
      </c>
      <c r="AO45" s="506"/>
      <c r="AP45" s="506"/>
    </row>
    <row customHeight="1" ht="23.25">
      <c r="A46" s="1393" t="s">
        <v>316</v>
      </c>
      <c r="B46" s="1393" t="s">
        <v>317</v>
      </c>
      <c r="C46" s="1393" t="s">
        <v>318</v>
      </c>
      <c r="D46" s="1393" t="s">
        <v>566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316</v>
      </c>
      <c r="B47" s="1393" t="s">
        <v>317</v>
      </c>
      <c r="C47" s="1393" t="s">
        <v>318</v>
      </c>
      <c r="D47" s="1393" t="s">
        <v>566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316</v>
      </c>
      <c r="B48" s="1393" t="s">
        <v>317</v>
      </c>
      <c r="C48" s="1393" t="s">
        <v>318</v>
      </c>
      <c r="D48" s="1393" t="s">
        <v>566</v>
      </c>
      <c r="E48" s="2108"/>
      <c r="F48" s="2108"/>
      <c r="G48" s="2108"/>
      <c r="H48" s="2108"/>
      <c r="I48" s="2110"/>
      <c r="J48" s="2109"/>
      <c r="K48" s="1393"/>
      <c r="L48" s="1394"/>
      <c r="P48" s="2111"/>
      <c r="Q48" s="2111"/>
      <c r="R48" s="352"/>
      <c r="S48" s="1308"/>
      <c r="T48" s="275" t="s">
        <v>533</v>
      </c>
      <c r="U48" s="367"/>
      <c r="V48" s="367"/>
      <c r="W48" s="367"/>
      <c r="X48" s="367"/>
      <c r="Y48" s="367"/>
      <c r="Z48" s="367"/>
      <c r="AA48" s="367"/>
      <c r="AB48" s="367"/>
      <c r="AC48" s="367"/>
      <c r="AD48" s="367"/>
      <c r="AE48" s="367"/>
      <c r="AF48" s="367"/>
      <c r="AG48" s="367"/>
      <c r="AH48" s="367"/>
      <c r="AI48" s="367"/>
      <c r="AJ48" s="367"/>
      <c r="AK48" s="1286" t="s">
        <v>534</v>
      </c>
      <c r="AM48" s="506"/>
      <c r="AN48" s="506" t="str">
        <f>IF(T48="","",T48)</f>
        <v>Добавить значение признака дифференциации</v>
      </c>
      <c r="AO48" s="506"/>
      <c r="AP48" s="506"/>
    </row>
    <row customHeight="1" ht="21">
      <c r="A49" s="1393" t="s">
        <v>316</v>
      </c>
      <c r="B49" s="1393" t="s">
        <v>317</v>
      </c>
      <c r="C49" s="1393" t="s">
        <v>318</v>
      </c>
      <c r="D49" s="1393" t="s">
        <v>566</v>
      </c>
      <c r="E49" s="2108"/>
      <c r="F49" s="2108"/>
      <c r="G49" s="2108"/>
      <c r="H49" s="2108"/>
      <c r="I49" s="2109"/>
      <c r="J49" s="1393"/>
      <c r="K49" s="1393"/>
      <c r="L49" s="1394"/>
      <c r="P49" s="2111"/>
      <c r="Q49" s="1511"/>
      <c r="R49" s="352"/>
      <c r="S49" s="1308"/>
      <c r="T49" s="364" t="s">
        <v>459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316</v>
      </c>
      <c r="B50" s="1393" t="s">
        <v>317</v>
      </c>
      <c r="C50" s="1393" t="s">
        <v>318</v>
      </c>
      <c r="D50" s="1393" t="s">
        <v>566</v>
      </c>
      <c r="E50" s="2108"/>
      <c r="F50" s="2108"/>
      <c r="G50" s="2108"/>
      <c r="H50" s="2107"/>
      <c r="I50" s="1393"/>
      <c r="J50" s="1393"/>
      <c r="K50" s="1393"/>
      <c r="L50" s="1394"/>
      <c r="M50" s="1395"/>
      <c r="N50" s="1395"/>
      <c r="O50" s="543"/>
      <c r="P50" s="356"/>
      <c r="Q50" s="376"/>
      <c r="R50" s="351"/>
      <c r="S50" s="1308"/>
      <c r="T50" s="372" t="s">
        <v>535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316</v>
      </c>
      <c r="B51" s="1373" t="s">
        <v>317</v>
      </c>
      <c r="C51" s="1344"/>
      <c r="D51" s="1344"/>
      <c r="E51" s="2108"/>
      <c r="F51" s="2107"/>
      <c r="G51" s="1344"/>
      <c r="H51" s="1344"/>
      <c r="I51" s="1344"/>
      <c r="J51" s="1344"/>
      <c r="K51" s="1344"/>
      <c r="L51" s="1524"/>
      <c r="M51" s="1351"/>
      <c r="N51" s="1351"/>
      <c r="P51" s="1346"/>
      <c r="Q51" s="1347"/>
      <c r="R51" s="1346"/>
      <c r="S51" s="1352"/>
      <c r="T51" s="1355" t="s">
        <v>192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316</v>
      </c>
      <c r="B52" s="1373"/>
      <c r="C52" s="1373"/>
      <c r="D52" s="1373"/>
      <c r="E52" s="2107"/>
      <c r="F52" s="1373"/>
      <c r="G52" s="1373"/>
      <c r="H52" s="1373"/>
      <c r="I52" s="1373"/>
      <c r="J52" s="1373"/>
      <c r="K52" s="1373"/>
      <c r="L52" s="1376"/>
      <c r="M52" s="1351"/>
      <c r="N52" s="1351"/>
      <c r="O52" s="524"/>
      <c r="P52" s="385"/>
      <c r="Q52" s="1374"/>
      <c r="R52" s="385"/>
      <c r="S52" s="1352"/>
      <c r="T52" s="1355" t="s">
        <v>211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02CC4-E537-24BA-0BE7-FE40857E9FC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6166" width="19.140625" hidden="1" customWidth="1"/>
    <col min="13" max="14" style="3332" width="12.28125" hidden="1" customWidth="1"/>
    <col min="15" max="15" style="3332" width="23.421875" hidden="1" customWidth="1"/>
    <col min="16" max="16" style="3332" width="3.7109375" hidden="1" customWidth="1"/>
    <col min="17" max="17" style="3334" width="3.7109375" hidden="1" customWidth="1"/>
    <col min="18" max="18" style="3409" width="3.7109375" customWidth="1"/>
    <col min="19" max="19" style="3410" width="12.7109375" customWidth="1"/>
    <col min="20" max="20" style="2983" width="32.00390625" customWidth="1"/>
    <col min="21" max="21" style="2983" width="0.140625" customWidth="1"/>
    <col min="22" max="25" style="2983" width="21.7109375" hidden="1" customWidth="1"/>
    <col min="26" max="26" style="2983" width="11.7109375" hidden="1" customWidth="1"/>
    <col min="27" max="27" style="2983" width="3.7109375" hidden="1" customWidth="1"/>
    <col min="28" max="28" style="2983" width="11.7109375" hidden="1" customWidth="1"/>
    <col min="29" max="29" style="2983" width="8.57421875" hidden="1" customWidth="1"/>
    <col min="30" max="32" style="2983" width="3.7109375" customWidth="1"/>
    <col min="33" max="33" style="2983" width="24.7109375" customWidth="1"/>
    <col min="34" max="36" style="2983" width="3.7109375" customWidth="1"/>
    <col min="37" max="37" style="2983" width="24.7109375" customWidth="1"/>
    <col min="38" max="40" style="2983" width="3.7109375" customWidth="1"/>
    <col min="41" max="41" style="2983" width="18.8515625" customWidth="1"/>
    <col min="42" max="44" style="2983" width="3.7109375" customWidth="1"/>
    <col min="45" max="45" style="2983" width="18.8515625" customWidth="1"/>
    <col min="46" max="49" style="2983" width="21.7109375" customWidth="1"/>
    <col min="50" max="50" style="2983" width="11.7109375" customWidth="1"/>
    <col min="51" max="51" style="2983" width="3.7109375" customWidth="1"/>
    <col min="52" max="52" style="2983" width="11.7109375" customWidth="1"/>
    <col min="53" max="53" style="2983" width="8.57421875" hidden="1" customWidth="1"/>
    <col min="54" max="54" style="2983" width="4.7109375" customWidth="1"/>
    <col min="55" max="55" style="2983"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140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444</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445</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561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562</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449</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450</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546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547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567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568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550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514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192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461</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6075" customFormat="1" customHeight="1" ht="14.25" hidden="1">
      <c r="M24" s="1538"/>
      <c r="N24" s="1538"/>
      <c r="O24" s="1539" t="s">
        <v>462</v>
      </c>
      <c r="P24" s="1538"/>
      <c r="Q24" s="1540"/>
      <c r="R24" s="1540"/>
      <c r="AA24" s="1537" t="s">
        <v>464</v>
      </c>
      <c r="AC24" s="1537" t="s">
        <v>465</v>
      </c>
      <c r="AD24" s="1537" t="s">
        <v>515</v>
      </c>
      <c r="AH24" s="1537" t="s">
        <v>515</v>
      </c>
      <c r="AK24" s="1537" t="s">
        <v>551</v>
      </c>
      <c r="AL24" s="1537" t="s">
        <v>515</v>
      </c>
      <c r="AP24" s="1537" t="s">
        <v>515</v>
      </c>
      <c r="AY24" s="1537" t="s">
        <v>464</v>
      </c>
      <c r="BA24" s="1537" t="s">
        <v>465</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3"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3" customFormat="1" customHeight="1" ht="18.75">
      <c r="A32" s="1398"/>
      <c r="B32" s="1398"/>
      <c r="C32" s="1398"/>
      <c r="D32" s="1398"/>
      <c r="E32" s="1398"/>
      <c r="F32" s="1398"/>
      <c r="G32" s="1398"/>
      <c r="H32" s="1398"/>
      <c r="I32" s="1398"/>
      <c r="J32" s="1398"/>
      <c r="K32" s="1398"/>
      <c r="L32" s="1399"/>
      <c r="M32" s="1398"/>
      <c r="N32" s="1398"/>
      <c r="O32" s="1398"/>
      <c r="P32" s="1398"/>
      <c r="Q32" s="1398"/>
      <c r="S32" s="2098" t="s">
        <v>467</v>
      </c>
      <c r="T32" s="2098"/>
      <c r="U32" s="1402"/>
      <c r="V32" s="2099" t="str">
        <f>IF(TITLE_DATE_PR_CHANGE="",IF(TITLE_DATE_PR="","",TITLE_DATE_PR),TITLE_DATE_PR_CHANGE)</f>
        <v>45280</v>
      </c>
      <c r="W32" s="2099"/>
      <c r="X32" s="2099"/>
      <c r="Y32" s="2099"/>
      <c r="Z32" s="2099"/>
      <c r="AA32" s="2099"/>
      <c r="AB32" s="2099"/>
      <c r="AC32" s="322"/>
      <c r="AD32" s="2099" t="str">
        <f>IF(TITLE_DATE_PR_CHANGE="",IF(TITLE_DATE_PR="","",TITLE_DATE_PR),TITLE_DATE_PR_CHANGE)</f>
        <v>45280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3" customFormat="1" customHeight="1" ht="18.75">
      <c r="A33" s="1398"/>
      <c r="B33" s="1398"/>
      <c r="C33" s="1398"/>
      <c r="D33" s="1398"/>
      <c r="E33" s="1398"/>
      <c r="F33" s="1398"/>
      <c r="G33" s="1398"/>
      <c r="H33" s="1398"/>
      <c r="I33" s="1398"/>
      <c r="J33" s="1398"/>
      <c r="K33" s="1398"/>
      <c r="L33" s="1399"/>
      <c r="M33" s="1398"/>
      <c r="N33" s="1398"/>
      <c r="O33" s="1398"/>
      <c r="P33" s="1398"/>
      <c r="Q33" s="1398"/>
      <c r="S33" s="2098" t="s">
        <v>468</v>
      </c>
      <c r="T33" s="2098"/>
      <c r="U33" s="1402"/>
      <c r="V33" s="2100" t="str">
        <f>IF(TITLE_NUMBER_PR_CHANGE="",IF(TITLE_NUMBER_PR="","",TITLE_NUMBER_PR),TITLE_NUMBER_PR_CHANGE)</f>
        <v>51/11</v>
      </c>
      <c r="W33" s="2100"/>
      <c r="X33" s="2100"/>
      <c r="Y33" s="2100"/>
      <c r="Z33" s="2100"/>
      <c r="AA33" s="2100"/>
      <c r="AB33" s="2100"/>
      <c r="AC33" s="322"/>
      <c r="AD33" s="2100" t="str">
        <f>IF(TITLE_NUMBER_PR_CHANGE="",IF(TITLE_NUMBER_PR="","",TITLE_NUMBER_PR),TITLE_NUMBER_PR_CHANGE)</f>
        <v>51/11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3"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https://npa.gov-murman.ru/bitrix/components/b1team/govmurman.element.file/download.php?ID=508451&amp;FID=750724</v>
      </c>
      <c r="W34" s="2100"/>
      <c r="X34" s="2100"/>
      <c r="Y34" s="2100"/>
      <c r="Z34" s="2100"/>
      <c r="AA34" s="2100"/>
      <c r="AB34" s="2100"/>
      <c r="AC34" s="322"/>
      <c r="AD34" s="2100" t="str">
        <f>IF(TITLE_IST_PUB_CHANGE="",IF(TITLE_IST_PUB="","",TITLE_IST_PUB),TITLE_IST_PUB_CHANGE)</f>
        <v>https://npa.gov-murman.ru/bitrix/components/b1team/govmurman.element.file/download.php?ID=508451&amp;FID=750724</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3"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467</v>
      </c>
      <c r="T36" s="2098"/>
      <c r="U36" s="1402"/>
      <c r="V36" s="2099" t="str">
        <f>IF(TITLE_DATE_PR_CHANGE="",IF(TITLE_DATE_PR="","",TITLE_DATE_PR),TITLE_DATE_PR_CHANGE)</f>
        <v>45280</v>
      </c>
      <c r="W36" s="2099"/>
      <c r="X36" s="2099"/>
      <c r="Y36" s="2099"/>
      <c r="Z36" s="2099"/>
      <c r="AA36" s="2099"/>
      <c r="AB36" s="2099"/>
      <c r="AC36" s="322"/>
      <c r="AD36" s="2099" t="str">
        <f>IF(TITLE_DATE_PR_CHANGE="",IF(TITLE_DATE_PR="","",TITLE_DATE_PR),TITLE_DATE_PR_CHANGE)</f>
        <v>45280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3"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468</v>
      </c>
      <c r="T37" s="2098"/>
      <c r="U37" s="1402"/>
      <c r="V37" s="2100" t="str">
        <f>IF(TITLE_NUMBER_PR_CHANGE="",IF(TITLE_NUMBER_PR="","",TITLE_NUMBER_PR),TITLE_NUMBER_PR_CHANGE)</f>
        <v>51/11</v>
      </c>
      <c r="W37" s="2100"/>
      <c r="X37" s="2100"/>
      <c r="Y37" s="2100"/>
      <c r="Z37" s="2100"/>
      <c r="AA37" s="2100"/>
      <c r="AB37" s="2100"/>
      <c r="AC37" s="322"/>
      <c r="AD37" s="2100" t="str">
        <f>IF(TITLE_NUMBER_PR_CHANGE="",IF(TITLE_NUMBER_PR="","",TITLE_NUMBER_PR),TITLE_NUMBER_PR_CHANGE)</f>
        <v>51/11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471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471</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345</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346</v>
      </c>
    </row>
    <row customHeight="1" ht="14.25">
      <c r="Q41" s="279"/>
      <c r="R41" s="377"/>
      <c r="S41" s="2125" t="s">
        <v>87</v>
      </c>
      <c r="T41" s="2062" t="s">
        <v>552</v>
      </c>
      <c r="U41" s="289"/>
      <c r="V41" s="2126" t="s">
        <v>473</v>
      </c>
      <c r="W41" s="2127"/>
      <c r="X41" s="2127"/>
      <c r="Y41" s="2127"/>
      <c r="Z41" s="2127"/>
      <c r="AA41" s="2127"/>
      <c r="AB41" s="2128"/>
      <c r="AC41" s="2129" t="s">
        <v>474</v>
      </c>
      <c r="AD41" s="2173" t="s">
        <v>569</v>
      </c>
      <c r="AE41" s="2146"/>
      <c r="AF41" s="2146"/>
      <c r="AG41" s="2174"/>
      <c r="AH41" s="2173" t="s">
        <v>570</v>
      </c>
      <c r="AI41" s="2146"/>
      <c r="AJ41" s="2146"/>
      <c r="AK41" s="2174"/>
      <c r="AL41" s="2173" t="s">
        <v>571</v>
      </c>
      <c r="AM41" s="2146"/>
      <c r="AN41" s="2146"/>
      <c r="AO41" s="2174"/>
      <c r="AP41" s="2173" t="s">
        <v>556</v>
      </c>
      <c r="AQ41" s="2146"/>
      <c r="AR41" s="2146"/>
      <c r="AS41" s="2174"/>
      <c r="AT41" s="2126" t="s">
        <v>473</v>
      </c>
      <c r="AU41" s="2127"/>
      <c r="AV41" s="2127"/>
      <c r="AW41" s="2127"/>
      <c r="AX41" s="2127"/>
      <c r="AY41" s="2127"/>
      <c r="AZ41" s="2128"/>
      <c r="BA41" s="2129" t="s">
        <v>474</v>
      </c>
      <c r="BB41" s="2132" t="s">
        <v>476</v>
      </c>
      <c r="BC41" s="1971"/>
    </row>
    <row customHeight="1" ht="33.75">
      <c r="Q42" s="279"/>
      <c r="R42" s="377"/>
      <c r="S42" s="2125"/>
      <c r="T42" s="2062"/>
      <c r="U42" s="1038"/>
      <c r="V42" s="2029" t="s">
        <v>557</v>
      </c>
      <c r="W42" s="2030"/>
      <c r="X42" s="2029" t="s">
        <v>558</v>
      </c>
      <c r="Y42" s="2030"/>
      <c r="Z42" s="2144" t="s">
        <v>559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572</v>
      </c>
      <c r="AU42" s="2030"/>
      <c r="AV42" s="2029" t="s">
        <v>573</v>
      </c>
      <c r="AW42" s="2030"/>
      <c r="AX42" s="2144" t="s">
        <v>559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152</v>
      </c>
      <c r="C44" s="1400" t="s">
        <v>153</v>
      </c>
      <c r="D44" s="1400" t="s">
        <v>154</v>
      </c>
      <c r="E44" s="1394" t="s">
        <v>481</v>
      </c>
      <c r="F44" s="1394" t="s">
        <v>482</v>
      </c>
      <c r="G44" s="1394" t="s">
        <v>483</v>
      </c>
      <c r="H44" s="1394" t="s">
        <v>484</v>
      </c>
      <c r="I44" s="1394" t="s">
        <v>485</v>
      </c>
      <c r="J44" s="1394" t="s">
        <v>486</v>
      </c>
      <c r="K44" s="1394" t="s">
        <v>487</v>
      </c>
      <c r="L44" s="1394" t="s">
        <v>462</v>
      </c>
      <c r="Q44" s="279"/>
      <c r="R44" s="377"/>
      <c r="S44" s="2125"/>
      <c r="T44" s="2062"/>
      <c r="U44" s="290"/>
      <c r="V44" s="1509" t="s">
        <v>525</v>
      </c>
      <c r="W44" s="1509" t="s">
        <v>526</v>
      </c>
      <c r="X44" s="1509" t="s">
        <v>525</v>
      </c>
      <c r="Y44" s="1509" t="s">
        <v>526</v>
      </c>
      <c r="Z44" s="1519" t="s">
        <v>490</v>
      </c>
      <c r="AA44" s="2121" t="s">
        <v>491</v>
      </c>
      <c r="AB44" s="2122"/>
      <c r="AC44" s="2131"/>
      <c r="AD44" s="2177"/>
      <c r="AE44" s="2178"/>
      <c r="AF44" s="2178"/>
      <c r="AG44" s="2179"/>
      <c r="AH44" s="2177"/>
      <c r="AI44" s="2178"/>
      <c r="AJ44" s="2178"/>
      <c r="AK44" s="2179"/>
      <c r="AL44" s="2177"/>
      <c r="AM44" s="2178"/>
      <c r="AN44" s="2178"/>
      <c r="AO44" s="2179"/>
      <c r="AP44" s="2177"/>
      <c r="AQ44" s="2178"/>
      <c r="AR44" s="2178"/>
      <c r="AS44" s="2179"/>
      <c r="AT44" s="1509" t="s">
        <v>525</v>
      </c>
      <c r="AU44" s="1509" t="s">
        <v>526</v>
      </c>
      <c r="AV44" s="1509" t="s">
        <v>525</v>
      </c>
      <c r="AW44" s="1509" t="s">
        <v>526</v>
      </c>
      <c r="AX44" s="1519" t="s">
        <v>490</v>
      </c>
      <c r="AY44" s="2121" t="s">
        <v>491</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128</v>
      </c>
      <c r="T45" s="1281" t="s">
        <v>102</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321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140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321</v>
      </c>
      <c r="B47" s="1393" t="s">
        <v>322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444</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445</v>
      </c>
      <c r="BE47" s="506"/>
      <c r="BF47" s="506" t="str">
        <f>IF(T47="","",T47)</f>
        <v>Территория действия тарифа</v>
      </c>
      <c r="BG47" s="506"/>
      <c r="BH47" s="506"/>
    </row>
    <row customHeight="1" ht="33.75">
      <c r="A48" s="1393" t="s">
        <v>321</v>
      </c>
      <c r="B48" s="1393" t="s">
        <v>322</v>
      </c>
      <c r="C48" s="1393" t="s">
        <v>323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561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562</v>
      </c>
      <c r="BE48" s="506"/>
      <c r="BF48" s="506" t="str">
        <f>IF(T48="","",T48)</f>
        <v>Наименование централизованной системы водоотведения</v>
      </c>
      <c r="BG48" s="506"/>
      <c r="BH48" s="506"/>
    </row>
    <row s="2612" customFormat="1" customHeight="1" ht="0">
      <c r="A49" s="1373" t="s">
        <v>321</v>
      </c>
      <c r="B49" s="1373" t="s">
        <v>322</v>
      </c>
      <c r="C49" s="1373" t="s">
        <v>323</v>
      </c>
      <c r="D49" s="1373" t="s">
        <v>574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449</v>
      </c>
      <c r="BE49" s="506"/>
      <c r="BF49" s="506" t="str">
        <f>IF(T49="","",T49)</f>
        <v/>
      </c>
      <c r="BG49" s="506"/>
      <c r="BH49" s="506"/>
    </row>
    <row s="2612" customFormat="1" customHeight="1" ht="0">
      <c r="A50" s="1373" t="s">
        <v>321</v>
      </c>
      <c r="B50" s="1373" t="s">
        <v>322</v>
      </c>
      <c r="C50" s="1373" t="s">
        <v>323</v>
      </c>
      <c r="D50" s="1373" t="s">
        <v>574</v>
      </c>
      <c r="E50" s="2108"/>
      <c r="F50" s="2108"/>
      <c r="G50" s="2108"/>
      <c r="H50" s="2108"/>
      <c r="I50" s="2109" t="str">
        <f>S49&amp;".1"</f>
        <v>.1</v>
      </c>
      <c r="J50" s="1373"/>
      <c r="K50" s="1373"/>
      <c r="L50" s="1376" t="s">
        <v>450</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321</v>
      </c>
      <c r="B51" s="1373" t="s">
        <v>322</v>
      </c>
      <c r="C51" s="1373" t="s">
        <v>323</v>
      </c>
      <c r="D51" s="1373" t="s">
        <v>574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321</v>
      </c>
      <c r="B52" s="1393" t="s">
        <v>322</v>
      </c>
      <c r="C52" s="1393" t="s">
        <v>323</v>
      </c>
      <c r="D52" s="1393" t="s">
        <v>574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546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547</v>
      </c>
      <c r="AT53" s="1423"/>
      <c r="AU53" s="1526"/>
      <c r="AV53" s="1423"/>
      <c r="AW53" s="1526"/>
      <c r="AX53" s="1423"/>
      <c r="AY53" s="1423"/>
      <c r="AZ53" s="1423"/>
      <c r="BA53" s="1423"/>
      <c r="BB53" s="1427"/>
      <c r="BC53" s="2138"/>
      <c r="BE53" s="506"/>
      <c r="BF53" s="506"/>
      <c r="BG53" s="506"/>
      <c r="BH53" s="506"/>
    </row>
    <row customHeight="1" ht="11.25">
      <c r="A54" s="1393" t="s">
        <v>321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567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321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568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321</v>
      </c>
      <c r="B56" s="1393" t="s">
        <v>322</v>
      </c>
      <c r="C56" s="1393" t="s">
        <v>323</v>
      </c>
      <c r="D56" s="1393" t="s">
        <v>574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550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321</v>
      </c>
      <c r="B57" s="1393" t="s">
        <v>322</v>
      </c>
      <c r="C57" s="1393" t="s">
        <v>323</v>
      </c>
      <c r="D57" s="1393" t="s">
        <v>574</v>
      </c>
      <c r="E57" s="2108"/>
      <c r="F57" s="2108"/>
      <c r="G57" s="2108"/>
      <c r="H57" s="2108"/>
      <c r="I57" s="2110"/>
      <c r="J57" s="2109"/>
      <c r="K57" s="1393"/>
      <c r="L57" s="1394"/>
      <c r="P57" s="2111"/>
      <c r="Q57" s="2111"/>
      <c r="R57" s="352"/>
      <c r="S57" s="1308"/>
      <c r="T57" s="275" t="s">
        <v>514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321</v>
      </c>
      <c r="B58" s="1373" t="s">
        <v>322</v>
      </c>
      <c r="C58" s="1373" t="s">
        <v>323</v>
      </c>
      <c r="D58" s="1373" t="s">
        <v>574</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321</v>
      </c>
      <c r="B59" s="1373" t="s">
        <v>322</v>
      </c>
      <c r="C59" s="1373" t="s">
        <v>323</v>
      </c>
      <c r="D59" s="1373" t="s">
        <v>574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2" customFormat="1" customHeight="1" ht="0">
      <c r="A60" s="1373" t="s">
        <v>321</v>
      </c>
      <c r="B60" s="1373" t="s">
        <v>322</v>
      </c>
      <c r="C60" s="1373" t="s">
        <v>323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2" customFormat="1" customHeight="1" ht="0">
      <c r="A61" s="1373" t="s">
        <v>321</v>
      </c>
      <c r="B61" s="1373" t="s">
        <v>322</v>
      </c>
      <c r="C61" s="1344"/>
      <c r="D61" s="1344"/>
      <c r="E61" s="2108"/>
      <c r="F61" s="2107"/>
      <c r="G61" s="1344"/>
      <c r="H61" s="1344"/>
      <c r="I61" s="1344"/>
      <c r="J61" s="1344"/>
      <c r="K61" s="1344"/>
      <c r="L61" s="1524"/>
      <c r="M61" s="1351"/>
      <c r="N61" s="1351"/>
      <c r="P61" s="1346"/>
      <c r="Q61" s="1347"/>
      <c r="R61" s="1346"/>
      <c r="S61" s="1352"/>
      <c r="T61" s="1355" t="s">
        <v>192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321</v>
      </c>
      <c r="B62" s="1373"/>
      <c r="C62" s="1373"/>
      <c r="D62" s="1373"/>
      <c r="E62" s="2107"/>
      <c r="F62" s="1373"/>
      <c r="G62" s="1373"/>
      <c r="H62" s="1373"/>
      <c r="I62" s="1373"/>
      <c r="J62" s="1373"/>
      <c r="K62" s="1373"/>
      <c r="L62" s="1376"/>
      <c r="M62" s="1351"/>
      <c r="N62" s="1351"/>
      <c r="O62" s="524"/>
      <c r="P62" s="385"/>
      <c r="Q62" s="1374"/>
      <c r="R62" s="385"/>
      <c r="S62" s="1352"/>
      <c r="T62" s="1355" t="s">
        <v>211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230</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919AA-E19A-AC26-3141-CB0FA970B10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6166" width="19.140625" hidden="1" customWidth="1"/>
    <col min="13" max="14" style="3332" width="12.28125" hidden="1" customWidth="1"/>
    <col min="15" max="15" style="3332" width="23.421875" hidden="1" customWidth="1"/>
    <col min="16" max="16" style="6171" width="3.7109375" customWidth="1"/>
    <col min="17" max="18" style="3409" width="3.7109375" customWidth="1"/>
    <col min="19" max="19" style="3410" width="12.7109375" customWidth="1"/>
    <col min="20" max="20" style="2983" width="35.7109375" customWidth="1"/>
    <col min="21" max="21" style="2983" width="0.140625" customWidth="1"/>
    <col min="22" max="24" style="2983" width="24.7109375" hidden="1" customWidth="1"/>
    <col min="25" max="25" style="2983" width="11.7109375" hidden="1" customWidth="1"/>
    <col min="26" max="26" style="2983" width="3.7109375" hidden="1" customWidth="1"/>
    <col min="27" max="27" style="2983" width="11.7109375" hidden="1" customWidth="1"/>
    <col min="28" max="28" style="2983" width="8.57421875" hidden="1" customWidth="1"/>
    <col min="29" max="31" style="2983" width="24.7109375" customWidth="1"/>
    <col min="32" max="32" style="2983" width="11.7109375" customWidth="1"/>
    <col min="33" max="33" style="2983" width="3.7109375" customWidth="1"/>
    <col min="34" max="34" style="2983" width="11.7109375" customWidth="1"/>
    <col min="35" max="35" style="2983" width="8.57421875" hidden="1" customWidth="1"/>
    <col min="36" max="36" style="2983" width="4.7109375" customWidth="1"/>
    <col min="37" max="37" style="298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444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576</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530</v>
      </c>
      <c r="U5" s="288"/>
      <c r="V5" s="2194"/>
      <c r="W5" s="2195"/>
      <c r="X5" s="2195"/>
      <c r="Y5" s="2195"/>
      <c r="Z5" s="2195"/>
      <c r="AA5" s="2195"/>
      <c r="AB5" s="2196"/>
      <c r="AC5" s="2197"/>
      <c r="AD5" s="2198"/>
      <c r="AE5" s="2198"/>
      <c r="AF5" s="2198"/>
      <c r="AG5" s="2198"/>
      <c r="AH5" s="2198"/>
      <c r="AI5" s="2198"/>
      <c r="AJ5" s="2199"/>
      <c r="AK5" s="1286" t="s">
        <v>531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453</v>
      </c>
      <c r="P6" s="2111"/>
      <c r="Q6" s="2111">
        <v>1</v>
      </c>
      <c r="R6" s="353"/>
      <c r="S6" s="1523">
        <f>$J6</f>
      </c>
      <c r="T6" s="274" t="s">
        <v>454</v>
      </c>
      <c r="U6" s="288"/>
      <c r="V6" s="2095"/>
      <c r="W6" s="2096"/>
      <c r="X6" s="2096"/>
      <c r="Y6" s="2096"/>
      <c r="Z6" s="2096"/>
      <c r="AA6" s="2096"/>
      <c r="AB6" s="2097"/>
      <c r="AC6" s="2095"/>
      <c r="AD6" s="2096"/>
      <c r="AE6" s="2096"/>
      <c r="AF6" s="2096"/>
      <c r="AG6" s="2096"/>
      <c r="AH6" s="2096"/>
      <c r="AI6" s="2096"/>
      <c r="AJ6" s="2097"/>
      <c r="AK6" s="1337" t="s">
        <v>532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533</v>
      </c>
      <c r="U9" s="367"/>
      <c r="V9" s="367"/>
      <c r="W9" s="367"/>
      <c r="X9" s="367"/>
      <c r="Y9" s="367"/>
      <c r="Z9" s="367"/>
      <c r="AA9" s="367"/>
      <c r="AB9" s="367"/>
      <c r="AC9" s="367"/>
      <c r="AD9" s="367"/>
      <c r="AE9" s="367"/>
      <c r="AF9" s="367"/>
      <c r="AG9" s="367"/>
      <c r="AH9" s="367"/>
      <c r="AI9" s="367"/>
      <c r="AJ9" s="367"/>
      <c r="AK9" s="1286" t="s">
        <v>534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459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192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461</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462</v>
      </c>
      <c r="P20" s="1392"/>
      <c r="Q20" s="1472"/>
      <c r="R20" s="1472"/>
      <c r="S20" s="735"/>
      <c r="T20" s="1168" t="s">
        <v>463</v>
      </c>
      <c r="Z20" s="172" t="s">
        <v>464</v>
      </c>
      <c r="AB20" s="172" t="s">
        <v>465</v>
      </c>
      <c r="AC20" s="1168" t="s">
        <v>463</v>
      </c>
      <c r="AG20" s="172" t="s">
        <v>466</v>
      </c>
      <c r="AI20" s="172" t="s">
        <v>465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3" customFormat="1" customHeight="1" ht="18.75">
      <c r="A28" s="1398"/>
      <c r="B28" s="1398"/>
      <c r="C28" s="1398"/>
      <c r="D28" s="1398"/>
      <c r="E28" s="1398"/>
      <c r="F28" s="1398"/>
      <c r="G28" s="1398"/>
      <c r="H28" s="1398"/>
      <c r="I28" s="1398"/>
      <c r="J28" s="1398"/>
      <c r="K28" s="1398"/>
      <c r="L28" s="1399"/>
      <c r="M28" s="1398"/>
      <c r="N28" s="1398"/>
      <c r="O28" s="1398"/>
      <c r="S28" s="2098" t="s">
        <v>467</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3" customFormat="1" customHeight="1" ht="18.75">
      <c r="A29" s="1398"/>
      <c r="B29" s="1398"/>
      <c r="C29" s="1398"/>
      <c r="D29" s="1398"/>
      <c r="E29" s="1398"/>
      <c r="F29" s="1398"/>
      <c r="G29" s="1398"/>
      <c r="H29" s="1398"/>
      <c r="I29" s="1398"/>
      <c r="J29" s="1398"/>
      <c r="K29" s="1398"/>
      <c r="L29" s="1399"/>
      <c r="M29" s="1398"/>
      <c r="N29" s="1398"/>
      <c r="O29" s="1398"/>
      <c r="S29" s="2098" t="s">
        <v>468</v>
      </c>
      <c r="T29" s="2098"/>
      <c r="U29" s="1402"/>
      <c r="V29" s="2100" t="str">
        <f>IF(TITLE_NUMBER_PR_CHANGE="",IF(TITLE_NUMBER_PR="","",TITLE_NUMBER_PR),TITLE_NUMBER_PR_CHANGE)</f>
        <v>51/11</v>
      </c>
      <c r="W29" s="2100"/>
      <c r="X29" s="2100"/>
      <c r="Y29" s="2100"/>
      <c r="Z29" s="2100"/>
      <c r="AA29" s="2100"/>
      <c r="AB29" s="322"/>
      <c r="AC29" s="2100" t="str">
        <f>IF(TITLE_NUMBER_PR_CHANGE="",IF(TITLE_NUMBER_PR="","",TITLE_NUMBER_PR),TITLE_NUMBER_PR_CHANGE)</f>
        <v>51/11</v>
      </c>
      <c r="AD29" s="2100"/>
      <c r="AE29" s="2100"/>
      <c r="AF29" s="2100"/>
      <c r="AG29" s="2100"/>
      <c r="AH29" s="2100"/>
      <c r="AI29" s="322"/>
      <c r="AJ29" s="322"/>
      <c r="AK29" s="268"/>
      <c r="AL29" s="368"/>
      <c r="AM29" s="368"/>
      <c r="AN29" s="368"/>
      <c r="AO29" s="368"/>
      <c r="AP29" s="368"/>
    </row>
    <row s="33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https://npa.gov-murman.ru/bitrix/components/b1team/govmurman.element.file/download.php?ID=508451&amp;FID=750724</v>
      </c>
      <c r="W30" s="2100"/>
      <c r="X30" s="2100"/>
      <c r="Y30" s="2100"/>
      <c r="Z30" s="2100"/>
      <c r="AA30" s="2100"/>
      <c r="AB30" s="322"/>
      <c r="AC30" s="2100" t="str">
        <f>IF(TITLE_IST_PUB_CHANGE="",IF(TITLE_IST_PUB="","",TITLE_IST_PUB),TITLE_IST_PUB_CHANGE)</f>
        <v>https://npa.gov-murman.ru/bitrix/components/b1team/govmurman.element.file/download.php?ID=508451&amp;FID=750724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3" customFormat="1" customHeight="1" ht="18.75" hidden="1">
      <c r="A32" s="1398"/>
      <c r="B32" s="1398"/>
      <c r="C32" s="1398"/>
      <c r="D32" s="1398"/>
      <c r="E32" s="1398"/>
      <c r="F32" s="1398"/>
      <c r="G32" s="1398"/>
      <c r="H32" s="1398"/>
      <c r="I32" s="1398"/>
      <c r="J32" s="1398"/>
      <c r="K32" s="1398"/>
      <c r="L32" s="1399"/>
      <c r="M32" s="1398"/>
      <c r="N32" s="1398"/>
      <c r="O32" s="1398"/>
      <c r="S32" s="2098" t="s">
        <v>469</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3" customFormat="1" customHeight="1" ht="18.75" hidden="1">
      <c r="A33" s="1398"/>
      <c r="B33" s="1398"/>
      <c r="C33" s="1398"/>
      <c r="D33" s="1398"/>
      <c r="E33" s="1398"/>
      <c r="F33" s="1398"/>
      <c r="G33" s="1398"/>
      <c r="H33" s="1398"/>
      <c r="I33" s="1398"/>
      <c r="J33" s="1398"/>
      <c r="K33" s="1398"/>
      <c r="L33" s="1399"/>
      <c r="M33" s="1398"/>
      <c r="N33" s="1398"/>
      <c r="O33" s="1398"/>
      <c r="S33" s="2098" t="s">
        <v>470</v>
      </c>
      <c r="T33" s="2098"/>
      <c r="U33" s="1402"/>
      <c r="V33" s="2100" t="str">
        <f>IF(TITLE_NUMBER_PR_CHANGE="",IF(TITLE_NUMBER_PR="","",TITLE_NUMBER_PR),TITLE_NUMBER_PR_CHANGE)</f>
        <v>51/11</v>
      </c>
      <c r="W33" s="2100"/>
      <c r="X33" s="2100"/>
      <c r="Y33" s="2100"/>
      <c r="Z33" s="2100"/>
      <c r="AA33" s="2100"/>
      <c r="AB33" s="322"/>
      <c r="AC33" s="2100" t="str">
        <f>IF(TITLE_NUMBER_PR_CHANGE="",IF(TITLE_NUMBER_PR="","",TITLE_NUMBER_PR),TITLE_NUMBER_PR_CHANGE)</f>
        <v>51/11</v>
      </c>
      <c r="AD33" s="2100"/>
      <c r="AE33" s="2100"/>
      <c r="AF33" s="2100"/>
      <c r="AG33" s="2100"/>
      <c r="AH33" s="2100"/>
      <c r="AI33" s="322"/>
      <c r="AJ33" s="322"/>
      <c r="AK33" s="268"/>
      <c r="AL33" s="368"/>
      <c r="AM33" s="368"/>
      <c r="AN33" s="368"/>
      <c r="AO33" s="368"/>
      <c r="AP33" s="368"/>
    </row>
    <row s="334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471</v>
      </c>
      <c r="AC34" s="322"/>
      <c r="AD34" s="322"/>
      <c r="AE34" s="322"/>
      <c r="AF34" s="322"/>
      <c r="AG34" s="322"/>
      <c r="AH34" s="322"/>
      <c r="AI34" s="266" t="s">
        <v>471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345</v>
      </c>
      <c r="T36" s="1971"/>
      <c r="U36" s="1971"/>
      <c r="V36" s="1971"/>
      <c r="W36" s="1971"/>
      <c r="X36" s="1971"/>
      <c r="Y36" s="1971"/>
      <c r="Z36" s="1971"/>
      <c r="AA36" s="1971"/>
      <c r="AB36" s="1971"/>
      <c r="AC36" s="1971"/>
      <c r="AD36" s="1971"/>
      <c r="AE36" s="1971"/>
      <c r="AF36" s="1971"/>
      <c r="AG36" s="1971"/>
      <c r="AH36" s="1971"/>
      <c r="AI36" s="1971"/>
      <c r="AJ36" s="1971"/>
      <c r="AK36" s="1971" t="s">
        <v>346</v>
      </c>
    </row>
    <row customHeight="1" ht="14.25">
      <c r="Q37" s="377"/>
      <c r="R37" s="377"/>
      <c r="S37" s="2125" t="s">
        <v>87</v>
      </c>
      <c r="T37" s="2062" t="s">
        <v>472</v>
      </c>
      <c r="U37" s="289"/>
      <c r="V37" s="2126" t="s">
        <v>473</v>
      </c>
      <c r="W37" s="2127"/>
      <c r="X37" s="2127"/>
      <c r="Y37" s="2127"/>
      <c r="Z37" s="2127"/>
      <c r="AA37" s="2128"/>
      <c r="AB37" s="2129" t="s">
        <v>474</v>
      </c>
      <c r="AC37" s="2126" t="s">
        <v>473</v>
      </c>
      <c r="AD37" s="2127"/>
      <c r="AE37" s="2127"/>
      <c r="AF37" s="2127"/>
      <c r="AG37" s="2127"/>
      <c r="AH37" s="2128"/>
      <c r="AI37" s="2129" t="s">
        <v>475</v>
      </c>
      <c r="AJ37" s="2132" t="s">
        <v>476</v>
      </c>
      <c r="AK37" s="1971"/>
    </row>
    <row customHeight="1" ht="33.75">
      <c r="Q38" s="377"/>
      <c r="R38" s="377"/>
      <c r="S38" s="2125"/>
      <c r="T38" s="2062"/>
      <c r="U38" s="1038"/>
      <c r="V38" s="1513" t="s">
        <v>577</v>
      </c>
      <c r="W38" s="2118" t="s">
        <v>578</v>
      </c>
      <c r="X38" s="2120"/>
      <c r="Y38" s="2118" t="s">
        <v>480</v>
      </c>
      <c r="Z38" s="2119"/>
      <c r="AA38" s="2120"/>
      <c r="AB38" s="2130"/>
      <c r="AC38" s="1513" t="s">
        <v>577</v>
      </c>
      <c r="AD38" s="2118" t="s">
        <v>578</v>
      </c>
      <c r="AE38" s="2120"/>
      <c r="AF38" s="2118" t="s">
        <v>480</v>
      </c>
      <c r="AG38" s="2119"/>
      <c r="AH38" s="2120"/>
      <c r="AI38" s="2130"/>
      <c r="AJ38" s="2133"/>
      <c r="AK38" s="1971"/>
    </row>
    <row customHeight="1" ht="86.25">
      <c r="A39" s="1400"/>
      <c r="B39" s="1400" t="s">
        <v>152</v>
      </c>
      <c r="C39" s="1400" t="s">
        <v>153</v>
      </c>
      <c r="D39" s="1400" t="s">
        <v>154</v>
      </c>
      <c r="E39" s="1394" t="s">
        <v>481</v>
      </c>
      <c r="F39" s="1394" t="s">
        <v>482</v>
      </c>
      <c r="G39" s="1394" t="s">
        <v>483</v>
      </c>
      <c r="H39" s="1394"/>
      <c r="I39" s="1394" t="s">
        <v>537</v>
      </c>
      <c r="J39" s="1394" t="s">
        <v>486</v>
      </c>
      <c r="K39" s="1394" t="s">
        <v>538</v>
      </c>
      <c r="L39" s="1394" t="s">
        <v>462</v>
      </c>
      <c r="Q39" s="377"/>
      <c r="R39" s="377"/>
      <c r="S39" s="2125"/>
      <c r="T39" s="2062"/>
      <c r="U39" s="290"/>
      <c r="V39" s="1513" t="s">
        <v>579</v>
      </c>
      <c r="W39" s="1237" t="s">
        <v>580</v>
      </c>
      <c r="X39" s="1237" t="s">
        <v>581</v>
      </c>
      <c r="Y39" s="1519" t="s">
        <v>490</v>
      </c>
      <c r="Z39" s="2121" t="s">
        <v>491</v>
      </c>
      <c r="AA39" s="2122"/>
      <c r="AB39" s="2131"/>
      <c r="AC39" s="1513" t="s">
        <v>579</v>
      </c>
      <c r="AD39" s="1237" t="s">
        <v>580</v>
      </c>
      <c r="AE39" s="1237" t="s">
        <v>581</v>
      </c>
      <c r="AF39" s="1519" t="s">
        <v>490</v>
      </c>
      <c r="AG39" s="2121" t="s">
        <v>491</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128</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296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296</v>
      </c>
      <c r="B42" s="1393" t="s">
        <v>297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444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445</v>
      </c>
      <c r="AM42" s="506"/>
      <c r="AN42" s="506" t="str">
        <f>IF(T42="","",T42)</f>
        <v>Территория действия тарифа</v>
      </c>
      <c r="AO42" s="506"/>
      <c r="AP42" s="506"/>
    </row>
    <row customHeight="1" ht="23.25">
      <c r="A43" s="1393" t="s">
        <v>296</v>
      </c>
      <c r="B43" s="1393" t="s">
        <v>297</v>
      </c>
      <c r="C43" s="1393" t="s">
        <v>298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576</v>
      </c>
      <c r="AM43" s="506"/>
      <c r="AN43" s="506" t="str">
        <f>IF(T43="","",T43)</f>
        <v>Наименование централизованной системы горячего водоснабжения</v>
      </c>
      <c r="AO43" s="506"/>
      <c r="AP43" s="506"/>
    </row>
    <row customHeight="1" ht="23.25">
      <c r="A44" s="1393" t="s">
        <v>296</v>
      </c>
      <c r="B44" s="1393" t="s">
        <v>297</v>
      </c>
      <c r="C44" s="1393" t="s">
        <v>298</v>
      </c>
      <c r="D44" s="1393" t="s">
        <v>582</v>
      </c>
      <c r="E44" s="2108"/>
      <c r="F44" s="2108"/>
      <c r="G44" s="2108"/>
      <c r="H44" s="2108"/>
      <c r="I44" s="2109" t="str">
        <f>S43&amp;".1"</f>
        <v>...1</v>
      </c>
      <c r="J44" s="1393"/>
      <c r="K44" s="1393"/>
      <c r="L44" s="1394"/>
      <c r="P44" s="2111">
        <v>1</v>
      </c>
      <c r="Q44" s="1511"/>
      <c r="R44" s="352"/>
      <c r="S44" s="1523" t="str">
        <f>$I44</f>
        <v>...1</v>
      </c>
      <c r="T44" s="273" t="s">
        <v>530</v>
      </c>
      <c r="U44" s="288"/>
      <c r="V44" s="2194"/>
      <c r="W44" s="2195"/>
      <c r="X44" s="2195"/>
      <c r="Y44" s="2195"/>
      <c r="Z44" s="2195"/>
      <c r="AA44" s="2195"/>
      <c r="AB44" s="2196"/>
      <c r="AC44" s="2197"/>
      <c r="AD44" s="2198"/>
      <c r="AE44" s="2198"/>
      <c r="AF44" s="2198"/>
      <c r="AG44" s="2198"/>
      <c r="AH44" s="2198"/>
      <c r="AI44" s="2198"/>
      <c r="AJ44" s="2199"/>
      <c r="AK44" s="1286" t="s">
        <v>531</v>
      </c>
      <c r="AM44" s="506"/>
      <c r="AN44" s="506" t="str">
        <f>IF(T44="","",T44)</f>
        <v>Наименование признака дифференциации</v>
      </c>
      <c r="AO44" s="506"/>
      <c r="AP44" s="506"/>
    </row>
    <row customHeight="1" ht="23.25">
      <c r="A45" s="1393" t="s">
        <v>296</v>
      </c>
      <c r="B45" s="1393" t="s">
        <v>297</v>
      </c>
      <c r="C45" s="1393" t="s">
        <v>298</v>
      </c>
      <c r="D45" s="1393" t="s">
        <v>582</v>
      </c>
      <c r="E45" s="2108"/>
      <c r="F45" s="2108"/>
      <c r="G45" s="2108"/>
      <c r="H45" s="2108"/>
      <c r="I45" s="2110"/>
      <c r="J45" s="2109" t="str">
        <f>I44&amp;".1"</f>
        <v>...1.1</v>
      </c>
      <c r="K45" s="1393"/>
      <c r="L45" s="1394" t="s">
        <v>453</v>
      </c>
      <c r="P45" s="2111"/>
      <c r="Q45" s="2111">
        <v>1</v>
      </c>
      <c r="R45" s="353"/>
      <c r="S45" s="1523" t="str">
        <f>$J45</f>
        <v>...1.1</v>
      </c>
      <c r="T45" s="274" t="s">
        <v>454</v>
      </c>
      <c r="U45" s="288"/>
      <c r="V45" s="2095"/>
      <c r="W45" s="2096"/>
      <c r="X45" s="2096"/>
      <c r="Y45" s="2096"/>
      <c r="Z45" s="2096"/>
      <c r="AA45" s="2096"/>
      <c r="AB45" s="2097"/>
      <c r="AC45" s="2095"/>
      <c r="AD45" s="2096"/>
      <c r="AE45" s="2096"/>
      <c r="AF45" s="2096"/>
      <c r="AG45" s="2096"/>
      <c r="AH45" s="2096"/>
      <c r="AI45" s="2096"/>
      <c r="AJ45" s="2097"/>
      <c r="AK45" s="1337" t="s">
        <v>532</v>
      </c>
      <c r="AM45" s="506"/>
      <c r="AN45" s="506" t="str">
        <f>IF(T45="","",T45)</f>
        <v>Группа потребителей</v>
      </c>
      <c r="AO45" s="506"/>
      <c r="AP45" s="506"/>
    </row>
    <row customHeight="1" ht="23.25">
      <c r="A46" s="1393" t="s">
        <v>296</v>
      </c>
      <c r="B46" s="1393" t="s">
        <v>297</v>
      </c>
      <c r="C46" s="1393" t="s">
        <v>298</v>
      </c>
      <c r="D46" s="1393" t="s">
        <v>582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296</v>
      </c>
      <c r="B47" s="1393" t="s">
        <v>297</v>
      </c>
      <c r="C47" s="1393" t="s">
        <v>298</v>
      </c>
      <c r="D47" s="1393" t="s">
        <v>582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296</v>
      </c>
      <c r="B48" s="1393" t="s">
        <v>297</v>
      </c>
      <c r="C48" s="1393" t="s">
        <v>298</v>
      </c>
      <c r="D48" s="1393" t="s">
        <v>582</v>
      </c>
      <c r="E48" s="2108"/>
      <c r="F48" s="2108"/>
      <c r="G48" s="2108"/>
      <c r="H48" s="2108"/>
      <c r="I48" s="2110"/>
      <c r="J48" s="2109"/>
      <c r="K48" s="1393"/>
      <c r="L48" s="1394"/>
      <c r="P48" s="2111"/>
      <c r="Q48" s="2111"/>
      <c r="R48" s="352"/>
      <c r="S48" s="1308"/>
      <c r="T48" s="275" t="s">
        <v>533</v>
      </c>
      <c r="U48" s="367"/>
      <c r="V48" s="367"/>
      <c r="W48" s="367"/>
      <c r="X48" s="367"/>
      <c r="Y48" s="367"/>
      <c r="Z48" s="367"/>
      <c r="AA48" s="367"/>
      <c r="AB48" s="367"/>
      <c r="AC48" s="367"/>
      <c r="AD48" s="367"/>
      <c r="AE48" s="367"/>
      <c r="AF48" s="367"/>
      <c r="AG48" s="367"/>
      <c r="AH48" s="367"/>
      <c r="AI48" s="367"/>
      <c r="AJ48" s="367"/>
      <c r="AK48" s="1286" t="s">
        <v>534</v>
      </c>
      <c r="AM48" s="506"/>
      <c r="AN48" s="506" t="str">
        <f>IF(T48="","",T48)</f>
        <v>Добавить значение признака дифференциации</v>
      </c>
      <c r="AO48" s="506"/>
      <c r="AP48" s="506"/>
    </row>
    <row customHeight="1" ht="21">
      <c r="A49" s="1393" t="s">
        <v>296</v>
      </c>
      <c r="B49" s="1393" t="s">
        <v>297</v>
      </c>
      <c r="C49" s="1393" t="s">
        <v>298</v>
      </c>
      <c r="D49" s="1393" t="s">
        <v>582</v>
      </c>
      <c r="E49" s="2108"/>
      <c r="F49" s="2108"/>
      <c r="G49" s="2108"/>
      <c r="H49" s="2108"/>
      <c r="I49" s="2109"/>
      <c r="J49" s="1393"/>
      <c r="K49" s="1393"/>
      <c r="L49" s="1394"/>
      <c r="P49" s="2111"/>
      <c r="Q49" s="1511"/>
      <c r="R49" s="352"/>
      <c r="S49" s="1308"/>
      <c r="T49" s="364" t="s">
        <v>459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296</v>
      </c>
      <c r="B50" s="1393" t="s">
        <v>297</v>
      </c>
      <c r="C50" s="1393" t="s">
        <v>298</v>
      </c>
      <c r="D50" s="1393" t="s">
        <v>582</v>
      </c>
      <c r="E50" s="2108"/>
      <c r="F50" s="2108"/>
      <c r="G50" s="2108"/>
      <c r="H50" s="2107"/>
      <c r="I50" s="1393"/>
      <c r="J50" s="1393"/>
      <c r="K50" s="1393"/>
      <c r="L50" s="1394"/>
      <c r="M50" s="1395"/>
      <c r="N50" s="1395"/>
      <c r="O50" s="543"/>
      <c r="P50" s="356"/>
      <c r="Q50" s="376"/>
      <c r="R50" s="351"/>
      <c r="S50" s="1308"/>
      <c r="T50" s="372" t="s">
        <v>535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296</v>
      </c>
      <c r="B51" s="1373" t="s">
        <v>297</v>
      </c>
      <c r="C51" s="1344"/>
      <c r="D51" s="1344"/>
      <c r="E51" s="2108"/>
      <c r="F51" s="2107"/>
      <c r="G51" s="1344"/>
      <c r="H51" s="1344"/>
      <c r="I51" s="1344"/>
      <c r="J51" s="1344"/>
      <c r="K51" s="1344"/>
      <c r="L51" s="1524"/>
      <c r="M51" s="1351"/>
      <c r="N51" s="1351"/>
      <c r="P51" s="1346"/>
      <c r="Q51" s="1347"/>
      <c r="R51" s="1346"/>
      <c r="S51" s="1352"/>
      <c r="T51" s="1355" t="s">
        <v>192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296</v>
      </c>
      <c r="B52" s="1373"/>
      <c r="C52" s="1373"/>
      <c r="D52" s="1373"/>
      <c r="E52" s="2107"/>
      <c r="F52" s="1373"/>
      <c r="G52" s="1373"/>
      <c r="H52" s="1373"/>
      <c r="I52" s="1373"/>
      <c r="J52" s="1373"/>
      <c r="K52" s="1373"/>
      <c r="L52" s="1376"/>
      <c r="M52" s="1351"/>
      <c r="N52" s="1351"/>
      <c r="O52" s="524"/>
      <c r="P52" s="385"/>
      <c r="Q52" s="1374"/>
      <c r="R52" s="385"/>
      <c r="S52" s="1352"/>
      <c r="T52" s="1355" t="s">
        <v>211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F69E7-BDD7-4EAD-78C2-B1989A0D3EA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6166" width="19.140625" hidden="1" customWidth="1"/>
    <col min="13" max="14" style="3332" width="12.28125" hidden="1" customWidth="1"/>
    <col min="15" max="15" style="3332" width="23.421875" hidden="1" customWidth="1"/>
    <col min="16" max="16" style="6171" width="3.7109375" customWidth="1"/>
    <col min="17" max="18" style="3409" width="3.7109375" customWidth="1"/>
    <col min="19" max="19" style="3410" width="12.7109375" customWidth="1"/>
    <col min="20" max="20" style="2983" width="35.7109375" customWidth="1"/>
    <col min="21" max="21" style="2983" width="0.140625" customWidth="1"/>
    <col min="22" max="24" style="2983" width="24.7109375" hidden="1" customWidth="1"/>
    <col min="25" max="25" style="2983" width="11.7109375" hidden="1" customWidth="1"/>
    <col min="26" max="26" style="2983" width="3.7109375" hidden="1" customWidth="1"/>
    <col min="27" max="27" style="2983" width="11.7109375" hidden="1" customWidth="1"/>
    <col min="28" max="28" style="2983" width="8.57421875" hidden="1" customWidth="1"/>
    <col min="29" max="31" style="2983" width="24.7109375" customWidth="1"/>
    <col min="32" max="32" style="2983" width="11.7109375" customWidth="1"/>
    <col min="33" max="33" style="2983" width="3.7109375" customWidth="1"/>
    <col min="34" max="34" style="2983" width="11.7109375" customWidth="1"/>
    <col min="35" max="35" style="2983" width="8.57421875" hidden="1" customWidth="1"/>
    <col min="36" max="36" style="2983" width="4.7109375" customWidth="1"/>
    <col min="37" max="37" style="298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444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576</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530</v>
      </c>
      <c r="U5" s="288"/>
      <c r="V5" s="2194"/>
      <c r="W5" s="2195"/>
      <c r="X5" s="2195"/>
      <c r="Y5" s="2195"/>
      <c r="Z5" s="2195"/>
      <c r="AA5" s="2195"/>
      <c r="AB5" s="2196"/>
      <c r="AC5" s="2197"/>
      <c r="AD5" s="2198"/>
      <c r="AE5" s="2198"/>
      <c r="AF5" s="2198"/>
      <c r="AG5" s="2198"/>
      <c r="AH5" s="2198"/>
      <c r="AI5" s="2198"/>
      <c r="AJ5" s="2199"/>
      <c r="AK5" s="1286" t="s">
        <v>531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453</v>
      </c>
      <c r="P6" s="2111"/>
      <c r="Q6" s="2111">
        <v>1</v>
      </c>
      <c r="R6" s="353"/>
      <c r="S6" s="1523">
        <f>$J6</f>
      </c>
      <c r="T6" s="274" t="s">
        <v>454</v>
      </c>
      <c r="U6" s="288"/>
      <c r="V6" s="2095"/>
      <c r="W6" s="2096"/>
      <c r="X6" s="2096"/>
      <c r="Y6" s="2096"/>
      <c r="Z6" s="2096"/>
      <c r="AA6" s="2096"/>
      <c r="AB6" s="2097"/>
      <c r="AC6" s="2095"/>
      <c r="AD6" s="2096"/>
      <c r="AE6" s="2096"/>
      <c r="AF6" s="2096"/>
      <c r="AG6" s="2096"/>
      <c r="AH6" s="2096"/>
      <c r="AI6" s="2096"/>
      <c r="AJ6" s="2097"/>
      <c r="AK6" s="1337" t="s">
        <v>532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533</v>
      </c>
      <c r="U9" s="367"/>
      <c r="V9" s="367"/>
      <c r="W9" s="367"/>
      <c r="X9" s="367"/>
      <c r="Y9" s="367"/>
      <c r="Z9" s="367"/>
      <c r="AA9" s="367"/>
      <c r="AB9" s="367"/>
      <c r="AC9" s="367"/>
      <c r="AD9" s="367"/>
      <c r="AE9" s="367"/>
      <c r="AF9" s="367"/>
      <c r="AG9" s="367"/>
      <c r="AH9" s="367"/>
      <c r="AI9" s="367"/>
      <c r="AJ9" s="367"/>
      <c r="AK9" s="1286" t="s">
        <v>534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459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192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461</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462</v>
      </c>
      <c r="P20" s="1392"/>
      <c r="Q20" s="1472"/>
      <c r="R20" s="1472"/>
      <c r="S20" s="735"/>
      <c r="T20" s="1168" t="s">
        <v>463</v>
      </c>
      <c r="Z20" s="172" t="s">
        <v>464</v>
      </c>
      <c r="AB20" s="172" t="s">
        <v>465</v>
      </c>
      <c r="AC20" s="1168" t="s">
        <v>463</v>
      </c>
      <c r="AG20" s="172" t="s">
        <v>466</v>
      </c>
      <c r="AI20" s="172" t="s">
        <v>465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3" customFormat="1" customHeight="1" ht="18.75">
      <c r="A28" s="1398"/>
      <c r="B28" s="1398"/>
      <c r="C28" s="1398"/>
      <c r="D28" s="1398"/>
      <c r="E28" s="1398"/>
      <c r="F28" s="1398"/>
      <c r="G28" s="1398"/>
      <c r="H28" s="1398"/>
      <c r="I28" s="1398"/>
      <c r="J28" s="1398"/>
      <c r="K28" s="1398"/>
      <c r="L28" s="1399"/>
      <c r="M28" s="1398"/>
      <c r="N28" s="1398"/>
      <c r="O28" s="1398"/>
      <c r="S28" s="2098" t="s">
        <v>467</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3" customFormat="1" customHeight="1" ht="18.75">
      <c r="A29" s="1398"/>
      <c r="B29" s="1398"/>
      <c r="C29" s="1398"/>
      <c r="D29" s="1398"/>
      <c r="E29" s="1398"/>
      <c r="F29" s="1398"/>
      <c r="G29" s="1398"/>
      <c r="H29" s="1398"/>
      <c r="I29" s="1398"/>
      <c r="J29" s="1398"/>
      <c r="K29" s="1398"/>
      <c r="L29" s="1399"/>
      <c r="M29" s="1398"/>
      <c r="N29" s="1398"/>
      <c r="O29" s="1398"/>
      <c r="S29" s="2098" t="s">
        <v>468</v>
      </c>
      <c r="T29" s="2098"/>
      <c r="U29" s="1402"/>
      <c r="V29" s="2100" t="str">
        <f>IF(TITLE_NUMBER_PR_CHANGE="",IF(TITLE_NUMBER_PR="","",TITLE_NUMBER_PR),TITLE_NUMBER_PR_CHANGE)</f>
        <v>51/11</v>
      </c>
      <c r="W29" s="2100"/>
      <c r="X29" s="2100"/>
      <c r="Y29" s="2100"/>
      <c r="Z29" s="2100"/>
      <c r="AA29" s="2100"/>
      <c r="AB29" s="322"/>
      <c r="AC29" s="2100" t="str">
        <f>IF(TITLE_NUMBER_PR_CHANGE="",IF(TITLE_NUMBER_PR="","",TITLE_NUMBER_PR),TITLE_NUMBER_PR_CHANGE)</f>
        <v>51/11</v>
      </c>
      <c r="AD29" s="2100"/>
      <c r="AE29" s="2100"/>
      <c r="AF29" s="2100"/>
      <c r="AG29" s="2100"/>
      <c r="AH29" s="2100"/>
      <c r="AI29" s="322"/>
      <c r="AJ29" s="322"/>
      <c r="AK29" s="268"/>
      <c r="AL29" s="368"/>
      <c r="AM29" s="368"/>
      <c r="AN29" s="368"/>
      <c r="AO29" s="368"/>
      <c r="AP29" s="368"/>
    </row>
    <row s="33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https://npa.gov-murman.ru/bitrix/components/b1team/govmurman.element.file/download.php?ID=508451&amp;FID=750724</v>
      </c>
      <c r="W30" s="2100"/>
      <c r="X30" s="2100"/>
      <c r="Y30" s="2100"/>
      <c r="Z30" s="2100"/>
      <c r="AA30" s="2100"/>
      <c r="AB30" s="322"/>
      <c r="AC30" s="2100" t="str">
        <f>IF(TITLE_IST_PUB_CHANGE="",IF(TITLE_IST_PUB="","",TITLE_IST_PUB),TITLE_IST_PUB_CHANGE)</f>
        <v>https://npa.gov-murman.ru/bitrix/components/b1team/govmurman.element.file/download.php?ID=508451&amp;FID=750724</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3" customFormat="1" customHeight="1" ht="18.75">
      <c r="A32" s="1398"/>
      <c r="B32" s="1398"/>
      <c r="C32" s="1398"/>
      <c r="D32" s="1398"/>
      <c r="E32" s="1398"/>
      <c r="F32" s="1398"/>
      <c r="G32" s="1398"/>
      <c r="H32" s="1398"/>
      <c r="I32" s="1398"/>
      <c r="J32" s="1398"/>
      <c r="K32" s="1398"/>
      <c r="L32" s="1399"/>
      <c r="M32" s="1398"/>
      <c r="N32" s="1398"/>
      <c r="O32" s="1398"/>
      <c r="S32" s="2098" t="s">
        <v>469</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3" customFormat="1" customHeight="1" ht="18.75">
      <c r="A33" s="1398"/>
      <c r="B33" s="1398"/>
      <c r="C33" s="1398"/>
      <c r="D33" s="1398"/>
      <c r="E33" s="1398"/>
      <c r="F33" s="1398"/>
      <c r="G33" s="1398"/>
      <c r="H33" s="1398"/>
      <c r="I33" s="1398"/>
      <c r="J33" s="1398"/>
      <c r="K33" s="1398"/>
      <c r="L33" s="1399"/>
      <c r="M33" s="1398"/>
      <c r="N33" s="1398"/>
      <c r="O33" s="1398"/>
      <c r="S33" s="2098" t="s">
        <v>470</v>
      </c>
      <c r="T33" s="2098"/>
      <c r="U33" s="1402"/>
      <c r="V33" s="2100" t="str">
        <f>IF(TITLE_NUMBER_PR_CHANGE="",IF(TITLE_NUMBER_PR="","",TITLE_NUMBER_PR),TITLE_NUMBER_PR_CHANGE)</f>
        <v>51/11</v>
      </c>
      <c r="W33" s="2100"/>
      <c r="X33" s="2100"/>
      <c r="Y33" s="2100"/>
      <c r="Z33" s="2100"/>
      <c r="AA33" s="2100"/>
      <c r="AB33" s="322"/>
      <c r="AC33" s="2100" t="str">
        <f>IF(TITLE_NUMBER_PR_CHANGE="",IF(TITLE_NUMBER_PR="","",TITLE_NUMBER_PR),TITLE_NUMBER_PR_CHANGE)</f>
        <v>51/11</v>
      </c>
      <c r="AD33" s="2100"/>
      <c r="AE33" s="2100"/>
      <c r="AF33" s="2100"/>
      <c r="AG33" s="2100"/>
      <c r="AH33" s="2100"/>
      <c r="AI33" s="322"/>
      <c r="AJ33" s="322"/>
      <c r="AK33" s="268"/>
      <c r="AL33" s="368"/>
      <c r="AM33" s="368"/>
      <c r="AN33" s="368"/>
      <c r="AO33" s="368"/>
      <c r="AP33" s="368"/>
    </row>
    <row s="334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471</v>
      </c>
      <c r="AC34" s="322"/>
      <c r="AD34" s="322"/>
      <c r="AE34" s="322"/>
      <c r="AF34" s="322"/>
      <c r="AG34" s="322"/>
      <c r="AH34" s="322"/>
      <c r="AI34" s="266" t="s">
        <v>471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345</v>
      </c>
      <c r="T36" s="1971"/>
      <c r="U36" s="1971"/>
      <c r="V36" s="1971"/>
      <c r="W36" s="1971"/>
      <c r="X36" s="1971"/>
      <c r="Y36" s="1971"/>
      <c r="Z36" s="1971"/>
      <c r="AA36" s="1971"/>
      <c r="AB36" s="1971"/>
      <c r="AC36" s="1971"/>
      <c r="AD36" s="1971"/>
      <c r="AE36" s="1971"/>
      <c r="AF36" s="1971"/>
      <c r="AG36" s="1971"/>
      <c r="AH36" s="1971"/>
      <c r="AI36" s="1971"/>
      <c r="AJ36" s="1971"/>
      <c r="AK36" s="1971" t="s">
        <v>346</v>
      </c>
    </row>
    <row customHeight="1" ht="14.25">
      <c r="Q37" s="377"/>
      <c r="R37" s="377"/>
      <c r="S37" s="2125" t="s">
        <v>87</v>
      </c>
      <c r="T37" s="2062" t="s">
        <v>472</v>
      </c>
      <c r="U37" s="289"/>
      <c r="V37" s="2126" t="s">
        <v>473</v>
      </c>
      <c r="W37" s="2127"/>
      <c r="X37" s="2127"/>
      <c r="Y37" s="2127"/>
      <c r="Z37" s="2127"/>
      <c r="AA37" s="2128"/>
      <c r="AB37" s="2129" t="s">
        <v>474</v>
      </c>
      <c r="AC37" s="2126" t="s">
        <v>473</v>
      </c>
      <c r="AD37" s="2127"/>
      <c r="AE37" s="2127"/>
      <c r="AF37" s="2127"/>
      <c r="AG37" s="2127"/>
      <c r="AH37" s="2128"/>
      <c r="AI37" s="2129" t="s">
        <v>475</v>
      </c>
      <c r="AJ37" s="2132" t="s">
        <v>476</v>
      </c>
      <c r="AK37" s="1971"/>
    </row>
    <row customHeight="1" ht="33.75">
      <c r="Q38" s="377"/>
      <c r="R38" s="377"/>
      <c r="S38" s="2125"/>
      <c r="T38" s="2062"/>
      <c r="U38" s="1038"/>
      <c r="V38" s="1513" t="s">
        <v>577</v>
      </c>
      <c r="W38" s="2118" t="s">
        <v>578</v>
      </c>
      <c r="X38" s="2120"/>
      <c r="Y38" s="2118" t="s">
        <v>480</v>
      </c>
      <c r="Z38" s="2119"/>
      <c r="AA38" s="2120"/>
      <c r="AB38" s="2130"/>
      <c r="AC38" s="1513" t="s">
        <v>577</v>
      </c>
      <c r="AD38" s="2118" t="s">
        <v>578</v>
      </c>
      <c r="AE38" s="2120"/>
      <c r="AF38" s="2118" t="s">
        <v>480</v>
      </c>
      <c r="AG38" s="2119"/>
      <c r="AH38" s="2120"/>
      <c r="AI38" s="2130"/>
      <c r="AJ38" s="2133"/>
      <c r="AK38" s="1971"/>
    </row>
    <row customHeight="1" ht="86.25">
      <c r="A39" s="1400"/>
      <c r="B39" s="1400" t="s">
        <v>152</v>
      </c>
      <c r="C39" s="1400" t="s">
        <v>153</v>
      </c>
      <c r="D39" s="1400" t="s">
        <v>154</v>
      </c>
      <c r="E39" s="1394" t="s">
        <v>481</v>
      </c>
      <c r="F39" s="1394" t="s">
        <v>482</v>
      </c>
      <c r="G39" s="1394" t="s">
        <v>483</v>
      </c>
      <c r="H39" s="1394"/>
      <c r="I39" s="1394" t="s">
        <v>537</v>
      </c>
      <c r="J39" s="1394" t="s">
        <v>486</v>
      </c>
      <c r="K39" s="1394" t="s">
        <v>538</v>
      </c>
      <c r="L39" s="1394" t="s">
        <v>462</v>
      </c>
      <c r="Q39" s="377"/>
      <c r="R39" s="377"/>
      <c r="S39" s="2125"/>
      <c r="T39" s="2062"/>
      <c r="U39" s="290"/>
      <c r="V39" s="1513" t="s">
        <v>579</v>
      </c>
      <c r="W39" s="1237" t="s">
        <v>580</v>
      </c>
      <c r="X39" s="1237" t="s">
        <v>581</v>
      </c>
      <c r="Y39" s="1519" t="s">
        <v>490</v>
      </c>
      <c r="Z39" s="2121" t="s">
        <v>491</v>
      </c>
      <c r="AA39" s="2122"/>
      <c r="AB39" s="2131"/>
      <c r="AC39" s="1513" t="s">
        <v>579</v>
      </c>
      <c r="AD39" s="1237" t="s">
        <v>580</v>
      </c>
      <c r="AE39" s="1237" t="s">
        <v>581</v>
      </c>
      <c r="AF39" s="1519" t="s">
        <v>490</v>
      </c>
      <c r="AG39" s="2121" t="s">
        <v>491</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128</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296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296</v>
      </c>
      <c r="B42" s="1393" t="s">
        <v>297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444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445</v>
      </c>
      <c r="AM42" s="506"/>
      <c r="AN42" s="506" t="str">
        <f>IF(T42="","",T42)</f>
        <v>Территория действия тарифа</v>
      </c>
      <c r="AO42" s="506"/>
      <c r="AP42" s="506"/>
    </row>
    <row customHeight="1" ht="23.25">
      <c r="A43" s="1393" t="s">
        <v>296</v>
      </c>
      <c r="B43" s="1393" t="s">
        <v>297</v>
      </c>
      <c r="C43" s="1393" t="s">
        <v>298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576</v>
      </c>
      <c r="AM43" s="506"/>
      <c r="AN43" s="506" t="str">
        <f>IF(T43="","",T43)</f>
        <v>Наименование централизованной системы горячего водоснабжения</v>
      </c>
      <c r="AO43" s="506"/>
      <c r="AP43" s="506"/>
    </row>
    <row customHeight="1" ht="23.25">
      <c r="A44" s="1393" t="s">
        <v>296</v>
      </c>
      <c r="B44" s="1393" t="s">
        <v>297</v>
      </c>
      <c r="C44" s="1393" t="s">
        <v>298</v>
      </c>
      <c r="D44" s="1393" t="s">
        <v>582</v>
      </c>
      <c r="E44" s="2108"/>
      <c r="F44" s="2108"/>
      <c r="G44" s="2108"/>
      <c r="H44" s="2108"/>
      <c r="I44" s="2109" t="str">
        <f>S43&amp;".1"</f>
        <v>...1</v>
      </c>
      <c r="J44" s="1393"/>
      <c r="K44" s="1393"/>
      <c r="L44" s="1394"/>
      <c r="P44" s="2111">
        <v>1</v>
      </c>
      <c r="Q44" s="1511"/>
      <c r="R44" s="352"/>
      <c r="S44" s="1523" t="str">
        <f>$I44</f>
        <v>...1</v>
      </c>
      <c r="T44" s="273" t="s">
        <v>530</v>
      </c>
      <c r="U44" s="288"/>
      <c r="V44" s="2194"/>
      <c r="W44" s="2195"/>
      <c r="X44" s="2195"/>
      <c r="Y44" s="2195"/>
      <c r="Z44" s="2195"/>
      <c r="AA44" s="2195"/>
      <c r="AB44" s="2196"/>
      <c r="AC44" s="2197"/>
      <c r="AD44" s="2198"/>
      <c r="AE44" s="2198"/>
      <c r="AF44" s="2198"/>
      <c r="AG44" s="2198"/>
      <c r="AH44" s="2198"/>
      <c r="AI44" s="2198"/>
      <c r="AJ44" s="2199"/>
      <c r="AK44" s="1286" t="s">
        <v>531</v>
      </c>
      <c r="AM44" s="506"/>
      <c r="AN44" s="506" t="str">
        <f>IF(T44="","",T44)</f>
        <v>Наименование признака дифференциации</v>
      </c>
      <c r="AO44" s="506"/>
      <c r="AP44" s="506"/>
    </row>
    <row customHeight="1" ht="23.25">
      <c r="A45" s="1393" t="s">
        <v>296</v>
      </c>
      <c r="B45" s="1393" t="s">
        <v>297</v>
      </c>
      <c r="C45" s="1393" t="s">
        <v>298</v>
      </c>
      <c r="D45" s="1393" t="s">
        <v>582</v>
      </c>
      <c r="E45" s="2108"/>
      <c r="F45" s="2108"/>
      <c r="G45" s="2108"/>
      <c r="H45" s="2108"/>
      <c r="I45" s="2110"/>
      <c r="J45" s="2109" t="str">
        <f>I44&amp;".1"</f>
        <v>...1.1</v>
      </c>
      <c r="K45" s="1393"/>
      <c r="L45" s="1394" t="s">
        <v>453</v>
      </c>
      <c r="P45" s="2111"/>
      <c r="Q45" s="2111">
        <v>1</v>
      </c>
      <c r="R45" s="353"/>
      <c r="S45" s="1523" t="str">
        <f>$J45</f>
        <v>...1.1</v>
      </c>
      <c r="T45" s="274" t="s">
        <v>454</v>
      </c>
      <c r="U45" s="288"/>
      <c r="V45" s="2095"/>
      <c r="W45" s="2096"/>
      <c r="X45" s="2096"/>
      <c r="Y45" s="2096"/>
      <c r="Z45" s="2096"/>
      <c r="AA45" s="2096"/>
      <c r="AB45" s="2097"/>
      <c r="AC45" s="2095"/>
      <c r="AD45" s="2096"/>
      <c r="AE45" s="2096"/>
      <c r="AF45" s="2096"/>
      <c r="AG45" s="2096"/>
      <c r="AH45" s="2096"/>
      <c r="AI45" s="2096"/>
      <c r="AJ45" s="2097"/>
      <c r="AK45" s="1337" t="s">
        <v>532</v>
      </c>
      <c r="AM45" s="506"/>
      <c r="AN45" s="506" t="str">
        <f>IF(T45="","",T45)</f>
        <v>Группа потребителей</v>
      </c>
      <c r="AO45" s="506"/>
      <c r="AP45" s="506"/>
    </row>
    <row customHeight="1" ht="23.25">
      <c r="A46" s="1393" t="s">
        <v>296</v>
      </c>
      <c r="B46" s="1393" t="s">
        <v>297</v>
      </c>
      <c r="C46" s="1393" t="s">
        <v>298</v>
      </c>
      <c r="D46" s="1393" t="s">
        <v>582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296</v>
      </c>
      <c r="B47" s="1393" t="s">
        <v>297</v>
      </c>
      <c r="C47" s="1393" t="s">
        <v>298</v>
      </c>
      <c r="D47" s="1393" t="s">
        <v>582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296</v>
      </c>
      <c r="B48" s="1393" t="s">
        <v>297</v>
      </c>
      <c r="C48" s="1393" t="s">
        <v>298</v>
      </c>
      <c r="D48" s="1393" t="s">
        <v>582</v>
      </c>
      <c r="E48" s="2108"/>
      <c r="F48" s="2108"/>
      <c r="G48" s="2108"/>
      <c r="H48" s="2108"/>
      <c r="I48" s="2110"/>
      <c r="J48" s="2109"/>
      <c r="K48" s="1393"/>
      <c r="L48" s="1394"/>
      <c r="P48" s="2111"/>
      <c r="Q48" s="2111"/>
      <c r="R48" s="352"/>
      <c r="S48" s="1308"/>
      <c r="T48" s="275" t="s">
        <v>533</v>
      </c>
      <c r="U48" s="367"/>
      <c r="V48" s="367"/>
      <c r="W48" s="367"/>
      <c r="X48" s="367"/>
      <c r="Y48" s="367"/>
      <c r="Z48" s="367"/>
      <c r="AA48" s="367"/>
      <c r="AB48" s="367"/>
      <c r="AC48" s="367"/>
      <c r="AD48" s="367"/>
      <c r="AE48" s="367"/>
      <c r="AF48" s="367"/>
      <c r="AG48" s="367"/>
      <c r="AH48" s="367"/>
      <c r="AI48" s="367"/>
      <c r="AJ48" s="367"/>
      <c r="AK48" s="1286" t="s">
        <v>534</v>
      </c>
      <c r="AM48" s="506"/>
      <c r="AN48" s="506" t="str">
        <f>IF(T48="","",T48)</f>
        <v>Добавить значение признака дифференциации</v>
      </c>
      <c r="AO48" s="506"/>
      <c r="AP48" s="506"/>
    </row>
    <row customHeight="1" ht="21">
      <c r="A49" s="1393" t="s">
        <v>296</v>
      </c>
      <c r="B49" s="1393" t="s">
        <v>297</v>
      </c>
      <c r="C49" s="1393" t="s">
        <v>298</v>
      </c>
      <c r="D49" s="1393" t="s">
        <v>582</v>
      </c>
      <c r="E49" s="2108"/>
      <c r="F49" s="2108"/>
      <c r="G49" s="2108"/>
      <c r="H49" s="2108"/>
      <c r="I49" s="2109"/>
      <c r="J49" s="1393"/>
      <c r="K49" s="1393"/>
      <c r="L49" s="1394"/>
      <c r="P49" s="2111"/>
      <c r="Q49" s="1511"/>
      <c r="R49" s="352"/>
      <c r="S49" s="1308"/>
      <c r="T49" s="364" t="s">
        <v>459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296</v>
      </c>
      <c r="B50" s="1393" t="s">
        <v>297</v>
      </c>
      <c r="C50" s="1393" t="s">
        <v>298</v>
      </c>
      <c r="D50" s="1393" t="s">
        <v>582</v>
      </c>
      <c r="E50" s="2108"/>
      <c r="F50" s="2108"/>
      <c r="G50" s="2108"/>
      <c r="H50" s="2107"/>
      <c r="I50" s="1393"/>
      <c r="J50" s="1393"/>
      <c r="K50" s="1393"/>
      <c r="L50" s="1394"/>
      <c r="M50" s="1395"/>
      <c r="N50" s="1395"/>
      <c r="O50" s="543"/>
      <c r="P50" s="356"/>
      <c r="Q50" s="376"/>
      <c r="R50" s="351"/>
      <c r="S50" s="1308"/>
      <c r="T50" s="372" t="s">
        <v>535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296</v>
      </c>
      <c r="B51" s="1373" t="s">
        <v>297</v>
      </c>
      <c r="C51" s="1344"/>
      <c r="D51" s="1344"/>
      <c r="E51" s="2108"/>
      <c r="F51" s="2107"/>
      <c r="G51" s="1344"/>
      <c r="H51" s="1344"/>
      <c r="I51" s="1344"/>
      <c r="J51" s="1344"/>
      <c r="K51" s="1344"/>
      <c r="L51" s="1524"/>
      <c r="M51" s="1351"/>
      <c r="N51" s="1351"/>
      <c r="P51" s="1346"/>
      <c r="Q51" s="1347"/>
      <c r="R51" s="1346"/>
      <c r="S51" s="1352"/>
      <c r="T51" s="1355" t="s">
        <v>192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296</v>
      </c>
      <c r="B52" s="1373"/>
      <c r="C52" s="1373"/>
      <c r="D52" s="1373"/>
      <c r="E52" s="2107"/>
      <c r="F52" s="1373"/>
      <c r="G52" s="1373"/>
      <c r="H52" s="1373"/>
      <c r="I52" s="1373"/>
      <c r="J52" s="1373"/>
      <c r="K52" s="1373"/>
      <c r="L52" s="1376"/>
      <c r="M52" s="1351"/>
      <c r="N52" s="1351"/>
      <c r="O52" s="524"/>
      <c r="P52" s="385"/>
      <c r="Q52" s="1374"/>
      <c r="R52" s="385"/>
      <c r="S52" s="1352"/>
      <c r="T52" s="1355" t="s">
        <v>211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0EFE5-730F-A685-3A38-BEEFD909951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6166" width="19.140625" hidden="1" customWidth="1"/>
    <col min="13" max="14" style="3332" width="12.28125" hidden="1" customWidth="1"/>
    <col min="15" max="15" style="3332" width="23.421875" hidden="1" customWidth="1"/>
    <col min="16" max="16" style="3332" width="3.7109375" hidden="1" customWidth="1"/>
    <col min="17" max="17" style="3334" width="3.7109375" hidden="1" customWidth="1"/>
    <col min="18" max="18" style="3409" width="3.7109375" customWidth="1"/>
    <col min="19" max="19" style="3410" width="12.7109375" customWidth="1"/>
    <col min="20" max="20" style="2983" width="32.00390625" customWidth="1"/>
    <col min="21" max="21" style="2983" width="0.140625" customWidth="1"/>
    <col min="22" max="25" style="2983" width="21.7109375" hidden="1" customWidth="1"/>
    <col min="26" max="26" style="2983" width="11.7109375" hidden="1" customWidth="1"/>
    <col min="27" max="27" style="2983" width="3.7109375" hidden="1" customWidth="1"/>
    <col min="28" max="28" style="2983" width="11.7109375" hidden="1" customWidth="1"/>
    <col min="29" max="29" style="2983" width="8.57421875" hidden="1" customWidth="1"/>
    <col min="30" max="32" style="2983" width="3.7109375" customWidth="1"/>
    <col min="33" max="33" style="2983" width="24.7109375" customWidth="1"/>
    <col min="34" max="36" style="2983" width="3.7109375" customWidth="1"/>
    <col min="37" max="37" style="2983" width="24.7109375" customWidth="1"/>
    <col min="38" max="40" style="2983" width="3.7109375" customWidth="1"/>
    <col min="41" max="41" style="2983" width="18.8515625" customWidth="1"/>
    <col min="42" max="44" style="2983" width="3.7109375" customWidth="1"/>
    <col min="45" max="45" style="2983" width="18.8515625" customWidth="1"/>
    <col min="46" max="49" style="2983" width="21.7109375" customWidth="1"/>
    <col min="50" max="50" style="2983" width="11.7109375" customWidth="1"/>
    <col min="51" max="51" style="2983" width="3.7109375" customWidth="1"/>
    <col min="52" max="52" style="2983" width="11.7109375" customWidth="1"/>
    <col min="53" max="53" style="2983" width="8.57421875" hidden="1" customWidth="1"/>
    <col min="54" max="54" style="2983" width="4.7109375" customWidth="1"/>
    <col min="55" max="55" style="2983"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140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444</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445</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575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576</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449</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450</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546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547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548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549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550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514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192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461</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6075" customFormat="1" customHeight="1" ht="14.25" hidden="1">
      <c r="M24" s="1538"/>
      <c r="N24" s="1538"/>
      <c r="O24" s="1539" t="s">
        <v>462</v>
      </c>
      <c r="P24" s="1538"/>
      <c r="Q24" s="1540"/>
      <c r="R24" s="1540"/>
      <c r="AA24" s="1537" t="s">
        <v>464</v>
      </c>
      <c r="AC24" s="1537" t="s">
        <v>465</v>
      </c>
      <c r="AD24" s="1537" t="s">
        <v>515</v>
      </c>
      <c r="AH24" s="1537" t="s">
        <v>515</v>
      </c>
      <c r="AK24" s="1537" t="s">
        <v>551</v>
      </c>
      <c r="AL24" s="1537" t="s">
        <v>515</v>
      </c>
      <c r="AP24" s="1537" t="s">
        <v>515</v>
      </c>
      <c r="AY24" s="1537" t="s">
        <v>464</v>
      </c>
      <c r="BA24" s="1537" t="s">
        <v>465</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3"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3" customFormat="1" customHeight="1" ht="18.75">
      <c r="A32" s="1398"/>
      <c r="B32" s="1398"/>
      <c r="C32" s="1398"/>
      <c r="D32" s="1398"/>
      <c r="E32" s="1398"/>
      <c r="F32" s="1398"/>
      <c r="G32" s="1398"/>
      <c r="H32" s="1398"/>
      <c r="I32" s="1398"/>
      <c r="J32" s="1398"/>
      <c r="K32" s="1398"/>
      <c r="L32" s="1399"/>
      <c r="M32" s="1398"/>
      <c r="N32" s="1398"/>
      <c r="O32" s="1398"/>
      <c r="P32" s="1398"/>
      <c r="Q32" s="1398"/>
      <c r="S32" s="2098" t="s">
        <v>467</v>
      </c>
      <c r="T32" s="2098"/>
      <c r="U32" s="1402"/>
      <c r="V32" s="2099" t="str">
        <f>IF(TITLE_DATE_PR_CHANGE="",IF(TITLE_DATE_PR="","",TITLE_DATE_PR),TITLE_DATE_PR_CHANGE)</f>
        <v>45280</v>
      </c>
      <c r="W32" s="2099"/>
      <c r="X32" s="2099"/>
      <c r="Y32" s="2099"/>
      <c r="Z32" s="2099"/>
      <c r="AA32" s="2099"/>
      <c r="AB32" s="2099"/>
      <c r="AC32" s="322"/>
      <c r="AD32" s="2099" t="str">
        <f>IF(TITLE_DATE_PR_CHANGE="",IF(TITLE_DATE_PR="","",TITLE_DATE_PR),TITLE_DATE_PR_CHANGE)</f>
        <v>45280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3" customFormat="1" customHeight="1" ht="18.75">
      <c r="A33" s="1398"/>
      <c r="B33" s="1398"/>
      <c r="C33" s="1398"/>
      <c r="D33" s="1398"/>
      <c r="E33" s="1398"/>
      <c r="F33" s="1398"/>
      <c r="G33" s="1398"/>
      <c r="H33" s="1398"/>
      <c r="I33" s="1398"/>
      <c r="J33" s="1398"/>
      <c r="K33" s="1398"/>
      <c r="L33" s="1399"/>
      <c r="M33" s="1398"/>
      <c r="N33" s="1398"/>
      <c r="O33" s="1398"/>
      <c r="P33" s="1398"/>
      <c r="Q33" s="1398"/>
      <c r="S33" s="2098" t="s">
        <v>468</v>
      </c>
      <c r="T33" s="2098"/>
      <c r="U33" s="1402"/>
      <c r="V33" s="2100" t="str">
        <f>IF(TITLE_NUMBER_PR_CHANGE="",IF(TITLE_NUMBER_PR="","",TITLE_NUMBER_PR),TITLE_NUMBER_PR_CHANGE)</f>
        <v>51/11</v>
      </c>
      <c r="W33" s="2100"/>
      <c r="X33" s="2100"/>
      <c r="Y33" s="2100"/>
      <c r="Z33" s="2100"/>
      <c r="AA33" s="2100"/>
      <c r="AB33" s="2100"/>
      <c r="AC33" s="322"/>
      <c r="AD33" s="2100" t="str">
        <f>IF(TITLE_NUMBER_PR_CHANGE="",IF(TITLE_NUMBER_PR="","",TITLE_NUMBER_PR),TITLE_NUMBER_PR_CHANGE)</f>
        <v>51/11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3"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https://npa.gov-murman.ru/bitrix/components/b1team/govmurman.element.file/download.php?ID=508451&amp;FID=750724</v>
      </c>
      <c r="W34" s="2100"/>
      <c r="X34" s="2100"/>
      <c r="Y34" s="2100"/>
      <c r="Z34" s="2100"/>
      <c r="AA34" s="2100"/>
      <c r="AB34" s="2100"/>
      <c r="AC34" s="322"/>
      <c r="AD34" s="2100" t="str">
        <f>IF(TITLE_IST_PUB_CHANGE="",IF(TITLE_IST_PUB="","",TITLE_IST_PUB),TITLE_IST_PUB_CHANGE)</f>
        <v>https://npa.gov-murman.ru/bitrix/components/b1team/govmurman.element.file/download.php?ID=508451&amp;FID=750724</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3"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467</v>
      </c>
      <c r="T36" s="2098"/>
      <c r="U36" s="1402"/>
      <c r="V36" s="2099" t="str">
        <f>IF(TITLE_DATE_PR_CHANGE="",IF(TITLE_DATE_PR="","",TITLE_DATE_PR),TITLE_DATE_PR_CHANGE)</f>
        <v>45280</v>
      </c>
      <c r="W36" s="2099"/>
      <c r="X36" s="2099"/>
      <c r="Y36" s="2099"/>
      <c r="Z36" s="2099"/>
      <c r="AA36" s="2099"/>
      <c r="AB36" s="2099"/>
      <c r="AC36" s="322"/>
      <c r="AD36" s="2099" t="str">
        <f>IF(TITLE_DATE_PR_CHANGE="",IF(TITLE_DATE_PR="","",TITLE_DATE_PR),TITLE_DATE_PR_CHANGE)</f>
        <v>45280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3"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468</v>
      </c>
      <c r="T37" s="2098"/>
      <c r="U37" s="1402"/>
      <c r="V37" s="2100" t="str">
        <f>IF(TITLE_NUMBER_PR_CHANGE="",IF(TITLE_NUMBER_PR="","",TITLE_NUMBER_PR),TITLE_NUMBER_PR_CHANGE)</f>
        <v>51/11</v>
      </c>
      <c r="W37" s="2100"/>
      <c r="X37" s="2100"/>
      <c r="Y37" s="2100"/>
      <c r="Z37" s="2100"/>
      <c r="AA37" s="2100"/>
      <c r="AB37" s="2100"/>
      <c r="AC37" s="322"/>
      <c r="AD37" s="2100" t="str">
        <f>IF(TITLE_NUMBER_PR_CHANGE="",IF(TITLE_NUMBER_PR="","",TITLE_NUMBER_PR),TITLE_NUMBER_PR_CHANGE)</f>
        <v>51/11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471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471</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345</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346</v>
      </c>
    </row>
    <row customHeight="1" ht="14.25">
      <c r="Q41" s="279"/>
      <c r="R41" s="377"/>
      <c r="S41" s="2125" t="s">
        <v>87</v>
      </c>
      <c r="T41" s="2062" t="s">
        <v>552</v>
      </c>
      <c r="U41" s="289"/>
      <c r="V41" s="2126" t="s">
        <v>473</v>
      </c>
      <c r="W41" s="2127"/>
      <c r="X41" s="2127"/>
      <c r="Y41" s="2127"/>
      <c r="Z41" s="2127"/>
      <c r="AA41" s="2127"/>
      <c r="AB41" s="2128"/>
      <c r="AC41" s="2129" t="s">
        <v>474</v>
      </c>
      <c r="AD41" s="2173" t="s">
        <v>553</v>
      </c>
      <c r="AE41" s="2146"/>
      <c r="AF41" s="2146"/>
      <c r="AG41" s="2174"/>
      <c r="AH41" s="2173" t="s">
        <v>554</v>
      </c>
      <c r="AI41" s="2146"/>
      <c r="AJ41" s="2146"/>
      <c r="AK41" s="2174"/>
      <c r="AL41" s="2173" t="s">
        <v>555</v>
      </c>
      <c r="AM41" s="2146"/>
      <c r="AN41" s="2146"/>
      <c r="AO41" s="2174"/>
      <c r="AP41" s="2173" t="s">
        <v>556</v>
      </c>
      <c r="AQ41" s="2146"/>
      <c r="AR41" s="2146"/>
      <c r="AS41" s="2174"/>
      <c r="AT41" s="2126" t="s">
        <v>473</v>
      </c>
      <c r="AU41" s="2127"/>
      <c r="AV41" s="2127"/>
      <c r="AW41" s="2127"/>
      <c r="AX41" s="2127"/>
      <c r="AY41" s="2127"/>
      <c r="AZ41" s="2128"/>
      <c r="BA41" s="2129" t="s">
        <v>474</v>
      </c>
      <c r="BB41" s="2132" t="s">
        <v>476</v>
      </c>
      <c r="BC41" s="1971"/>
    </row>
    <row customHeight="1" ht="33.75">
      <c r="Q42" s="279"/>
      <c r="R42" s="377"/>
      <c r="S42" s="2125"/>
      <c r="T42" s="2062"/>
      <c r="U42" s="1038"/>
      <c r="V42" s="2029" t="s">
        <v>557</v>
      </c>
      <c r="W42" s="2030"/>
      <c r="X42" s="2029" t="s">
        <v>558</v>
      </c>
      <c r="Y42" s="2030"/>
      <c r="Z42" s="2144" t="s">
        <v>559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557</v>
      </c>
      <c r="AU42" s="2030"/>
      <c r="AV42" s="2029" t="s">
        <v>558</v>
      </c>
      <c r="AW42" s="2030"/>
      <c r="AX42" s="2144" t="s">
        <v>559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152</v>
      </c>
      <c r="C44" s="1400" t="s">
        <v>153</v>
      </c>
      <c r="D44" s="1400" t="s">
        <v>154</v>
      </c>
      <c r="E44" s="1394" t="s">
        <v>481</v>
      </c>
      <c r="F44" s="1394" t="s">
        <v>482</v>
      </c>
      <c r="G44" s="1394" t="s">
        <v>483</v>
      </c>
      <c r="H44" s="1394" t="s">
        <v>484</v>
      </c>
      <c r="I44" s="1394" t="s">
        <v>485</v>
      </c>
      <c r="J44" s="1394" t="s">
        <v>486</v>
      </c>
      <c r="K44" s="1394" t="s">
        <v>487</v>
      </c>
      <c r="L44" s="1394" t="s">
        <v>462</v>
      </c>
      <c r="Q44" s="279"/>
      <c r="R44" s="377"/>
      <c r="S44" s="2125"/>
      <c r="T44" s="2062"/>
      <c r="U44" s="290"/>
      <c r="V44" s="1509" t="s">
        <v>525</v>
      </c>
      <c r="W44" s="1509" t="s">
        <v>526</v>
      </c>
      <c r="X44" s="1509" t="s">
        <v>525</v>
      </c>
      <c r="Y44" s="1509" t="s">
        <v>526</v>
      </c>
      <c r="Z44" s="1519" t="s">
        <v>490</v>
      </c>
      <c r="AA44" s="2121" t="s">
        <v>491</v>
      </c>
      <c r="AB44" s="2122"/>
      <c r="AC44" s="2131"/>
      <c r="AD44" s="2177"/>
      <c r="AE44" s="2178"/>
      <c r="AF44" s="2178"/>
      <c r="AG44" s="2179"/>
      <c r="AH44" s="2177"/>
      <c r="AI44" s="2178"/>
      <c r="AJ44" s="2178"/>
      <c r="AK44" s="2179"/>
      <c r="AL44" s="2177"/>
      <c r="AM44" s="2178"/>
      <c r="AN44" s="2178"/>
      <c r="AO44" s="2179"/>
      <c r="AP44" s="2177"/>
      <c r="AQ44" s="2178"/>
      <c r="AR44" s="2178"/>
      <c r="AS44" s="2179"/>
      <c r="AT44" s="1509" t="s">
        <v>525</v>
      </c>
      <c r="AU44" s="1509" t="s">
        <v>526</v>
      </c>
      <c r="AV44" s="1509" t="s">
        <v>525</v>
      </c>
      <c r="AW44" s="1509" t="s">
        <v>526</v>
      </c>
      <c r="AX44" s="1519" t="s">
        <v>490</v>
      </c>
      <c r="AY44" s="2121" t="s">
        <v>491</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128</v>
      </c>
      <c r="T45" s="1281" t="s">
        <v>102</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306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140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306</v>
      </c>
      <c r="B47" s="1393" t="s">
        <v>307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444</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445</v>
      </c>
      <c r="BE47" s="506"/>
      <c r="BF47" s="506" t="str">
        <f>IF(T47="","",T47)</f>
        <v>Территория действия тарифа</v>
      </c>
      <c r="BG47" s="506"/>
      <c r="BH47" s="506"/>
    </row>
    <row customHeight="1" ht="33.75">
      <c r="A48" s="1393" t="s">
        <v>306</v>
      </c>
      <c r="B48" s="1393" t="s">
        <v>307</v>
      </c>
      <c r="C48" s="1393" t="s">
        <v>308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575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576</v>
      </c>
      <c r="BE48" s="506"/>
      <c r="BF48" s="506" t="str">
        <f>IF(T48="","",T48)</f>
        <v>Наименование централизованной системы горячего водоснабжения</v>
      </c>
      <c r="BG48" s="506"/>
      <c r="BH48" s="506"/>
    </row>
    <row s="2612" customFormat="1" customHeight="1" ht="0">
      <c r="A49" s="1373" t="s">
        <v>306</v>
      </c>
      <c r="B49" s="1373" t="s">
        <v>307</v>
      </c>
      <c r="C49" s="1373" t="s">
        <v>308</v>
      </c>
      <c r="D49" s="1373" t="s">
        <v>583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449</v>
      </c>
      <c r="BE49" s="506"/>
      <c r="BF49" s="506" t="str">
        <f>IF(T49="","",T49)</f>
        <v/>
      </c>
      <c r="BG49" s="506"/>
      <c r="BH49" s="506"/>
    </row>
    <row s="2612" customFormat="1" customHeight="1" ht="0">
      <c r="A50" s="1373" t="s">
        <v>306</v>
      </c>
      <c r="B50" s="1373" t="s">
        <v>307</v>
      </c>
      <c r="C50" s="1373" t="s">
        <v>308</v>
      </c>
      <c r="D50" s="1373" t="s">
        <v>583</v>
      </c>
      <c r="E50" s="2108"/>
      <c r="F50" s="2108"/>
      <c r="G50" s="2108"/>
      <c r="H50" s="2108"/>
      <c r="I50" s="2109" t="str">
        <f>S49&amp;".1"</f>
        <v>.1</v>
      </c>
      <c r="J50" s="1373"/>
      <c r="K50" s="1373"/>
      <c r="L50" s="1376" t="s">
        <v>450</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306</v>
      </c>
      <c r="B51" s="1373" t="s">
        <v>307</v>
      </c>
      <c r="C51" s="1373" t="s">
        <v>308</v>
      </c>
      <c r="D51" s="1373" t="s">
        <v>583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306</v>
      </c>
      <c r="B52" s="1393" t="s">
        <v>307</v>
      </c>
      <c r="C52" s="1393" t="s">
        <v>308</v>
      </c>
      <c r="D52" s="1393" t="s">
        <v>583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546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547</v>
      </c>
      <c r="AT53" s="1423"/>
      <c r="AU53" s="1526"/>
      <c r="AV53" s="1423"/>
      <c r="AW53" s="1526"/>
      <c r="AX53" s="1423"/>
      <c r="AY53" s="1423"/>
      <c r="AZ53" s="1423"/>
      <c r="BA53" s="1423"/>
      <c r="BB53" s="1427"/>
      <c r="BC53" s="2138"/>
      <c r="BE53" s="506"/>
      <c r="BF53" s="506"/>
      <c r="BG53" s="506"/>
      <c r="BH53" s="506"/>
    </row>
    <row customHeight="1" ht="11.25">
      <c r="A54" s="1393" t="s">
        <v>306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548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306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549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306</v>
      </c>
      <c r="B56" s="1393" t="s">
        <v>307</v>
      </c>
      <c r="C56" s="1393" t="s">
        <v>308</v>
      </c>
      <c r="D56" s="1393" t="s">
        <v>583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550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306</v>
      </c>
      <c r="B57" s="1393" t="s">
        <v>307</v>
      </c>
      <c r="C57" s="1393" t="s">
        <v>308</v>
      </c>
      <c r="D57" s="1393" t="s">
        <v>583</v>
      </c>
      <c r="E57" s="2108"/>
      <c r="F57" s="2108"/>
      <c r="G57" s="2108"/>
      <c r="H57" s="2108"/>
      <c r="I57" s="2110"/>
      <c r="J57" s="2109"/>
      <c r="K57" s="1393"/>
      <c r="L57" s="1394"/>
      <c r="P57" s="2111"/>
      <c r="Q57" s="2111"/>
      <c r="R57" s="352"/>
      <c r="S57" s="1308"/>
      <c r="T57" s="275" t="s">
        <v>514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306</v>
      </c>
      <c r="B58" s="1373" t="s">
        <v>307</v>
      </c>
      <c r="C58" s="1373" t="s">
        <v>308</v>
      </c>
      <c r="D58" s="1373" t="s">
        <v>583</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306</v>
      </c>
      <c r="B59" s="1373" t="s">
        <v>307</v>
      </c>
      <c r="C59" s="1373" t="s">
        <v>308</v>
      </c>
      <c r="D59" s="1373" t="s">
        <v>583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2" customFormat="1" customHeight="1" ht="0">
      <c r="A60" s="1373" t="s">
        <v>306</v>
      </c>
      <c r="B60" s="1373" t="s">
        <v>307</v>
      </c>
      <c r="C60" s="1373" t="s">
        <v>308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2" customFormat="1" customHeight="1" ht="0">
      <c r="A61" s="1373" t="s">
        <v>306</v>
      </c>
      <c r="B61" s="1373" t="s">
        <v>307</v>
      </c>
      <c r="C61" s="1344"/>
      <c r="D61" s="1344"/>
      <c r="E61" s="2108"/>
      <c r="F61" s="2107"/>
      <c r="G61" s="1344"/>
      <c r="H61" s="1344"/>
      <c r="I61" s="1344"/>
      <c r="J61" s="1344"/>
      <c r="K61" s="1344"/>
      <c r="L61" s="1524"/>
      <c r="M61" s="1351"/>
      <c r="N61" s="1351"/>
      <c r="P61" s="1346"/>
      <c r="Q61" s="1347"/>
      <c r="R61" s="1346"/>
      <c r="S61" s="1352"/>
      <c r="T61" s="1355" t="s">
        <v>192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306</v>
      </c>
      <c r="B62" s="1373"/>
      <c r="C62" s="1373"/>
      <c r="D62" s="1373"/>
      <c r="E62" s="2107"/>
      <c r="F62" s="1373"/>
      <c r="G62" s="1373"/>
      <c r="H62" s="1373"/>
      <c r="I62" s="1373"/>
      <c r="J62" s="1373"/>
      <c r="K62" s="1373"/>
      <c r="L62" s="1376"/>
      <c r="M62" s="1351"/>
      <c r="N62" s="1351"/>
      <c r="O62" s="524"/>
      <c r="P62" s="385"/>
      <c r="Q62" s="1374"/>
      <c r="R62" s="385"/>
      <c r="S62" s="1352"/>
      <c r="T62" s="1355" t="s">
        <v>211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230</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82E2F-88CE-C998-5564-94C6E3161D06}"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6193" width="10.7109375" hidden="1" customWidth="1"/>
    <col min="2" max="2" style="2683" width="16.8515625" hidden="1" customWidth="1"/>
    <col min="3" max="3" style="2691" width="5.57421875" hidden="1" customWidth="1"/>
    <col min="4" max="4" style="6296" width="3.7109375" customWidth="1"/>
    <col min="5" max="5" style="2992" width="7.7109375" customWidth="1"/>
    <col min="6" max="6" style="2992" width="54.57421875" customWidth="1"/>
    <col min="7" max="7" style="2992" width="10.421875" customWidth="1"/>
    <col min="8" max="8" style="2992" width="40.7109375" hidden="1" customWidth="1"/>
    <col min="9" max="9" style="2992" width="40.7109375" customWidth="1"/>
    <col min="10" max="10" style="2992"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6197" width="9.140625"/>
    <col min="22" max="26" style="2683" width="9.140625"/>
    <col min="27" max="31" style="2991" width="9.140625"/>
  </cols>
  <sheetData>
    <row customHeight="1" ht="11.25" hidden="1"/>
    <row customHeight="1" ht="23.25" hidden="1">
      <c r="B2" s="1953"/>
      <c r="C2" s="1175" t="s">
        <v>584</v>
      </c>
      <c r="D2" s="1678"/>
      <c r="E2" s="552">
        <f>B2</f>
        <v>0</v>
      </c>
      <c r="F2" s="553"/>
      <c r="G2" s="1686" t="s">
        <v>585</v>
      </c>
      <c r="H2" s="1686" t="s">
        <v>585</v>
      </c>
      <c r="I2" s="1686" t="s">
        <v>585</v>
      </c>
      <c r="J2" s="277" t="s">
        <v>586</v>
      </c>
      <c r="K2" s="549"/>
    </row>
    <row s="2691" customFormat="1" customHeight="1" ht="0.75" hidden="1">
      <c r="B3" s="1953"/>
      <c r="C3" s="1175"/>
      <c r="D3" s="554"/>
      <c r="E3" s="555"/>
      <c r="F3" s="556" t="s">
        <v>587</v>
      </c>
      <c r="G3" s="557"/>
      <c r="H3" s="557">
        <f>H4*H5+H7</f>
        <v>0</v>
      </c>
      <c r="I3" s="557">
        <f>I4*I5+I6</f>
        <v>0</v>
      </c>
      <c r="J3" s="558"/>
    </row>
    <row customHeight="1" ht="23.25" hidden="1">
      <c r="B4" s="1953"/>
      <c r="C4" s="1175"/>
      <c r="D4" s="1678"/>
      <c r="E4" s="552" t="str">
        <f>B2&amp;".1"</f>
        <v>.1</v>
      </c>
      <c r="F4" s="559" t="s">
        <v>588</v>
      </c>
      <c r="G4" s="560"/>
      <c r="H4" s="547"/>
      <c r="I4" s="547"/>
      <c r="J4" s="277" t="s">
        <v>589</v>
      </c>
      <c r="K4" s="549"/>
    </row>
    <row customHeight="1" ht="18.75" hidden="1">
      <c r="B5" s="1953"/>
      <c r="C5" s="1175"/>
      <c r="D5" s="1678"/>
      <c r="E5" s="552" t="str">
        <f>B2&amp;".2"</f>
        <v>.2</v>
      </c>
      <c r="F5" s="559" t="s">
        <v>590</v>
      </c>
      <c r="G5" s="1686" t="s">
        <v>591</v>
      </c>
      <c r="H5" s="547"/>
      <c r="I5" s="547"/>
      <c r="J5" s="277"/>
      <c r="K5" s="549"/>
    </row>
    <row customHeight="1" ht="18.75" hidden="1">
      <c r="B6" s="1953"/>
      <c r="C6" s="1175"/>
      <c r="D6" s="1678"/>
      <c r="E6" s="552" t="str">
        <f>B2&amp;".3"</f>
        <v>.3</v>
      </c>
      <c r="F6" s="559" t="s">
        <v>592</v>
      </c>
      <c r="G6" s="1686" t="s">
        <v>591</v>
      </c>
      <c r="H6" s="547"/>
      <c r="I6" s="547"/>
      <c r="J6" s="277"/>
      <c r="K6" s="549"/>
    </row>
    <row customHeight="1" ht="18.75" hidden="1">
      <c r="B7" s="1953"/>
      <c r="C7" s="1175"/>
      <c r="D7" s="1678"/>
      <c r="E7" s="552" t="str">
        <f>B2&amp;".4"</f>
        <v>.4</v>
      </c>
      <c r="F7" s="559" t="s">
        <v>593</v>
      </c>
      <c r="G7" s="1686" t="s">
        <v>585</v>
      </c>
      <c r="H7" s="561"/>
      <c r="I7" s="561"/>
      <c r="J7" s="277"/>
      <c r="K7" s="549"/>
    </row>
    <row s="2683" customFormat="1" customHeight="1" ht="11.25" hidden="1">
      <c r="A8" s="994"/>
      <c r="C8" s="1676"/>
      <c r="D8" s="543"/>
      <c r="H8" s="1168">
        <v>4</v>
      </c>
      <c r="I8" s="1168">
        <v>4</v>
      </c>
      <c r="L8" s="1676"/>
      <c r="M8" s="1676"/>
      <c r="R8" s="1676"/>
    </row>
    <row s="2683" customFormat="1" customHeight="1" ht="22.5" hidden="1">
      <c r="A9" s="994"/>
      <c r="C9" s="1676"/>
      <c r="D9" s="544"/>
      <c r="E9" s="1688"/>
      <c r="F9" s="546"/>
      <c r="G9" s="1686" t="s">
        <v>591</v>
      </c>
      <c r="H9" s="547"/>
      <c r="I9" s="547"/>
      <c r="J9" s="548" t="s">
        <v>594</v>
      </c>
      <c r="K9" s="549"/>
      <c r="L9" s="1676"/>
      <c r="M9" s="1676"/>
      <c r="R9" s="1676"/>
      <c r="U9" s="550"/>
      <c r="AA9" s="1672"/>
      <c r="AB9" s="1672"/>
      <c r="AC9" s="1672"/>
      <c r="AD9" s="1672"/>
      <c r="AE9" s="1672"/>
    </row>
    <row customHeight="1" ht="11.25" hidden="1"/>
    <row customHeight="1" ht="18.75" hidden="1">
      <c r="D11" s="1678"/>
      <c r="E11" s="552"/>
      <c r="F11" s="546"/>
      <c r="G11" s="1686" t="s">
        <v>595</v>
      </c>
      <c r="H11" s="547"/>
      <c r="I11" s="547"/>
      <c r="J11" s="277" t="s">
        <v>596</v>
      </c>
      <c r="K11" s="549"/>
    </row>
    <row customHeight="1" ht="11.25" hidden="1"/>
    <row customHeight="1" ht="22.5" hidden="1">
      <c r="D13" s="1678"/>
      <c r="E13" s="552"/>
      <c r="F13" s="546"/>
      <c r="G13" s="976" t="s">
        <v>597</v>
      </c>
      <c r="H13" s="551"/>
      <c r="I13" s="551"/>
      <c r="J13" s="751" t="s">
        <v>598</v>
      </c>
      <c r="K13" s="549"/>
    </row>
    <row customHeight="1" ht="11.25" hidden="1"/>
    <row customHeight="1" ht="22.5" hidden="1">
      <c r="D15" s="1678"/>
      <c r="E15" s="552"/>
      <c r="F15" s="546"/>
      <c r="G15" s="1686" t="s">
        <v>599</v>
      </c>
      <c r="H15" s="551"/>
      <c r="I15" s="551"/>
      <c r="J15" s="277" t="s">
        <v>600</v>
      </c>
      <c r="K15" s="549"/>
    </row>
    <row customHeight="1" ht="11.25" hidden="1"/>
    <row customHeight="1" ht="22.5" hidden="1">
      <c r="D17" s="1678"/>
      <c r="E17" s="552"/>
      <c r="F17" s="546"/>
      <c r="G17" s="1686" t="s">
        <v>601</v>
      </c>
      <c r="H17" s="551"/>
      <c r="I17" s="551"/>
      <c r="J17" s="277" t="s">
        <v>602</v>
      </c>
      <c r="K17" s="549"/>
    </row>
    <row customHeight="1" ht="11.25" hidden="1"/>
    <row s="2991"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"Мурманэнергосбыт"</v>
      </c>
      <c r="F22" s="2141"/>
      <c r="G22" s="2141"/>
      <c r="H22" s="2141"/>
      <c r="I22" s="2141"/>
    </row>
    <row customHeight="1" ht="11.25">
      <c r="E23" s="1143"/>
      <c r="F23" s="1143"/>
      <c r="G23" s="1143"/>
      <c r="H23" s="1143"/>
      <c r="I23" s="1143"/>
    </row>
    <row s="2691" customFormat="1" customHeight="1" ht="0.75">
      <c r="A24" s="1175"/>
      <c r="D24" s="1682"/>
      <c r="H24" s="895"/>
      <c r="I24" s="895" t="s">
        <v>134</v>
      </c>
    </row>
    <row customHeight="1" ht="11.25">
      <c r="E25" s="717"/>
      <c r="F25" s="2213" t="s">
        <v>124</v>
      </c>
      <c r="G25" s="2214"/>
      <c r="H25" s="1692" t="str">
        <f>IF(H24="","",INDEX(DIFFERENTIATION_UNMERGE_VD,MATCH(H24,DIFFERENTIATION_ID_DIFF,0)))</f>
        <v/>
      </c>
      <c r="I25" s="1692">
        <f>IF(I24="","",INDEX(DIFFERENTIATION_UNMERGE_VD,MATCH(I24,DIFFERENTIATION_ID_DIFF,0)))</f>
        <v>0</v>
      </c>
      <c r="J25" s="1971"/>
    </row>
    <row customHeight="1" ht="11.25">
      <c r="E26" s="717"/>
      <c r="F26" s="2213" t="s">
        <v>603</v>
      </c>
      <c r="G26" s="2214"/>
      <c r="H26" s="1692" t="str">
        <f>IF(H24="","",INDEX(DIFFERENTIATION_UNMERGE_AREA,MATCH(H24,DIFFERENTIATION_ID_DIFF,0)))</f>
        <v/>
      </c>
      <c r="I26" s="1692" t="str">
        <f>IF(I24="","",INDEX(DIFFERENTIATION_UNMERGE_AREA,MATCH(I24,DIFFERENTIATION_ID_DIFF,0)))</f>
        <v/>
      </c>
      <c r="J26" s="1971"/>
    </row>
    <row customHeight="1" ht="11.25">
      <c r="E27" s="717"/>
      <c r="F27" s="2213" t="s">
        <v>604</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345</v>
      </c>
      <c r="F28" s="2216"/>
      <c r="G28" s="2216"/>
      <c r="H28" s="1685"/>
      <c r="I28" s="1685"/>
      <c r="J28" s="1971"/>
    </row>
    <row customHeight="1" ht="22.5">
      <c r="E29" s="1686" t="s">
        <v>87</v>
      </c>
      <c r="F29" s="1693" t="s">
        <v>347</v>
      </c>
      <c r="G29" s="1693" t="s">
        <v>605</v>
      </c>
      <c r="H29" s="1693" t="s">
        <v>348</v>
      </c>
      <c r="I29" s="1693" t="s">
        <v>348</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591</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591</v>
      </c>
      <c r="H31" s="564">
        <f>SUMIF($K33:$K71,$K31,H33:H71)</f>
        <v>0</v>
      </c>
      <c r="I31" s="564">
        <f>SUMIF($K33:$K71,$K31,I33:I71)</f>
        <v>0</v>
      </c>
      <c r="J31" s="277" t="str">
        <f>FHD_NOTE_P_2</f>
        <v>Указывается суммарная себестоимость производимых товаров.</v>
      </c>
      <c r="K31" s="1676" t="s">
        <v>606</v>
      </c>
    </row>
    <row customHeight="1" ht="11.25">
      <c r="D32" s="1678"/>
      <c r="E32" s="552" t="str">
        <f>FHD_NUM_P_3</f>
        <v>2.1</v>
      </c>
      <c r="F32" s="1554" t="str">
        <f>FHD_P_3</f>
        <v>Расходы на приобретаемую тепловую энергию (мощность), теплоноситель</v>
      </c>
      <c r="G32" s="1921" t="s">
        <v>591</v>
      </c>
      <c r="H32" s="563"/>
      <c r="I32" s="563"/>
      <c r="J32" s="277" t="str">
        <f>FHD_NOTE_P_3</f>
        <v/>
      </c>
      <c r="K32" s="1676" t="str">
        <f>IF((LEN(E32)-LEN(SUBSTITUTE(E32,".","")))/LEN(".")=1,"p","")</f>
        <v>p</v>
      </c>
    </row>
    <row customHeight="1" ht="11.25">
      <c r="A33" s="2210" t="s">
        <v>607</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591</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6220"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6220"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6220"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6220"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6220"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6220"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83" customFormat="1" customHeight="1" ht="15">
      <c r="A40" s="2210"/>
      <c r="C40" s="1676"/>
      <c r="D40" s="1673"/>
      <c r="E40" s="576"/>
      <c r="F40" s="577" t="s">
        <v>608</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609</v>
      </c>
      <c r="D41" s="1678"/>
      <c r="E41" s="552" t="str">
        <f>FHD_NUM_P_5</f>
        <v/>
      </c>
      <c r="F41" s="1554" t="str">
        <f>FHD_P_5</f>
        <v/>
      </c>
      <c r="G41" s="1921" t="s">
        <v>591</v>
      </c>
      <c r="H41" s="563"/>
      <c r="I41" s="563"/>
      <c r="J41" s="277" t="str">
        <f>FHD_NOTE_P_5</f>
        <v/>
      </c>
      <c r="K41" s="1676" t="str">
        <f>IF((LEN(E41)-LEN(SUBSTITUTE(E41,".","")))/LEN(".")=1,"p","")</f>
        <v/>
      </c>
    </row>
    <row customHeight="1" ht="11.25" hidden="1">
      <c r="A42" s="2210"/>
      <c r="D42" s="1678"/>
      <c r="E42" s="552" t="str">
        <f>FHD_NUM_P_6</f>
        <v/>
      </c>
      <c r="F42" s="1554" t="str">
        <f>FHD_P_6</f>
        <v/>
      </c>
      <c r="G42" s="1921" t="s">
        <v>591</v>
      </c>
      <c r="H42" s="563"/>
      <c r="I42" s="563"/>
      <c r="J42" s="277" t="str">
        <f>FHD_NOTE_P_6</f>
        <v/>
      </c>
      <c r="K42" s="1676" t="str">
        <f>IF((LEN(E42)-LEN(SUBSTITUTE(E42,".","")))/LEN(".")=1,"p","")</f>
        <v/>
      </c>
    </row>
    <row customHeight="1" ht="11.25" hidden="1">
      <c r="A43" s="2210"/>
      <c r="D43" s="1678"/>
      <c r="E43" s="552" t="str">
        <f>FHD_NUM_P_7</f>
        <v/>
      </c>
      <c r="F43" s="1554" t="str">
        <f>FHD_P_7</f>
        <v/>
      </c>
      <c r="G43" s="1921" t="s">
        <v>591</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591</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610</v>
      </c>
      <c r="H45" s="563"/>
      <c r="I45" s="563"/>
      <c r="J45" s="277" t="str">
        <f>FHD_NOTE_P_9</f>
        <v/>
      </c>
      <c r="K45" s="1676" t="str">
        <f>IF((LEN(E45)-LEN(SUBSTITUTE(E45,".","")))/LEN(".")=1,"p","")</f>
        <v/>
      </c>
    </row>
    <row s="2683" customFormat="1" customHeight="1" ht="11.25">
      <c r="A46" s="994"/>
      <c r="C46" s="1676"/>
      <c r="D46" s="580"/>
      <c r="E46" s="552" t="str">
        <f>FHD_NUM_P_10</f>
        <v>2.3.2</v>
      </c>
      <c r="F46" s="1690" t="str">
        <f>FHD_P_10</f>
        <v>Объём приобретения электрической энергии</v>
      </c>
      <c r="G46" s="1921" t="s">
        <v>611</v>
      </c>
      <c r="H46" s="563"/>
      <c r="I46" s="563"/>
      <c r="J46" s="277" t="str">
        <f>FHD_NOTE_P_10</f>
        <v/>
      </c>
      <c r="K46" s="1676" t="str">
        <f>IF((LEN(E46)-LEN(SUBSTITUTE(E46,".","")))/LEN(".")=1,"p","")</f>
        <v/>
      </c>
      <c r="L46" s="1676"/>
      <c r="M46" s="1676"/>
      <c r="R46" s="1676"/>
      <c r="U46" s="550"/>
      <c r="AA46" s="1672"/>
      <c r="AB46" s="1672"/>
      <c r="AC46" s="1672"/>
      <c r="AD46" s="1672"/>
      <c r="AE46" s="1672"/>
    </row>
    <row s="2683" customFormat="1" customHeight="1" ht="11.25">
      <c r="A47" s="996" t="s">
        <v>612</v>
      </c>
      <c r="C47" s="1676"/>
      <c r="D47" s="581"/>
      <c r="E47" s="552" t="str">
        <f>FHD_NUM_P_11</f>
        <v>2.4</v>
      </c>
      <c r="F47" s="1554" t="str">
        <f>FHD_P_11</f>
        <v>Расходы на приобретение холодной воды, используемой в технологическом процессе</v>
      </c>
      <c r="G47" s="1921" t="s">
        <v>591</v>
      </c>
      <c r="H47" s="563"/>
      <c r="I47" s="563"/>
      <c r="J47" s="277" t="str">
        <f>FHD_NOTE_P_11</f>
        <v/>
      </c>
      <c r="K47" s="1676" t="str">
        <f>IF((LEN(E47)-LEN(SUBSTITUTE(E47,".","")))/LEN(".")=1,"p","")</f>
        <v>p</v>
      </c>
      <c r="L47" s="1676"/>
      <c r="M47" s="1676"/>
      <c r="R47" s="1676"/>
      <c r="U47" s="550"/>
      <c r="AA47" s="1672"/>
      <c r="AB47" s="1672"/>
      <c r="AC47" s="1672"/>
      <c r="AD47" s="1672"/>
      <c r="AE47" s="1672"/>
    </row>
    <row s="2683" customFormat="1" customHeight="1" ht="18">
      <c r="A48" s="996" t="s">
        <v>613</v>
      </c>
      <c r="C48" s="1676"/>
      <c r="D48" s="1678"/>
      <c r="E48" s="552" t="str">
        <f>FHD_NUM_P_12</f>
        <v>2.5</v>
      </c>
      <c r="F48" s="1554" t="str">
        <f>FHD_P_12</f>
        <v>Расходы на химические реагенты, используемые в технологическом процессе</v>
      </c>
      <c r="G48" s="1921" t="s">
        <v>591</v>
      </c>
      <c r="H48" s="583"/>
      <c r="I48" s="583"/>
      <c r="J48" s="277" t="str">
        <f>FHD_NOTE_P_12</f>
        <v/>
      </c>
      <c r="K48" s="1676" t="str">
        <f>IF((LEN(E48)-LEN(SUBSTITUTE(E48,".","")))/LEN(".")=1,"p","")</f>
        <v>p</v>
      </c>
      <c r="L48" s="1676"/>
      <c r="M48" s="1676"/>
      <c r="R48" s="1676"/>
      <c r="U48" s="550"/>
      <c r="AA48" s="1672"/>
      <c r="AB48" s="1672"/>
      <c r="AC48" s="1672"/>
      <c r="AD48" s="1672"/>
      <c r="AE48" s="1672"/>
    </row>
    <row s="3335"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591</v>
      </c>
      <c r="H49" s="563"/>
      <c r="I49" s="563"/>
      <c r="J49" s="277" t="str">
        <f>FHD_NOTE_P_13</f>
        <v/>
      </c>
      <c r="K49" s="1676" t="str">
        <f>IF((LEN(E49)-LEN(SUBSTITUTE(E49,".","")))/LEN(".")=1,"p","")</f>
        <v>p</v>
      </c>
      <c r="L49" s="736"/>
      <c r="M49" s="736"/>
      <c r="R49" s="736"/>
      <c r="U49" s="737"/>
      <c r="AA49" s="738"/>
      <c r="AB49" s="738"/>
      <c r="AC49" s="738"/>
      <c r="AD49" s="738"/>
      <c r="AE49" s="738"/>
    </row>
    <row s="3335"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591</v>
      </c>
      <c r="H50" s="563"/>
      <c r="I50" s="563"/>
      <c r="J50" s="277" t="str">
        <f>FHD_NOTE_P_14</f>
        <v/>
      </c>
      <c r="K50" s="1676" t="str">
        <f>IF((LEN(E50)-LEN(SUBSTITUTE(E50,".","")))/LEN(".")=1,"p","")</f>
        <v/>
      </c>
      <c r="L50" s="736"/>
      <c r="M50" s="736"/>
      <c r="R50" s="736"/>
      <c r="U50" s="737"/>
      <c r="AA50" s="738"/>
      <c r="AB50" s="738"/>
      <c r="AC50" s="738"/>
      <c r="AD50" s="738"/>
      <c r="AE50" s="738"/>
    </row>
    <row s="3335"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591</v>
      </c>
      <c r="H51" s="563"/>
      <c r="I51" s="563"/>
      <c r="J51" s="277" t="str">
        <f>FHD_NOTE_P_15</f>
        <v/>
      </c>
      <c r="K51" s="1676" t="str">
        <f>IF((LEN(E51)-LEN(SUBSTITUTE(E51,".","")))/LEN(".")=1,"p","")</f>
        <v/>
      </c>
      <c r="L51" s="736"/>
      <c r="M51" s="736"/>
      <c r="R51" s="736"/>
      <c r="U51" s="737"/>
      <c r="AA51" s="738"/>
      <c r="AB51" s="738"/>
      <c r="AC51" s="738"/>
      <c r="AD51" s="738"/>
      <c r="AE51" s="738"/>
    </row>
    <row s="268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591</v>
      </c>
      <c r="H52" s="563"/>
      <c r="I52" s="563"/>
      <c r="J52" s="277" t="str">
        <f>FHD_NOTE_P_16</f>
        <v/>
      </c>
      <c r="K52" s="1676" t="str">
        <f>IF((LEN(E52)-LEN(SUBSTITUTE(E52,".","")))/LEN(".")=1,"p","")</f>
        <v>p</v>
      </c>
      <c r="L52" s="1676"/>
      <c r="M52" s="1682"/>
      <c r="N52" s="543"/>
      <c r="O52" s="543"/>
      <c r="R52" s="1676"/>
      <c r="U52" s="550"/>
      <c r="AA52" s="1672"/>
      <c r="AB52" s="1672"/>
      <c r="AC52" s="1672"/>
      <c r="AD52" s="1672"/>
      <c r="AE52" s="1672"/>
    </row>
    <row s="268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591</v>
      </c>
      <c r="H53" s="563"/>
      <c r="I53" s="563"/>
      <c r="J53" s="277" t="str">
        <f>FHD_NOTE_P_17</f>
        <v/>
      </c>
      <c r="K53" s="1676" t="str">
        <f>IF((LEN(E53)-LEN(SUBSTITUTE(E53,".","")))/LEN(".")=1,"p","")</f>
        <v/>
      </c>
      <c r="L53" s="1676"/>
      <c r="M53" s="1682"/>
      <c r="N53" s="543"/>
      <c r="O53" s="543"/>
      <c r="R53" s="1676"/>
      <c r="U53" s="550"/>
      <c r="AA53" s="1672"/>
      <c r="AB53" s="1672"/>
      <c r="AC53" s="1672"/>
      <c r="AD53" s="1672"/>
      <c r="AE53" s="1672"/>
    </row>
    <row s="268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591</v>
      </c>
      <c r="H54" s="563"/>
      <c r="I54" s="563"/>
      <c r="J54" s="277" t="str">
        <f>FHD_NOTE_P_18</f>
        <v/>
      </c>
      <c r="K54" s="1676" t="str">
        <f>IF((LEN(E54)-LEN(SUBSTITUTE(E54,".","")))/LEN(".")=1,"p","")</f>
        <v/>
      </c>
      <c r="L54" s="1676"/>
      <c r="M54" s="1682"/>
      <c r="N54" s="543"/>
      <c r="O54" s="543"/>
      <c r="R54" s="1676"/>
      <c r="U54" s="550"/>
      <c r="AA54" s="1672"/>
      <c r="AB54" s="1672"/>
      <c r="AC54" s="1672"/>
      <c r="AD54" s="1672"/>
      <c r="AE54" s="1672"/>
    </row>
    <row s="268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591</v>
      </c>
      <c r="H55" s="563"/>
      <c r="I55" s="563"/>
      <c r="J55" s="277" t="str">
        <f>FHD_NOTE_P_19</f>
        <v/>
      </c>
      <c r="K55" s="1676" t="str">
        <f>IF((LEN(E55)-LEN(SUBSTITUTE(E55,".","")))/LEN(".")=1,"p","")</f>
        <v>p</v>
      </c>
      <c r="L55" s="1676"/>
      <c r="M55" s="1676"/>
      <c r="R55" s="1676"/>
      <c r="U55" s="550"/>
      <c r="AA55" s="1672"/>
      <c r="AB55" s="1672"/>
      <c r="AC55" s="1672"/>
      <c r="AD55" s="1672"/>
      <c r="AE55" s="1672"/>
    </row>
    <row s="2683" customFormat="1" customHeight="1" ht="11.25">
      <c r="A56" s="994"/>
      <c r="C56" s="1676"/>
      <c r="D56" s="581"/>
      <c r="E56" s="552" t="str">
        <f>FHD_NUM_P_20</f>
        <v>2.8.1</v>
      </c>
      <c r="F56" s="1690" t="str">
        <f>FHD_P_20</f>
        <v>Расходы на амортизацию основных средств</v>
      </c>
      <c r="G56" s="1921" t="s">
        <v>591</v>
      </c>
      <c r="H56" s="563"/>
      <c r="I56" s="563"/>
      <c r="J56" s="277" t="str">
        <f>FHD_NOTE_P_20</f>
        <v/>
      </c>
      <c r="K56" s="1676" t="str">
        <f>IF((LEN(E56)-LEN(SUBSTITUTE(E56,".","")))/LEN(".")=1,"p","")</f>
        <v/>
      </c>
      <c r="L56" s="1676"/>
      <c r="M56" s="1676"/>
      <c r="R56" s="1676"/>
      <c r="U56" s="550"/>
      <c r="AA56" s="1672"/>
      <c r="AB56" s="1672"/>
      <c r="AC56" s="1672"/>
      <c r="AD56" s="1672"/>
      <c r="AE56" s="1672"/>
    </row>
    <row s="2683" customFormat="1" customHeight="1" ht="11.25">
      <c r="A57" s="994"/>
      <c r="C57" s="1676"/>
      <c r="D57" s="581"/>
      <c r="E57" s="552" t="str">
        <f>FHD_NUM_P_21</f>
        <v>2.8.2</v>
      </c>
      <c r="F57" s="1690" t="str">
        <f>FHD_P_21</f>
        <v>Расходы на амортизацию нематериальных активов</v>
      </c>
      <c r="G57" s="1921" t="s">
        <v>591</v>
      </c>
      <c r="H57" s="563"/>
      <c r="I57" s="563"/>
      <c r="J57" s="277" t="str">
        <f>FHD_NOTE_P_21</f>
        <v/>
      </c>
      <c r="K57" s="1676" t="str">
        <f>IF((LEN(E57)-LEN(SUBSTITUTE(E57,".","")))/LEN(".")=1,"p","")</f>
        <v/>
      </c>
      <c r="L57" s="1676"/>
      <c r="M57" s="1676"/>
      <c r="R57" s="1676"/>
      <c r="U57" s="550"/>
      <c r="AA57" s="1672"/>
      <c r="AB57" s="1672"/>
      <c r="AC57" s="1672"/>
      <c r="AD57" s="1672"/>
      <c r="AE57" s="1672"/>
    </row>
    <row s="268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591</v>
      </c>
      <c r="H58" s="563"/>
      <c r="I58" s="563"/>
      <c r="J58" s="277" t="str">
        <f>FHD_NOTE_P_22</f>
        <v/>
      </c>
      <c r="K58" s="1676" t="str">
        <f>IF((LEN(E58)-LEN(SUBSTITUTE(E58,".","")))/LEN(".")=1,"p","")</f>
        <v>p</v>
      </c>
      <c r="L58" s="1676"/>
      <c r="M58" s="1676"/>
      <c r="R58" s="1676"/>
      <c r="U58" s="550"/>
      <c r="AA58" s="1672"/>
      <c r="AB58" s="1672"/>
      <c r="AC58" s="1672"/>
      <c r="AD58" s="1672"/>
      <c r="AE58" s="1672"/>
    </row>
    <row s="2683" customFormat="1" customHeight="1" ht="11.25">
      <c r="A59" s="994"/>
      <c r="C59" s="1676"/>
      <c r="D59" s="581"/>
      <c r="E59" s="552" t="str">
        <f>FHD_NUM_P_23</f>
        <v>2.10</v>
      </c>
      <c r="F59" s="1554" t="str">
        <f>FHD_P_23</f>
        <v>Общепроизводственные расходы, в том числе:</v>
      </c>
      <c r="G59" s="1921" t="s">
        <v>591</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83" customFormat="1" customHeight="1" ht="11.25">
      <c r="A60" s="994"/>
      <c r="C60" s="1676"/>
      <c r="D60" s="581"/>
      <c r="E60" s="552" t="str">
        <f>FHD_NUM_P_24</f>
        <v>2.10.1</v>
      </c>
      <c r="F60" s="1690" t="str">
        <f>FHD_P_24</f>
        <v>Расходы на текущий ремонт</v>
      </c>
      <c r="G60" s="1921" t="s">
        <v>591</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83" customFormat="1" customHeight="1" ht="11.25">
      <c r="A61" s="994"/>
      <c r="C61" s="1676"/>
      <c r="D61" s="581"/>
      <c r="E61" s="552" t="str">
        <f>FHD_NUM_P_25</f>
        <v>2.10.2</v>
      </c>
      <c r="F61" s="1690" t="str">
        <f>FHD_P_25</f>
        <v>Расходы на капитальный ремонт</v>
      </c>
      <c r="G61" s="1921" t="s">
        <v>591</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83" customFormat="1" customHeight="1" ht="11.25">
      <c r="A62" s="994"/>
      <c r="C62" s="1676"/>
      <c r="D62" s="1678"/>
      <c r="E62" s="552" t="str">
        <f>FHD_NUM_P_26</f>
        <v>2.11</v>
      </c>
      <c r="F62" s="1554" t="str">
        <f>FHD_P_26</f>
        <v>Общехозяйственные расходы, в том числе:</v>
      </c>
      <c r="G62" s="1921" t="s">
        <v>591</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83" customFormat="1" customHeight="1" ht="11.25">
      <c r="A63" s="994"/>
      <c r="C63" s="1676"/>
      <c r="D63" s="1678"/>
      <c r="E63" s="552" t="str">
        <f>FHD_NUM_P_27</f>
        <v>2.11.1</v>
      </c>
      <c r="F63" s="1690" t="str">
        <f>FHD_P_27</f>
        <v>Расходы на текущий ремонт</v>
      </c>
      <c r="G63" s="1921" t="s">
        <v>591</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83" customFormat="1" customHeight="1" ht="11.25">
      <c r="A64" s="994"/>
      <c r="C64" s="1676"/>
      <c r="D64" s="1678"/>
      <c r="E64" s="552" t="str">
        <f>FHD_NUM_P_28</f>
        <v>2.11.2</v>
      </c>
      <c r="F64" s="1690" t="str">
        <f>FHD_P_28</f>
        <v>Расходы на капитальный ремонт</v>
      </c>
      <c r="G64" s="1921" t="s">
        <v>591</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83" customFormat="1" customHeight="1" ht="11.25">
      <c r="A65" s="994"/>
      <c r="C65" s="1676"/>
      <c r="D65" s="1678"/>
      <c r="E65" s="552" t="str">
        <f>FHD_NUM_P_29</f>
        <v>2.12</v>
      </c>
      <c r="F65" s="1554" t="str">
        <f>FHD_P_29</f>
        <v>Расходы на капитальный и текущий ремонт основных средств</v>
      </c>
      <c r="G65" s="1921" t="s">
        <v>591</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8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351</v>
      </c>
      <c r="H66" s="1689" t="s">
        <v>614</v>
      </c>
      <c r="I66" s="1689" t="s">
        <v>614</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83" customFormat="1" customHeight="1" ht="22.5" hidden="1">
      <c r="A67" s="2210" t="s">
        <v>615</v>
      </c>
      <c r="C67" s="1676"/>
      <c r="D67" s="1678"/>
      <c r="E67" s="552" t="str">
        <f>FHD_NUM_P_31</f>
        <v/>
      </c>
      <c r="F67" s="1554" t="str">
        <f>FHD_P_31</f>
        <v/>
      </c>
      <c r="G67" s="1921" t="s">
        <v>591</v>
      </c>
      <c r="H67" s="563"/>
      <c r="I67" s="563"/>
      <c r="J67" s="277" t="str">
        <f>FHD_NOTE_P_31</f>
        <v/>
      </c>
      <c r="K67" s="1676" t="str">
        <f>IF((LEN(E67)-LEN(SUBSTITUTE(E67,".","")))/LEN(".")=1,"p","")</f>
        <v/>
      </c>
      <c r="L67" s="1676"/>
      <c r="M67" s="1676"/>
      <c r="R67" s="1676"/>
      <c r="U67" s="550"/>
      <c r="AA67" s="1672"/>
      <c r="AB67" s="1672"/>
      <c r="AC67" s="1672"/>
      <c r="AD67" s="1672"/>
      <c r="AE67" s="1672"/>
    </row>
    <row s="2683" customFormat="1" customHeight="1" ht="45" hidden="1">
      <c r="A68" s="2210"/>
      <c r="C68" s="1676"/>
      <c r="D68" s="1678"/>
      <c r="E68" s="552" t="str">
        <f>FHD_NUM_P_32</f>
        <v/>
      </c>
      <c r="F68" s="1690" t="str">
        <f>FHD_P_32</f>
        <v/>
      </c>
      <c r="G68" s="1921" t="s">
        <v>351</v>
      </c>
      <c r="H68" s="1689" t="s">
        <v>614</v>
      </c>
      <c r="I68" s="1689" t="s">
        <v>614</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8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591</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2691" customFormat="1" customHeight="1" ht="0.75">
      <c r="A70" s="1175"/>
      <c r="D70" s="554"/>
      <c r="E70" s="1020" t="str">
        <f>E69&amp;".0"</f>
        <v>2.13.0</v>
      </c>
      <c r="F70" s="998"/>
      <c r="G70" s="1020"/>
      <c r="H70" s="999"/>
      <c r="I70" s="999"/>
      <c r="J70" s="1000"/>
      <c r="K70" s="1676" t="str">
        <f>IF((LEN(E70)-LEN(SUBSTITUTE(E70,".","")))/LEN(".")=1,"p","")</f>
        <v/>
      </c>
    </row>
    <row s="2683" customFormat="1" customHeight="1" ht="14.25">
      <c r="A71" s="994"/>
      <c r="C71" s="1676"/>
      <c r="D71" s="1673"/>
      <c r="E71" s="576"/>
      <c r="F71" s="577" t="s">
        <v>616</v>
      </c>
      <c r="G71" s="578"/>
      <c r="H71" s="579"/>
      <c r="I71" s="579"/>
      <c r="J71" s="289"/>
      <c r="K71" s="1676"/>
      <c r="L71" s="1676"/>
      <c r="M71" s="1676"/>
      <c r="R71" s="1676"/>
      <c r="U71" s="550"/>
      <c r="AA71" s="1672"/>
      <c r="AB71" s="1672"/>
      <c r="AC71" s="1672"/>
      <c r="AD71" s="1672"/>
      <c r="AE71" s="1672"/>
    </row>
    <row s="2683" customFormat="1" customHeight="1" ht="18.75">
      <c r="A72" s="996" t="s">
        <v>617</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591</v>
      </c>
      <c r="H72" s="563"/>
      <c r="I72" s="563"/>
      <c r="J72" s="277" t="str">
        <f>FHD_NOTE_P_34</f>
        <v/>
      </c>
      <c r="K72" s="549"/>
      <c r="L72" s="1676"/>
      <c r="M72" s="1676"/>
      <c r="R72" s="1676"/>
      <c r="U72" s="550"/>
      <c r="AA72" s="1672"/>
      <c r="AB72" s="1672"/>
      <c r="AC72" s="1672"/>
      <c r="AD72" s="1672"/>
      <c r="AE72" s="1672"/>
    </row>
    <row s="268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591</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8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591</v>
      </c>
      <c r="H74" s="563"/>
      <c r="I74" s="563"/>
      <c r="J74" s="277" t="str">
        <f>FHD_NOTE_P_36</f>
        <v/>
      </c>
      <c r="K74" s="549"/>
      <c r="L74" s="1676"/>
      <c r="M74" s="1676"/>
      <c r="R74" s="1676"/>
      <c r="U74" s="550"/>
      <c r="AA74" s="1672"/>
      <c r="AB74" s="1672"/>
      <c r="AC74" s="1672"/>
      <c r="AD74" s="1672"/>
      <c r="AE74" s="1672"/>
    </row>
    <row s="2683" customFormat="1" customHeight="1" ht="18.75">
      <c r="A75" s="994"/>
      <c r="C75" s="1676"/>
      <c r="D75" s="1678"/>
      <c r="E75" s="552" t="str">
        <f>FHD_NUM_P_37</f>
        <v>5</v>
      </c>
      <c r="F75" s="1923" t="str">
        <f>FHD_P_37</f>
        <v>Изменение стоимости основных фондов, в том числе:</v>
      </c>
      <c r="G75" s="1921" t="s">
        <v>591</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83" customFormat="1" customHeight="1" ht="18.75">
      <c r="A76" s="994"/>
      <c r="C76" s="1676"/>
      <c r="D76" s="1678"/>
      <c r="E76" s="552" t="str">
        <f>FHD_NUM_P_38</f>
        <v>5.1</v>
      </c>
      <c r="F76" s="1554" t="str">
        <f>FHD_P_38</f>
        <v>Изменение стоимости основных фондов за счет:</v>
      </c>
      <c r="G76" s="1921" t="s">
        <v>591</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8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591</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8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591</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83" customFormat="1" customHeight="1" ht="18.75">
      <c r="A79" s="994"/>
      <c r="C79" s="1676"/>
      <c r="D79" s="1678"/>
      <c r="E79" s="552" t="str">
        <f>FHD_NUM_P_41</f>
        <v>5.2</v>
      </c>
      <c r="F79" s="1554" t="str">
        <f>FHD_P_41</f>
        <v>Изменение стоимости основных фондов за счет их переоценки</v>
      </c>
      <c r="G79" s="1922" t="s">
        <v>591</v>
      </c>
      <c r="H79" s="563"/>
      <c r="I79" s="563"/>
      <c r="J79" s="277" t="str">
        <f>FHD_NOTE_P_41</f>
        <v/>
      </c>
      <c r="K79" s="549"/>
      <c r="L79" s="1676"/>
      <c r="M79" s="1676"/>
      <c r="R79" s="1676"/>
      <c r="U79" s="550"/>
      <c r="AA79" s="1672"/>
      <c r="AB79" s="1672"/>
      <c r="AC79" s="1672"/>
      <c r="AD79" s="1672"/>
      <c r="AE79" s="1672"/>
    </row>
    <row s="2683" customFormat="1" customHeight="1" ht="18.75" hidden="1">
      <c r="A80" s="996" t="s">
        <v>618</v>
      </c>
      <c r="C80" s="1676"/>
      <c r="D80" s="1678"/>
      <c r="E80" s="552" t="str">
        <f>FHD_NUM_P_42</f>
        <v/>
      </c>
      <c r="F80" s="1923" t="str">
        <f>FHD_P_42</f>
        <v/>
      </c>
      <c r="G80" s="1921" t="s">
        <v>591</v>
      </c>
      <c r="H80" s="983"/>
      <c r="I80" s="563"/>
      <c r="J80" s="277" t="str">
        <f>FHD_NOTE_P_42</f>
        <v/>
      </c>
      <c r="K80" s="549"/>
      <c r="L80" s="1676"/>
      <c r="M80" s="1676"/>
      <c r="R80" s="1676"/>
      <c r="U80" s="550"/>
      <c r="AA80" s="1672"/>
      <c r="AB80" s="1672"/>
      <c r="AC80" s="1672"/>
      <c r="AD80" s="1672"/>
      <c r="AE80" s="1672"/>
    </row>
    <row s="268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351</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6255" customFormat="1" customHeight="1" ht="18.75" hidden="1">
      <c r="A82" s="2210" t="s">
        <v>619</v>
      </c>
      <c r="C82" s="741"/>
      <c r="D82" s="739"/>
      <c r="E82" s="552" t="str">
        <f>FHD_NUM_P_44</f>
        <v/>
      </c>
      <c r="F82" s="1923" t="str">
        <f>FHD_P_44</f>
        <v/>
      </c>
      <c r="G82" s="1924" t="s">
        <v>620</v>
      </c>
      <c r="H82" s="984"/>
      <c r="I82" s="583"/>
      <c r="J82" s="277" t="str">
        <f>FHD_NOTE_P_44</f>
        <v/>
      </c>
      <c r="K82" s="740"/>
      <c r="L82" s="741"/>
      <c r="M82" s="741"/>
      <c r="R82" s="741"/>
      <c r="U82" s="742"/>
      <c r="AA82" s="743"/>
      <c r="AB82" s="743"/>
      <c r="AC82" s="743"/>
      <c r="AD82" s="743"/>
      <c r="AE82" s="743"/>
    </row>
    <row s="6255" customFormat="1" customHeight="1" ht="18.75" hidden="1">
      <c r="A83" s="2210"/>
      <c r="C83" s="741"/>
      <c r="D83" s="739"/>
      <c r="E83" s="552" t="str">
        <f>FHD_NUM_P_45</f>
        <v/>
      </c>
      <c r="F83" s="1923" t="str">
        <f>FHD_P_45</f>
        <v/>
      </c>
      <c r="G83" s="1924" t="s">
        <v>620</v>
      </c>
      <c r="H83" s="984"/>
      <c r="I83" s="583"/>
      <c r="J83" s="277" t="str">
        <f>FHD_NOTE_P_45</f>
        <v/>
      </c>
      <c r="K83" s="740"/>
      <c r="L83" s="741"/>
      <c r="M83" s="741"/>
      <c r="R83" s="741"/>
      <c r="U83" s="742"/>
      <c r="AA83" s="743"/>
      <c r="AB83" s="743"/>
      <c r="AC83" s="743"/>
      <c r="AD83" s="743"/>
      <c r="AE83" s="743"/>
    </row>
    <row s="6255" customFormat="1" customHeight="1" ht="18.75" hidden="1">
      <c r="A84" s="2210"/>
      <c r="C84" s="741"/>
      <c r="D84" s="744"/>
      <c r="E84" s="552" t="str">
        <f>FHD_NUM_P_46</f>
        <v/>
      </c>
      <c r="F84" s="1923" t="str">
        <f>FHD_P_46</f>
        <v/>
      </c>
      <c r="G84" s="1924" t="s">
        <v>620</v>
      </c>
      <c r="H84" s="984"/>
      <c r="I84" s="583"/>
      <c r="J84" s="277" t="str">
        <f>FHD_NOTE_P_46</f>
        <v/>
      </c>
      <c r="K84" s="740"/>
      <c r="L84" s="741"/>
      <c r="M84" s="741"/>
      <c r="R84" s="741"/>
      <c r="U84" s="742"/>
      <c r="AA84" s="743"/>
      <c r="AB84" s="743"/>
      <c r="AC84" s="743"/>
      <c r="AD84" s="743"/>
      <c r="AE84" s="743"/>
    </row>
    <row s="6255" customFormat="1" customHeight="1" ht="18.75" hidden="1">
      <c r="A85" s="2210"/>
      <c r="C85" s="741"/>
      <c r="D85" s="739"/>
      <c r="E85" s="552" t="str">
        <f>FHD_NUM_P_47</f>
        <v/>
      </c>
      <c r="F85" s="1923" t="str">
        <f>FHD_P_47</f>
        <v/>
      </c>
      <c r="G85" s="1924" t="s">
        <v>620</v>
      </c>
      <c r="H85" s="984"/>
      <c r="I85" s="583"/>
      <c r="J85" s="277" t="str">
        <f>FHD_NOTE_P_47</f>
        <v/>
      </c>
      <c r="K85" s="740"/>
      <c r="L85" s="741"/>
      <c r="M85" s="741"/>
      <c r="R85" s="741"/>
      <c r="U85" s="742"/>
      <c r="AA85" s="743"/>
      <c r="AB85" s="743"/>
      <c r="AC85" s="743"/>
      <c r="AD85" s="743"/>
      <c r="AE85" s="743"/>
    </row>
    <row s="6264" customFormat="1" customHeight="1" ht="18.75" hidden="1">
      <c r="A86" s="2210"/>
      <c r="B86" s="916"/>
      <c r="C86" s="741"/>
      <c r="D86" s="739"/>
      <c r="E86" s="552" t="str">
        <f>FHD_NUM_P_48</f>
        <v/>
      </c>
      <c r="F86" s="1923" t="str">
        <f>FHD_P_48</f>
        <v/>
      </c>
      <c r="G86" s="1924" t="s">
        <v>620</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6264" customFormat="1" customHeight="1" ht="18.75" hidden="1">
      <c r="A87" s="2210"/>
      <c r="B87" s="916"/>
      <c r="C87" s="741"/>
      <c r="D87" s="739"/>
      <c r="E87" s="552" t="str">
        <f>FHD_NUM_P_49</f>
        <v/>
      </c>
      <c r="F87" s="1923" t="str">
        <f>FHD_P_49</f>
        <v/>
      </c>
      <c r="G87" s="1924" t="s">
        <v>620</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6264" customFormat="1" customHeight="1" ht="18.75" hidden="1">
      <c r="A88" s="2210"/>
      <c r="B88" s="916"/>
      <c r="C88" s="741"/>
      <c r="D88" s="739"/>
      <c r="E88" s="552" t="str">
        <f>FHD_NUM_P_50</f>
        <v/>
      </c>
      <c r="F88" s="1923" t="str">
        <f>FHD_P_50</f>
        <v/>
      </c>
      <c r="G88" s="1924" t="s">
        <v>620</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6264" customFormat="1" customHeight="1" ht="18.75" hidden="1">
      <c r="A89" s="2210"/>
      <c r="B89" s="916"/>
      <c r="C89" s="741"/>
      <c r="D89" s="739"/>
      <c r="E89" s="552" t="str">
        <f>FHD_NUM_P_51</f>
        <v/>
      </c>
      <c r="F89" s="1923" t="str">
        <f>FHD_P_51</f>
        <v/>
      </c>
      <c r="G89" s="1924" t="s">
        <v>620</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6264" customFormat="1" customHeight="1" ht="18.75" hidden="1">
      <c r="A90" s="2210"/>
      <c r="B90" s="916"/>
      <c r="C90" s="741"/>
      <c r="D90" s="739"/>
      <c r="E90" s="552" t="str">
        <f>FHD_NUM_P_52</f>
        <v/>
      </c>
      <c r="F90" s="1923" t="str">
        <f>FHD_P_52</f>
        <v/>
      </c>
      <c r="G90" s="1924" t="s">
        <v>597</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6255" customFormat="1" customHeight="1" ht="18.75" hidden="1">
      <c r="A91" s="2212" t="s">
        <v>621</v>
      </c>
      <c r="C91" s="741"/>
      <c r="D91" s="739"/>
      <c r="E91" s="552" t="str">
        <f>FHD_NUM_P_53</f>
        <v/>
      </c>
      <c r="F91" s="1923" t="str">
        <f>FHD_P_53</f>
        <v/>
      </c>
      <c r="G91" s="1924" t="s">
        <v>620</v>
      </c>
      <c r="H91" s="984"/>
      <c r="I91" s="583"/>
      <c r="J91" s="277" t="str">
        <f>FHD_NOTE_P_53</f>
        <v/>
      </c>
      <c r="K91" s="740"/>
      <c r="L91" s="741"/>
      <c r="M91" s="741"/>
      <c r="R91" s="741"/>
      <c r="U91" s="742"/>
      <c r="AA91" s="743"/>
      <c r="AB91" s="743"/>
      <c r="AC91" s="743"/>
      <c r="AD91" s="743"/>
      <c r="AE91" s="743"/>
    </row>
    <row s="6255" customFormat="1" customHeight="1" ht="18.75" hidden="1">
      <c r="A92" s="2212"/>
      <c r="C92" s="741"/>
      <c r="D92" s="739"/>
      <c r="E92" s="552" t="str">
        <f>FHD_NUM_P_54</f>
        <v/>
      </c>
      <c r="F92" s="1923" t="str">
        <f>FHD_P_54</f>
        <v/>
      </c>
      <c r="G92" s="1924" t="s">
        <v>620</v>
      </c>
      <c r="H92" s="984"/>
      <c r="I92" s="583"/>
      <c r="J92" s="277" t="str">
        <f>FHD_NOTE_P_54</f>
        <v/>
      </c>
      <c r="K92" s="740"/>
      <c r="L92" s="741"/>
      <c r="M92" s="741"/>
      <c r="R92" s="741"/>
      <c r="U92" s="742"/>
      <c r="AA92" s="743"/>
      <c r="AB92" s="743"/>
      <c r="AC92" s="743"/>
      <c r="AD92" s="743"/>
      <c r="AE92" s="743"/>
    </row>
    <row s="6255"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6255" customFormat="1" customHeight="1" ht="18.75" hidden="1">
      <c r="A94" s="2212"/>
      <c r="C94" s="741"/>
      <c r="D94" s="739"/>
      <c r="E94" s="552" t="str">
        <f>FHD_NUM_P_56</f>
        <v/>
      </c>
      <c r="F94" s="1923" t="str">
        <f>FHD_P_56</f>
        <v/>
      </c>
      <c r="G94" s="1924" t="s">
        <v>622</v>
      </c>
      <c r="H94" s="984"/>
      <c r="I94" s="583"/>
      <c r="J94" s="277" t="str">
        <f>FHD_NOTE_P_56</f>
        <v/>
      </c>
      <c r="K94" s="740"/>
      <c r="L94" s="741"/>
      <c r="M94" s="741"/>
      <c r="R94" s="741"/>
      <c r="U94" s="742"/>
      <c r="AA94" s="743"/>
      <c r="AB94" s="743"/>
      <c r="AC94" s="743"/>
      <c r="AD94" s="743"/>
      <c r="AE94" s="743"/>
    </row>
    <row s="6264" customFormat="1" customHeight="1" ht="18.75" hidden="1">
      <c r="A95" s="2212"/>
      <c r="B95" s="916"/>
      <c r="C95" s="741"/>
      <c r="D95" s="739"/>
      <c r="E95" s="552" t="str">
        <f>FHD_NUM_P_57</f>
        <v/>
      </c>
      <c r="F95" s="1923" t="str">
        <f>FHD_P_57</f>
        <v/>
      </c>
      <c r="G95" s="1924" t="s">
        <v>597</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623</v>
      </c>
      <c r="D96" s="1678"/>
      <c r="E96" s="552" t="str">
        <f>FHD_NUM_P_58</f>
        <v/>
      </c>
      <c r="F96" s="1923" t="str">
        <f>FHD_P_58</f>
        <v/>
      </c>
      <c r="G96" s="1924" t="s">
        <v>620</v>
      </c>
      <c r="H96" s="984"/>
      <c r="I96" s="583"/>
      <c r="J96" s="277" t="str">
        <f>FHD_NOTE_P_58</f>
        <v/>
      </c>
      <c r="K96" s="549"/>
    </row>
    <row customHeight="1" ht="18.75" hidden="1">
      <c r="A97" s="2210"/>
      <c r="D97" s="1678"/>
      <c r="E97" s="552" t="str">
        <f>FHD_NUM_P_59</f>
        <v/>
      </c>
      <c r="F97" s="1923" t="str">
        <f>FHD_P_59</f>
        <v/>
      </c>
      <c r="G97" s="1924" t="s">
        <v>620</v>
      </c>
      <c r="H97" s="984"/>
      <c r="I97" s="583"/>
      <c r="J97" s="277" t="str">
        <f>FHD_NOTE_P_59</f>
        <v/>
      </c>
      <c r="K97" s="549"/>
    </row>
    <row customHeight="1" ht="18.75" hidden="1">
      <c r="A98" s="2210"/>
      <c r="D98" s="1678"/>
      <c r="E98" s="552" t="str">
        <f>FHD_NUM_P_60</f>
        <v/>
      </c>
      <c r="F98" s="1923" t="str">
        <f>FHD_P_60</f>
        <v/>
      </c>
      <c r="G98" s="1924" t="s">
        <v>620</v>
      </c>
      <c r="H98" s="984"/>
      <c r="I98" s="583"/>
      <c r="J98" s="277" t="str">
        <f>FHD_NOTE_P_60</f>
        <v/>
      </c>
      <c r="K98" s="549"/>
    </row>
    <row s="2683" customFormat="1" customHeight="1" ht="18.75">
      <c r="A99" s="2210" t="s">
        <v>624</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595</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2691" customFormat="1" customHeight="1" ht="0.75">
      <c r="A100" s="2210"/>
      <c r="D100" s="554"/>
      <c r="E100" s="1020" t="str">
        <f>E99&amp;".0"</f>
        <v>7.0</v>
      </c>
      <c r="F100" s="1001"/>
      <c r="G100" s="1002"/>
      <c r="H100" s="999"/>
      <c r="I100" s="999"/>
      <c r="J100" s="1003"/>
    </row>
    <row customHeight="1" ht="15">
      <c r="A101" s="2210"/>
      <c r="D101" s="1673"/>
      <c r="E101" s="978"/>
      <c r="F101" s="979" t="s">
        <v>625</v>
      </c>
      <c r="G101" s="578"/>
      <c r="H101" s="579"/>
      <c r="I101" s="579"/>
      <c r="J101" s="1011" t="s">
        <v>626</v>
      </c>
      <c r="K101" s="549"/>
    </row>
    <row s="268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595</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268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622</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2683" customFormat="1" customHeight="1" ht="18.75">
      <c r="A104" s="2210"/>
      <c r="C104" s="1676" t="s">
        <v>627</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622</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268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622</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2683" customFormat="1" customHeight="1" ht="18.75">
      <c r="A106" s="2210"/>
      <c r="C106" s="1676"/>
      <c r="D106" s="1678"/>
      <c r="E106" s="552" t="str">
        <f>FHD_NUM_P_66</f>
        <v>10.1</v>
      </c>
      <c r="F106" s="1554" t="str">
        <f>FHD_P_66</f>
        <v>По приборам учёта </v>
      </c>
      <c r="G106" s="1920" t="s">
        <v>622</v>
      </c>
      <c r="H106" s="583"/>
      <c r="I106" s="583"/>
      <c r="J106" s="277" t="str">
        <f>FHD_NOTE_P_66</f>
        <v/>
      </c>
      <c r="K106" s="549"/>
      <c r="L106" s="1676"/>
      <c r="M106" s="1676"/>
      <c r="R106" s="1676"/>
      <c r="U106" s="550"/>
      <c r="AA106" s="1672"/>
      <c r="AB106" s="1672"/>
      <c r="AC106" s="1672"/>
      <c r="AD106" s="1672"/>
      <c r="AE106" s="1672"/>
    </row>
    <row s="268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622</v>
      </c>
      <c r="H107" s="583"/>
      <c r="I107" s="583"/>
      <c r="J107" s="277" t="str">
        <f>FHD_NOTE_P_67</f>
        <v/>
      </c>
      <c r="K107" s="549"/>
      <c r="L107" s="1676"/>
      <c r="M107" s="1676"/>
      <c r="R107" s="1676"/>
      <c r="U107" s="550"/>
      <c r="AA107" s="1672"/>
      <c r="AB107" s="1672"/>
      <c r="AC107" s="1672"/>
      <c r="AD107" s="1672"/>
      <c r="AE107" s="1672"/>
    </row>
    <row s="2683" customFormat="1" customHeight="1" ht="18.75">
      <c r="A108" s="2210"/>
      <c r="C108" s="1676"/>
      <c r="D108" s="1678"/>
      <c r="E108" s="552" t="str">
        <f>FHD_NUM_P_68</f>
        <v>10.2</v>
      </c>
      <c r="F108" s="1554" t="str">
        <f>FHD_P_68</f>
        <v>Расчётным путём</v>
      </c>
      <c r="G108" s="1920" t="s">
        <v>622</v>
      </c>
      <c r="H108" s="583"/>
      <c r="I108" s="583"/>
      <c r="J108" s="277" t="str">
        <f>FHD_NOTE_P_68</f>
        <v/>
      </c>
      <c r="K108" s="549"/>
      <c r="L108" s="1676"/>
      <c r="M108" s="1676"/>
      <c r="R108" s="1676"/>
      <c r="U108" s="550"/>
      <c r="AA108" s="1672"/>
      <c r="AB108" s="1672"/>
      <c r="AC108" s="1672"/>
      <c r="AD108" s="1672"/>
      <c r="AE108" s="1672"/>
    </row>
    <row s="268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622</v>
      </c>
      <c r="H109" s="583"/>
      <c r="I109" s="583"/>
      <c r="J109" s="277" t="str">
        <f>FHD_NOTE_P_69</f>
        <v/>
      </c>
      <c r="K109" s="549"/>
      <c r="L109" s="1676"/>
      <c r="M109" s="1676"/>
      <c r="R109" s="1676"/>
      <c r="U109" s="550"/>
      <c r="AA109" s="1672"/>
      <c r="AB109" s="1672"/>
      <c r="AC109" s="1672"/>
      <c r="AD109" s="1672"/>
      <c r="AE109" s="1672"/>
    </row>
    <row s="268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628</v>
      </c>
      <c r="H110" s="563"/>
      <c r="I110" s="563"/>
      <c r="J110" s="277" t="str">
        <f>FHD_NOTE_P_70</f>
        <v/>
      </c>
      <c r="K110" s="549"/>
      <c r="L110" s="1676"/>
      <c r="M110" s="1676"/>
      <c r="R110" s="1676"/>
      <c r="U110" s="550"/>
      <c r="AA110" s="1672"/>
      <c r="AB110" s="1672"/>
      <c r="AC110" s="1672"/>
      <c r="AD110" s="1672"/>
      <c r="AE110" s="1672"/>
    </row>
    <row s="2683" customFormat="1" customHeight="1" ht="22.5">
      <c r="A111" s="2210"/>
      <c r="C111" s="1676"/>
      <c r="D111" s="1678"/>
      <c r="E111" s="552" t="str">
        <f>FHD_NUM_P_71</f>
        <v>12</v>
      </c>
      <c r="F111" s="1923" t="str">
        <f>FHD_P_71</f>
        <v>Фактический объем потерь при передаче тепловой энергии</v>
      </c>
      <c r="G111" s="1920" t="s">
        <v>628</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629</v>
      </c>
      <c r="H112" s="583"/>
      <c r="I112" s="583"/>
      <c r="J112" s="277" t="str">
        <f>FHD_NOTE_P_72</f>
        <v/>
      </c>
      <c r="K112" s="549"/>
    </row>
    <row customHeight="1" ht="18.75">
      <c r="A113" s="996" t="s">
        <v>630</v>
      </c>
      <c r="D113" s="1678"/>
      <c r="E113" s="552" t="str">
        <f>FHD_NUM_P_73</f>
        <v>14</v>
      </c>
      <c r="F113" s="1923" t="str">
        <f>FHD_P_73</f>
        <v>Среднесписочная численность административно-управленческого персонала</v>
      </c>
      <c r="G113" s="977" t="s">
        <v>629</v>
      </c>
      <c r="H113" s="975"/>
      <c r="I113" s="975"/>
      <c r="J113" s="277" t="str">
        <f>FHD_NOTE_P_73</f>
        <v/>
      </c>
      <c r="K113" s="549"/>
    </row>
    <row customHeight="1" ht="33.75" hidden="1">
      <c r="A114" s="996" t="s">
        <v>631</v>
      </c>
      <c r="D114" s="1678"/>
      <c r="E114" s="552" t="str">
        <f>FHD_NUM_P_74</f>
        <v/>
      </c>
      <c r="F114" s="1923" t="str">
        <f>FHD_P_74</f>
        <v/>
      </c>
      <c r="G114" s="1919" t="s">
        <v>632</v>
      </c>
      <c r="H114" s="583"/>
      <c r="I114" s="583"/>
      <c r="J114" s="277" t="str">
        <f>FHD_NOTE_P_74</f>
        <v/>
      </c>
      <c r="K114" s="549"/>
    </row>
    <row s="6264" customFormat="1" customHeight="1" ht="18.75" hidden="1">
      <c r="A115" s="2212" t="s">
        <v>633</v>
      </c>
      <c r="B115" s="916"/>
      <c r="C115" s="741"/>
      <c r="D115" s="739"/>
      <c r="E115" s="552" t="str">
        <f>FHD_NUM_P_75</f>
        <v/>
      </c>
      <c r="F115" s="1923" t="str">
        <f>FHD_P_75</f>
        <v/>
      </c>
      <c r="G115" s="1919" t="s">
        <v>597</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6264" customFormat="1" customHeight="1" ht="18.75" hidden="1">
      <c r="A116" s="2212"/>
      <c r="B116" s="916"/>
      <c r="C116" s="741"/>
      <c r="D116" s="739"/>
      <c r="E116" s="552" t="str">
        <f>FHD_NUM_P_76</f>
        <v/>
      </c>
      <c r="F116" s="1923" t="str">
        <f>FHD_P_76</f>
        <v/>
      </c>
      <c r="G116" s="1919" t="s">
        <v>597</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6264" customFormat="1" customHeight="1" ht="18.75" hidden="1">
      <c r="A117" s="2212"/>
      <c r="B117" s="916"/>
      <c r="C117" s="741"/>
      <c r="D117" s="739"/>
      <c r="E117" s="552" t="str">
        <f>FHD_NUM_P_77</f>
        <v/>
      </c>
      <c r="F117" s="1923" t="str">
        <f>FHD_P_77</f>
        <v/>
      </c>
      <c r="G117" s="1919" t="s">
        <v>597</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91" customFormat="1" customHeight="1" ht="0.75" hidden="1">
      <c r="A118" s="2212"/>
      <c r="D118" s="554"/>
      <c r="E118" s="1020" t="str">
        <f>E117&amp;".0"</f>
        <v>.0</v>
      </c>
      <c r="F118" s="1004"/>
      <c r="G118" s="1691"/>
      <c r="H118" s="999"/>
      <c r="I118" s="999"/>
      <c r="J118" s="1003"/>
    </row>
    <row s="6264" customFormat="1" customHeight="1" ht="15" hidden="1">
      <c r="A119" s="2212"/>
      <c r="B119" s="916"/>
      <c r="C119" s="741"/>
      <c r="D119" s="752"/>
      <c r="E119" s="980"/>
      <c r="F119" s="981" t="s">
        <v>634</v>
      </c>
      <c r="G119" s="753"/>
      <c r="H119" s="754"/>
      <c r="I119" s="754"/>
      <c r="J119" s="1010" t="s">
        <v>635</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636</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599</v>
      </c>
      <c r="H120" s="583"/>
      <c r="I120" s="583"/>
      <c r="J120" s="277" t="str">
        <f>FHD_NOTE_P_78</f>
        <v/>
      </c>
      <c r="K120" s="549"/>
    </row>
    <row s="2691" customFormat="1" customHeight="1" ht="0.75">
      <c r="A121" s="2210"/>
      <c r="D121" s="554"/>
      <c r="E121" s="1020" t="str">
        <f>E120&amp;".0"</f>
        <v>15.0</v>
      </c>
      <c r="F121" s="1004"/>
      <c r="G121" s="1691"/>
      <c r="H121" s="999"/>
      <c r="I121" s="999"/>
      <c r="J121" s="1003"/>
    </row>
    <row customHeight="1" ht="15">
      <c r="A122" s="2210"/>
      <c r="D122" s="1673"/>
      <c r="E122" s="576"/>
      <c r="F122" s="1176" t="s">
        <v>625</v>
      </c>
      <c r="G122" s="578"/>
      <c r="H122" s="579"/>
      <c r="I122" s="579"/>
      <c r="J122" s="1011" t="s">
        <v>637</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601</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2691" customFormat="1" customHeight="1" ht="0.75">
      <c r="A124" s="2210"/>
      <c r="D124" s="554"/>
      <c r="E124" s="1020" t="str">
        <f>E123&amp;".0"</f>
        <v>16.0</v>
      </c>
      <c r="F124" s="1005"/>
      <c r="G124" s="1691"/>
      <c r="H124" s="999"/>
      <c r="I124" s="999"/>
      <c r="J124" s="1003"/>
    </row>
    <row customHeight="1" ht="15">
      <c r="A125" s="2210"/>
      <c r="D125" s="1673"/>
      <c r="E125" s="576"/>
      <c r="F125" s="1176" t="s">
        <v>625</v>
      </c>
      <c r="G125" s="578"/>
      <c r="H125" s="579"/>
      <c r="I125" s="579"/>
      <c r="J125" s="1011" t="s">
        <v>638</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639</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640</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627</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351</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627</v>
      </c>
      <c r="D129" s="1678"/>
      <c r="E129" s="552" t="str">
        <f>FHD_NUM_P_83</f>
        <v>19.1</v>
      </c>
      <c r="F129" s="1554" t="str">
        <f>FHD_P_83</f>
        <v>Информация о показателях физического износа объектов теплоснабжения</v>
      </c>
      <c r="G129" s="1921" t="s">
        <v>351</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627</v>
      </c>
      <c r="D130" s="1678"/>
      <c r="E130" s="552" t="str">
        <f>FHD_NUM_P_84</f>
        <v>19.2</v>
      </c>
      <c r="F130" s="1554" t="str">
        <f>FHD_P_84</f>
        <v>Информация о показателях энергетической эффективности объектов теплоснабжения</v>
      </c>
      <c r="G130" s="1921" t="s">
        <v>351</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6220"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622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622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6220"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622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622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622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622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622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622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622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622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622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622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622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622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622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622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622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622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622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622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622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622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622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622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622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622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622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622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622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622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622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622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622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622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622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622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622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622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622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622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622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622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622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622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622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622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622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622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622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622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622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622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622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622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622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622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622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622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622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622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622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6220"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6220"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6220"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6220"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6220"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6220"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6220"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6220"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6220"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6220"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6220"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6220"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6220"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6220"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6220"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6220"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6220"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6220"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6220"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6220"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6220"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6220"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6220"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6220"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6220"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6220"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6220"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6220"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6220"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6220"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6220"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6220"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6220"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6220"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6220"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6220"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6220"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6220"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6220"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6220"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6220"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6220"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6220"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6220"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6220"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6220"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6220"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6220"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6220"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6220"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6220"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6220"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6220"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6220"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6220"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6220"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6220"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6220"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6220"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6220"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6220"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6220"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6220"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6220"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6220"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6220"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6220"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6220"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6220"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6220"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6220"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6220"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6220"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6220"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6220"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6220"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6220"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6220"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6220"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6220"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6220"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6220"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6220"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6220"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6220"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6220"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6220"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6220"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6220"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6220"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6220"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6220"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6220"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077D3-3536-8682-4187-EF06C0572D3C}"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299" width="14.7109375" hidden="1" customWidth="1"/>
    <col min="2" max="2" style="3191" width="17.00390625" hidden="1" customWidth="1"/>
    <col min="3" max="3" style="3193" width="3.7109375" customWidth="1"/>
    <col min="4" max="4" style="3193" width="1.8515625" hidden="1" customWidth="1"/>
    <col min="5" max="6" style="3193" width="7.7109375" customWidth="1"/>
    <col min="7" max="7" style="3193" width="29.7109375" customWidth="1"/>
    <col min="8" max="8" style="3193" width="3.7109375" customWidth="1"/>
    <col min="9" max="9" style="3193" width="5.421875" customWidth="1"/>
    <col min="10" max="10" style="3193" width="24.57421875" customWidth="1"/>
    <col min="11" max="11" style="3193" width="24.421875" customWidth="1"/>
    <col min="12" max="12" style="3193" width="3.7109375" customWidth="1"/>
    <col min="13" max="13" style="3193" width="6.28125" customWidth="1"/>
    <col min="14" max="14" style="3193" width="25.8515625" customWidth="1"/>
    <col min="15" max="18" style="3193" width="18.7109375" customWidth="1"/>
    <col min="19" max="19" style="3193" width="93.421875" customWidth="1"/>
    <col min="20" max="20" style="3193" width="10.57421875" customWidth="1"/>
    <col min="21" max="21" style="6301" width="10.57421875" customWidth="1"/>
    <col min="22" max="22" style="6301" width="11.7109375" customWidth="1"/>
    <col min="23" max="23" style="6302" width="10.57421875" customWidth="1"/>
    <col min="24" max="27" style="3191" width="10.57421875" customWidth="1"/>
    <col min="28" max="83" style="319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АО "Мурманэнергосбыт"</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345</v>
      </c>
      <c r="F9" s="1956"/>
      <c r="G9" s="1956"/>
      <c r="H9" s="1956"/>
      <c r="I9" s="1956"/>
      <c r="J9" s="1956"/>
      <c r="K9" s="1956"/>
      <c r="L9" s="1956"/>
      <c r="M9" s="1956"/>
      <c r="N9" s="1956"/>
      <c r="O9" s="1956"/>
      <c r="P9" s="1956"/>
      <c r="Q9" s="1956"/>
      <c r="R9" s="1957"/>
      <c r="S9" s="1971" t="s">
        <v>346</v>
      </c>
      <c r="T9" s="330"/>
    </row>
    <row customHeight="1" ht="33.75">
      <c r="D10" s="557" t="s">
        <v>87</v>
      </c>
      <c r="E10" s="1971" t="s">
        <v>87</v>
      </c>
      <c r="F10" s="1971"/>
      <c r="G10" s="527" t="s">
        <v>347</v>
      </c>
      <c r="H10" s="1971" t="s">
        <v>87</v>
      </c>
      <c r="I10" s="1971"/>
      <c r="J10" s="527" t="s">
        <v>641</v>
      </c>
      <c r="K10" s="527" t="s">
        <v>642</v>
      </c>
      <c r="L10" s="1971" t="s">
        <v>87</v>
      </c>
      <c r="M10" s="1971"/>
      <c r="N10" s="527" t="s">
        <v>643</v>
      </c>
      <c r="O10" s="527" t="s">
        <v>644</v>
      </c>
      <c r="P10" s="527" t="s">
        <v>645</v>
      </c>
      <c r="Q10" s="527" t="s">
        <v>646</v>
      </c>
      <c r="R10" s="527" t="s">
        <v>647</v>
      </c>
      <c r="S10" s="1971"/>
      <c r="T10" s="330"/>
    </row>
    <row s="2612" customFormat="1" customHeight="1" ht="15" hidden="1">
      <c r="A11" s="1059"/>
      <c r="D11" s="1032" t="s">
        <v>128</v>
      </c>
      <c r="E11" s="1032"/>
      <c r="F11" s="1032" t="s">
        <v>102</v>
      </c>
      <c r="G11" s="1032" t="s">
        <v>89</v>
      </c>
      <c r="H11" s="1032"/>
      <c r="I11" s="1032" t="s">
        <v>90</v>
      </c>
      <c r="J11" s="1032" t="s">
        <v>116</v>
      </c>
      <c r="K11" s="1032" t="s">
        <v>91</v>
      </c>
      <c r="L11" s="1032"/>
      <c r="M11" s="1032" t="s">
        <v>92</v>
      </c>
      <c r="N11" s="1032" t="s">
        <v>129</v>
      </c>
      <c r="O11" s="1032" t="s">
        <v>165</v>
      </c>
      <c r="P11" s="1032" t="s">
        <v>166</v>
      </c>
      <c r="Q11" s="1032" t="s">
        <v>167</v>
      </c>
      <c r="R11" s="1032" t="s">
        <v>118</v>
      </c>
      <c r="S11" s="1032" t="s">
        <v>168</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423</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7" customFormat="1" customHeight="1" ht="15" hidden="1">
      <c r="A14" s="629" t="s">
        <v>134</v>
      </c>
      <c r="B14" s="630"/>
      <c r="C14" s="630"/>
      <c r="D14" s="2217" t="s">
        <v>128</v>
      </c>
      <c r="E14" s="2225" t="s">
        <v>124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648</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7" customFormat="1" customHeight="1" ht="15" hidden="1">
      <c r="A15" s="629"/>
      <c r="B15" s="630"/>
      <c r="C15" s="630"/>
      <c r="D15" s="2218"/>
      <c r="E15" s="2225" t="s">
        <v>603</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7" customFormat="1" customHeight="1" ht="15" hidden="1">
      <c r="A16" s="629"/>
      <c r="B16" s="630"/>
      <c r="C16" s="630"/>
      <c r="D16" s="2218"/>
      <c r="E16" s="2225" t="s">
        <v>604</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7" customFormat="1" customHeight="1" ht="22.5" hidden="1">
      <c r="A17" s="639"/>
      <c r="B17" s="423"/>
      <c r="C17" s="418"/>
      <c r="D17" s="2218"/>
      <c r="E17" s="2222" t="s">
        <v>649</v>
      </c>
      <c r="F17" s="2222"/>
      <c r="G17" s="2222"/>
      <c r="H17" s="2222"/>
      <c r="I17" s="2222"/>
      <c r="J17" s="2222"/>
      <c r="K17" s="2222"/>
      <c r="L17" s="2222"/>
      <c r="M17" s="2222"/>
      <c r="N17" s="2222"/>
      <c r="O17" s="2222"/>
      <c r="P17" s="2222"/>
      <c r="Q17" s="564">
        <f>SUMIF(T18:T19,"i",Q18:Q19)</f>
        <v>0</v>
      </c>
      <c r="R17" s="1024"/>
      <c r="S17" s="903" t="s">
        <v>650</v>
      </c>
      <c r="T17" s="723" t="s">
        <v>651</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7" customFormat="1" customHeight="1" ht="22.5" hidden="1">
      <c r="A20" s="639"/>
      <c r="B20" s="423"/>
      <c r="C20" s="418"/>
      <c r="D20" s="2218"/>
      <c r="E20" s="2222" t="s">
        <v>652</v>
      </c>
      <c r="F20" s="2222"/>
      <c r="G20" s="2222"/>
      <c r="H20" s="2222"/>
      <c r="I20" s="2222"/>
      <c r="J20" s="2222"/>
      <c r="K20" s="2222"/>
      <c r="L20" s="2222"/>
      <c r="M20" s="2222"/>
      <c r="N20" s="2222"/>
      <c r="O20" s="2222"/>
      <c r="P20" s="2222"/>
      <c r="Q20" s="564">
        <f>SUMIF(T21:T22,"i",Q21:Q22)</f>
        <v>0</v>
      </c>
      <c r="R20" s="1024"/>
      <c r="S20" s="715" t="s">
        <v>653</v>
      </c>
      <c r="T20" s="723" t="s">
        <v>651</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2D8C5-AAD1-7492-6D11-FC9D0D3E100A}"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193" width="10.7109375" hidden="1" customWidth="1"/>
    <col min="2" max="2" style="2683" width="16.8515625" hidden="1" customWidth="1"/>
    <col min="3" max="3" style="2691" width="5.57421875" hidden="1" customWidth="1"/>
    <col min="4" max="4" style="6296" width="3.7109375" customWidth="1"/>
    <col min="5" max="5" style="2992" width="7.7109375" customWidth="1"/>
    <col min="6" max="6" style="2992" width="56.140625" customWidth="1"/>
    <col min="7" max="7" style="2992" width="10.421875" customWidth="1"/>
    <col min="8" max="8" style="2992" width="40.7109375" hidden="1" customWidth="1"/>
    <col min="9" max="9" style="2992" width="40.7109375" customWidth="1"/>
    <col min="10" max="10" style="2992"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6197" width="9.140625"/>
    <col min="22" max="26" style="2683" width="9.140625"/>
    <col min="27" max="31" style="2991" width="9.140625"/>
  </cols>
  <sheetData>
    <row s="2683" customFormat="1" customHeight="1" ht="11.25" hidden="1">
      <c r="A1" s="994"/>
      <c r="C1" s="1676"/>
      <c r="D1" s="543"/>
      <c r="H1" s="1168">
        <v>4</v>
      </c>
      <c r="I1" s="1168">
        <v>4</v>
      </c>
      <c r="L1" s="1676"/>
      <c r="M1" s="1676"/>
      <c r="R1" s="1676"/>
    </row>
    <row s="2683" customFormat="1" customHeight="1" ht="22.5" hidden="1">
      <c r="A2" s="994"/>
      <c r="C2" s="1676"/>
      <c r="D2" s="544"/>
      <c r="E2" s="1677"/>
      <c r="F2" s="546"/>
      <c r="G2" s="1679" t="s">
        <v>591</v>
      </c>
      <c r="H2" s="547"/>
      <c r="I2" s="547"/>
      <c r="J2" s="548" t="s">
        <v>654</v>
      </c>
      <c r="K2" s="549"/>
      <c r="L2" s="1676"/>
      <c r="M2" s="1676"/>
      <c r="R2" s="1676"/>
      <c r="U2" s="550"/>
      <c r="AA2" s="1672"/>
      <c r="AB2" s="1672"/>
      <c r="AC2" s="1672"/>
      <c r="AD2" s="1672"/>
      <c r="AE2" s="1672"/>
    </row>
    <row customHeight="1" ht="11.25" hidden="1"/>
    <row s="2991"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655</v>
      </c>
      <c r="F6" s="2151"/>
      <c r="G6" s="2151"/>
      <c r="H6" s="2151"/>
      <c r="I6" s="2151"/>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2691" customFormat="1" customHeight="1" ht="0.75">
      <c r="A9" s="1175"/>
      <c r="D9" s="1682"/>
      <c r="H9" s="895"/>
      <c r="I9" s="895" t="s">
        <v>134</v>
      </c>
    </row>
    <row customHeight="1" ht="11.25">
      <c r="E10" s="717"/>
      <c r="F10" s="2213" t="s">
        <v>124</v>
      </c>
      <c r="G10" s="2214"/>
      <c r="H10" s="1592" t="str">
        <f>IF(H9="","",INDEX(DIFFERENTIATION_UNMERGE_VD,MATCH(H9,DIFFERENTIATION_ID_DIFF,0)))</f>
        <v/>
      </c>
      <c r="I10" s="1592">
        <f>IF(I9="","",INDEX(DIFFERENTIATION_UNMERGE_VD,MATCH(I9,DIFFERENTIATION_ID_DIFF,0)))</f>
        <v>0</v>
      </c>
      <c r="J10" s="1971"/>
    </row>
    <row customHeight="1" ht="11.25">
      <c r="E11" s="717"/>
      <c r="F11" s="2213" t="s">
        <v>603</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604</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345</v>
      </c>
      <c r="F13" s="2216"/>
      <c r="G13" s="2216"/>
      <c r="H13" s="1591"/>
      <c r="I13" s="1591"/>
      <c r="J13" s="1971"/>
    </row>
    <row customHeight="1" ht="22.5">
      <c r="E14" s="1679" t="s">
        <v>87</v>
      </c>
      <c r="F14" s="1674" t="s">
        <v>347</v>
      </c>
      <c r="G14" s="1674" t="s">
        <v>605</v>
      </c>
      <c r="H14" s="1674" t="s">
        <v>348</v>
      </c>
      <c r="I14" s="1674" t="s">
        <v>348</v>
      </c>
      <c r="J14" s="1971"/>
    </row>
    <row customHeight="1" ht="18.75">
      <c r="D15" s="1678"/>
      <c r="E15" s="1670" t="s">
        <v>128</v>
      </c>
      <c r="F15" s="713" t="s">
        <v>656</v>
      </c>
      <c r="G15" s="1686" t="s">
        <v>591</v>
      </c>
      <c r="H15" s="563"/>
      <c r="I15" s="563"/>
      <c r="J15" s="277" t="s">
        <v>657</v>
      </c>
      <c r="K15" s="549" t="s">
        <v>658</v>
      </c>
    </row>
    <row customHeight="1" ht="33.75">
      <c r="D16" s="1678"/>
      <c r="E16" s="1670" t="s">
        <v>102</v>
      </c>
      <c r="F16" s="713" t="s">
        <v>659</v>
      </c>
      <c r="G16" s="1686" t="s">
        <v>591</v>
      </c>
      <c r="H16" s="564">
        <f>SUM(H17,H20:H32)</f>
        <v>0</v>
      </c>
      <c r="I16" s="564">
        <f>SUM(I17,I20:I32)</f>
        <v>0</v>
      </c>
      <c r="J16" s="277" t="s">
        <v>660</v>
      </c>
      <c r="K16" s="549" t="s">
        <v>658</v>
      </c>
    </row>
    <row customHeight="1" ht="18.75">
      <c r="D17" s="1678"/>
      <c r="E17" s="1704" t="s">
        <v>661</v>
      </c>
      <c r="F17" s="961" t="s">
        <v>662</v>
      </c>
      <c r="G17" s="1683" t="s">
        <v>591</v>
      </c>
      <c r="H17" s="563"/>
      <c r="I17" s="563"/>
      <c r="J17" s="277" t="s">
        <v>663</v>
      </c>
      <c r="K17" s="549"/>
    </row>
    <row customHeight="1" ht="22.5">
      <c r="D18" s="1678"/>
      <c r="E18" s="1704" t="s">
        <v>664</v>
      </c>
      <c r="F18" s="1690" t="s">
        <v>665</v>
      </c>
      <c r="G18" s="1683" t="s">
        <v>591</v>
      </c>
      <c r="H18" s="563"/>
      <c r="I18" s="563"/>
      <c r="J18" s="277" t="s">
        <v>666</v>
      </c>
      <c r="K18" s="549"/>
    </row>
    <row customHeight="1" ht="33.75">
      <c r="D19" s="1678"/>
      <c r="E19" s="1704" t="s">
        <v>667</v>
      </c>
      <c r="F19" s="1690" t="s">
        <v>668</v>
      </c>
      <c r="G19" s="1683" t="s">
        <v>591</v>
      </c>
      <c r="H19" s="563"/>
      <c r="I19" s="563"/>
      <c r="J19" s="277"/>
      <c r="K19" s="549"/>
    </row>
    <row customHeight="1" ht="18.75">
      <c r="D20" s="1678"/>
      <c r="E20" s="1704" t="s">
        <v>352</v>
      </c>
      <c r="F20" s="961" t="s">
        <v>669</v>
      </c>
      <c r="G20" s="1683" t="s">
        <v>591</v>
      </c>
      <c r="H20" s="563"/>
      <c r="I20" s="563"/>
      <c r="J20" s="277" t="s">
        <v>670</v>
      </c>
      <c r="K20" s="549"/>
    </row>
    <row customHeight="1" ht="18.75">
      <c r="D21" s="1678"/>
      <c r="E21" s="1704" t="s">
        <v>671</v>
      </c>
      <c r="F21" s="1690" t="s">
        <v>672</v>
      </c>
      <c r="G21" s="1683" t="s">
        <v>591</v>
      </c>
      <c r="H21" s="563"/>
      <c r="I21" s="563"/>
      <c r="J21" s="277"/>
      <c r="K21" s="549"/>
    </row>
    <row customHeight="1" ht="18.75">
      <c r="D22" s="1678"/>
      <c r="E22" s="1704" t="s">
        <v>673</v>
      </c>
      <c r="F22" s="1690" t="s">
        <v>674</v>
      </c>
      <c r="G22" s="1683" t="s">
        <v>591</v>
      </c>
      <c r="H22" s="563"/>
      <c r="I22" s="563"/>
      <c r="J22" s="277"/>
      <c r="K22" s="549"/>
    </row>
    <row customHeight="1" ht="22.5">
      <c r="D23" s="1678"/>
      <c r="E23" s="1704" t="s">
        <v>355</v>
      </c>
      <c r="F23" s="961" t="s">
        <v>675</v>
      </c>
      <c r="G23" s="1683" t="s">
        <v>591</v>
      </c>
      <c r="H23" s="563"/>
      <c r="I23" s="563"/>
      <c r="J23" s="277" t="s">
        <v>676</v>
      </c>
      <c r="K23" s="549"/>
    </row>
    <row customHeight="1" ht="18.75">
      <c r="D24" s="1678"/>
      <c r="E24" s="1704" t="s">
        <v>677</v>
      </c>
      <c r="F24" s="1690" t="s">
        <v>678</v>
      </c>
      <c r="G24" s="1683" t="s">
        <v>591</v>
      </c>
      <c r="H24" s="563"/>
      <c r="I24" s="563"/>
      <c r="J24" s="277"/>
      <c r="K24" s="549"/>
    </row>
    <row customHeight="1" ht="33.75">
      <c r="D25" s="1678"/>
      <c r="E25" s="1704" t="s">
        <v>679</v>
      </c>
      <c r="F25" s="1690" t="s">
        <v>680</v>
      </c>
      <c r="G25" s="1683" t="s">
        <v>591</v>
      </c>
      <c r="H25" s="563"/>
      <c r="I25" s="563"/>
      <c r="J25" s="277"/>
      <c r="K25" s="549"/>
    </row>
    <row customHeight="1" ht="22.5">
      <c r="D26" s="1678"/>
      <c r="E26" s="1704" t="s">
        <v>681</v>
      </c>
      <c r="F26" s="961" t="s">
        <v>682</v>
      </c>
      <c r="G26" s="1683" t="s">
        <v>591</v>
      </c>
      <c r="H26" s="563"/>
      <c r="I26" s="563"/>
      <c r="J26" s="277" t="s">
        <v>683</v>
      </c>
      <c r="K26" s="549"/>
    </row>
    <row customHeight="1" ht="18.75">
      <c r="D27" s="1678"/>
      <c r="E27" s="1715" t="s">
        <v>684</v>
      </c>
      <c r="F27" s="1690" t="s">
        <v>685</v>
      </c>
      <c r="G27" s="1694" t="s">
        <v>591</v>
      </c>
      <c r="H27" s="1716"/>
      <c r="I27" s="1716"/>
      <c r="J27" s="277"/>
      <c r="K27" s="549"/>
    </row>
    <row customHeight="1" ht="18.75">
      <c r="D28" s="1678"/>
      <c r="E28" s="1715" t="s">
        <v>686</v>
      </c>
      <c r="F28" s="1690" t="s">
        <v>687</v>
      </c>
      <c r="G28" s="1694" t="s">
        <v>591</v>
      </c>
      <c r="H28" s="1716"/>
      <c r="I28" s="1716"/>
      <c r="J28" s="277"/>
      <c r="K28" s="549"/>
    </row>
    <row customHeight="1" ht="18.75">
      <c r="D29" s="1678"/>
      <c r="E29" s="1715" t="s">
        <v>688</v>
      </c>
      <c r="F29" s="961" t="s">
        <v>689</v>
      </c>
      <c r="G29" s="1694" t="s">
        <v>591</v>
      </c>
      <c r="H29" s="1716"/>
      <c r="I29" s="1716"/>
      <c r="J29" s="277"/>
      <c r="K29" s="549"/>
    </row>
    <row customHeight="1" ht="18.75">
      <c r="D30" s="1678"/>
      <c r="E30" s="1715" t="s">
        <v>690</v>
      </c>
      <c r="F30" s="961" t="s">
        <v>691</v>
      </c>
      <c r="G30" s="1694" t="s">
        <v>591</v>
      </c>
      <c r="H30" s="1716"/>
      <c r="I30" s="1716"/>
      <c r="J30" s="277"/>
      <c r="K30" s="549"/>
    </row>
    <row customHeight="1" ht="18.75">
      <c r="D31" s="1678"/>
      <c r="E31" s="1715" t="s">
        <v>692</v>
      </c>
      <c r="F31" s="961" t="s">
        <v>693</v>
      </c>
      <c r="G31" s="1694" t="s">
        <v>591</v>
      </c>
      <c r="H31" s="1716"/>
      <c r="I31" s="1716"/>
      <c r="J31" s="277"/>
      <c r="K31" s="549"/>
    </row>
    <row s="2683" customFormat="1" customHeight="1" ht="22.5">
      <c r="A32" s="994"/>
      <c r="C32" s="1676"/>
      <c r="D32" s="1678"/>
      <c r="E32" s="1715" t="s">
        <v>694</v>
      </c>
      <c r="F32" s="961" t="s">
        <v>695</v>
      </c>
      <c r="G32" s="1684" t="s">
        <v>591</v>
      </c>
      <c r="H32" s="585">
        <f>SUM(H33:H34)</f>
        <v>0</v>
      </c>
      <c r="I32" s="585">
        <f>SUM(I33:I34)</f>
        <v>0</v>
      </c>
      <c r="J32" s="277" t="s">
        <v>696</v>
      </c>
      <c r="K32" s="549"/>
      <c r="L32" s="1676"/>
      <c r="M32" s="1676"/>
      <c r="R32" s="1676"/>
      <c r="U32" s="550"/>
      <c r="AA32" s="1672"/>
      <c r="AB32" s="1672"/>
      <c r="AC32" s="1672"/>
      <c r="AD32" s="1672"/>
      <c r="AE32" s="1672"/>
    </row>
    <row s="2691" customFormat="1" customHeight="1" ht="0.75">
      <c r="A33" s="1175"/>
      <c r="D33" s="554"/>
      <c r="E33" s="808" t="str">
        <f>E32&amp;".0"</f>
        <v>2.8.0</v>
      </c>
      <c r="F33" s="998"/>
      <c r="G33" s="557"/>
      <c r="H33" s="999"/>
      <c r="I33" s="999"/>
      <c r="J33" s="1000"/>
    </row>
    <row s="2683" customFormat="1" customHeight="1" ht="18.75">
      <c r="A34" s="994"/>
      <c r="C34" s="1676"/>
      <c r="D34" s="1673"/>
      <c r="E34" s="576"/>
      <c r="F34" s="1706" t="s">
        <v>616</v>
      </c>
      <c r="G34" s="578"/>
      <c r="H34" s="579"/>
      <c r="I34" s="579"/>
      <c r="J34" s="289" t="s">
        <v>697</v>
      </c>
      <c r="K34" s="549"/>
      <c r="L34" s="1676"/>
      <c r="M34" s="1676"/>
      <c r="R34" s="1676"/>
      <c r="U34" s="550"/>
      <c r="AA34" s="1672"/>
      <c r="AB34" s="1672"/>
      <c r="AC34" s="1672"/>
      <c r="AD34" s="1672"/>
      <c r="AE34" s="1672"/>
    </row>
    <row customHeight="1" ht="56.25">
      <c r="D35" s="1678"/>
      <c r="E35" s="1715" t="s">
        <v>698</v>
      </c>
      <c r="F35" s="961" t="s">
        <v>699</v>
      </c>
      <c r="G35" s="1694" t="s">
        <v>591</v>
      </c>
      <c r="H35" s="1716"/>
      <c r="I35" s="1716"/>
      <c r="J35" s="277" t="s">
        <v>700</v>
      </c>
      <c r="K35" s="549"/>
    </row>
    <row s="2683" customFormat="1" customHeight="1" ht="22.5">
      <c r="A36" s="996" t="s">
        <v>617</v>
      </c>
      <c r="C36" s="1676"/>
      <c r="D36" s="1678"/>
      <c r="E36" s="1704" t="s">
        <v>89</v>
      </c>
      <c r="F36" s="713" t="s">
        <v>701</v>
      </c>
      <c r="G36" s="1683" t="s">
        <v>591</v>
      </c>
      <c r="H36" s="563"/>
      <c r="I36" s="563"/>
      <c r="J36" s="277" t="s">
        <v>702</v>
      </c>
      <c r="K36" s="549"/>
      <c r="L36" s="1676"/>
      <c r="M36" s="1676"/>
      <c r="R36" s="1676"/>
      <c r="U36" s="550"/>
      <c r="AA36" s="1672"/>
      <c r="AB36" s="1672"/>
      <c r="AC36" s="1672"/>
      <c r="AD36" s="1672"/>
      <c r="AE36" s="1672"/>
    </row>
    <row s="2683" customFormat="1" customHeight="1" ht="22.5">
      <c r="A37" s="996"/>
      <c r="C37" s="1676"/>
      <c r="D37" s="1678"/>
      <c r="E37" s="1704" t="s">
        <v>371</v>
      </c>
      <c r="F37" s="961" t="s">
        <v>703</v>
      </c>
      <c r="G37" s="1694"/>
      <c r="H37" s="563"/>
      <c r="I37" s="563"/>
      <c r="J37" s="277"/>
      <c r="K37" s="549"/>
      <c r="L37" s="1676"/>
      <c r="M37" s="1676"/>
      <c r="R37" s="1676"/>
      <c r="U37" s="550"/>
      <c r="AA37" s="1672"/>
      <c r="AB37" s="1672"/>
      <c r="AC37" s="1672"/>
      <c r="AD37" s="1672"/>
      <c r="AE37" s="1672"/>
    </row>
    <row s="2683" customFormat="1" customHeight="1" ht="18.75">
      <c r="A38" s="994"/>
      <c r="C38" s="1676"/>
      <c r="D38" s="581"/>
      <c r="E38" s="1704" t="s">
        <v>90</v>
      </c>
      <c r="F38" s="713" t="s">
        <v>704</v>
      </c>
      <c r="G38" s="1683" t="s">
        <v>591</v>
      </c>
      <c r="H38" s="563"/>
      <c r="I38" s="563"/>
      <c r="J38" s="277" t="s">
        <v>705</v>
      </c>
      <c r="K38" s="549"/>
      <c r="L38" s="1676"/>
      <c r="M38" s="1676"/>
      <c r="R38" s="1676"/>
      <c r="U38" s="550"/>
      <c r="AA38" s="1672"/>
      <c r="AB38" s="1672"/>
      <c r="AC38" s="1672"/>
      <c r="AD38" s="1672"/>
      <c r="AE38" s="1672"/>
    </row>
    <row s="2683" customFormat="1" customHeight="1" ht="22.5">
      <c r="A39" s="994"/>
      <c r="C39" s="1676"/>
      <c r="D39" s="581"/>
      <c r="E39" s="1704" t="s">
        <v>706</v>
      </c>
      <c r="F39" s="961" t="s">
        <v>707</v>
      </c>
      <c r="G39" s="1694" t="s">
        <v>591</v>
      </c>
      <c r="H39" s="563"/>
      <c r="I39" s="563"/>
      <c r="J39" s="277" t="s">
        <v>708</v>
      </c>
      <c r="K39" s="549"/>
      <c r="L39" s="1676"/>
      <c r="M39" s="1676"/>
      <c r="R39" s="1676"/>
      <c r="U39" s="550"/>
      <c r="AA39" s="1672"/>
      <c r="AB39" s="1672"/>
      <c r="AC39" s="1672"/>
      <c r="AD39" s="1672"/>
      <c r="AE39" s="1672"/>
    </row>
    <row s="2683" customFormat="1" customHeight="1" ht="22.5">
      <c r="A40" s="994"/>
      <c r="C40" s="1676"/>
      <c r="D40" s="1678"/>
      <c r="E40" s="1704" t="s">
        <v>709</v>
      </c>
      <c r="F40" s="1690" t="s">
        <v>710</v>
      </c>
      <c r="G40" s="1683" t="s">
        <v>591</v>
      </c>
      <c r="H40" s="563"/>
      <c r="I40" s="563"/>
      <c r="J40" s="277" t="s">
        <v>711</v>
      </c>
      <c r="K40" s="549"/>
      <c r="L40" s="1676"/>
      <c r="M40" s="1676"/>
      <c r="R40" s="1676"/>
      <c r="U40" s="550"/>
      <c r="AA40" s="1672"/>
      <c r="AB40" s="1672"/>
      <c r="AC40" s="1672"/>
      <c r="AD40" s="1672"/>
      <c r="AE40" s="1672"/>
    </row>
    <row s="2683" customFormat="1" customHeight="1" ht="22.5">
      <c r="A41" s="994"/>
      <c r="C41" s="1676"/>
      <c r="D41" s="1678"/>
      <c r="E41" s="1704" t="s">
        <v>712</v>
      </c>
      <c r="F41" s="1690" t="s">
        <v>713</v>
      </c>
      <c r="G41" s="1683" t="s">
        <v>591</v>
      </c>
      <c r="H41" s="563"/>
      <c r="I41" s="563"/>
      <c r="J41" s="277" t="s">
        <v>714</v>
      </c>
      <c r="K41" s="549"/>
      <c r="L41" s="1676"/>
      <c r="M41" s="1676"/>
      <c r="R41" s="1676"/>
      <c r="U41" s="550"/>
      <c r="AA41" s="1672"/>
      <c r="AB41" s="1672"/>
      <c r="AC41" s="1672"/>
      <c r="AD41" s="1672"/>
      <c r="AE41" s="1672"/>
    </row>
    <row s="2683" customFormat="1" customHeight="1" ht="22.5">
      <c r="A42" s="994"/>
      <c r="C42" s="1676"/>
      <c r="D42" s="1678"/>
      <c r="E42" s="1704" t="s">
        <v>715</v>
      </c>
      <c r="F42" s="1690" t="s">
        <v>716</v>
      </c>
      <c r="G42" s="1683" t="s">
        <v>591</v>
      </c>
      <c r="H42" s="563"/>
      <c r="I42" s="563"/>
      <c r="J42" s="277" t="s">
        <v>717</v>
      </c>
      <c r="K42" s="549"/>
      <c r="L42" s="1676"/>
      <c r="M42" s="1676"/>
      <c r="R42" s="1676"/>
      <c r="U42" s="550"/>
      <c r="AA42" s="1672"/>
      <c r="AB42" s="1672"/>
      <c r="AC42" s="1672"/>
      <c r="AD42" s="1672"/>
      <c r="AE42" s="1672"/>
    </row>
    <row s="2683" customFormat="1" customHeight="1" ht="33.75">
      <c r="A43" s="994"/>
      <c r="C43" s="1676" t="s">
        <v>627</v>
      </c>
      <c r="D43" s="1678"/>
      <c r="E43" s="1704" t="s">
        <v>116</v>
      </c>
      <c r="F43" s="713" t="s">
        <v>718</v>
      </c>
      <c r="G43" s="1686" t="s">
        <v>719</v>
      </c>
      <c r="H43" s="407"/>
      <c r="I43" s="407"/>
      <c r="J43" s="277" t="s">
        <v>720</v>
      </c>
      <c r="K43" s="549"/>
      <c r="L43" s="1676"/>
      <c r="M43" s="1676"/>
      <c r="R43" s="1676"/>
      <c r="U43" s="550"/>
      <c r="AA43" s="1672"/>
      <c r="AB43" s="1672"/>
      <c r="AC43" s="1672"/>
      <c r="AD43" s="1672"/>
      <c r="AE43" s="1672"/>
    </row>
    <row s="2683" customFormat="1" customHeight="1" ht="22.5">
      <c r="A44" s="994"/>
      <c r="C44" s="1676"/>
      <c r="D44" s="1678"/>
      <c r="E44" s="1704" t="s">
        <v>91</v>
      </c>
      <c r="F44" s="713" t="s">
        <v>721</v>
      </c>
      <c r="G44" s="1683" t="s">
        <v>722</v>
      </c>
      <c r="H44" s="551"/>
      <c r="I44" s="551"/>
      <c r="J44" s="277" t="s">
        <v>723</v>
      </c>
      <c r="K44" s="549"/>
      <c r="L44" s="1676"/>
      <c r="M44" s="1676"/>
      <c r="R44" s="1676"/>
      <c r="U44" s="550"/>
      <c r="AA44" s="1672"/>
      <c r="AB44" s="1672"/>
      <c r="AC44" s="1672"/>
      <c r="AD44" s="1672"/>
      <c r="AE44" s="1672"/>
    </row>
    <row s="2683" customFormat="1" customHeight="1" ht="22.5">
      <c r="A45" s="994"/>
      <c r="C45" s="1676"/>
      <c r="D45" s="1678"/>
      <c r="E45" s="1704" t="s">
        <v>92</v>
      </c>
      <c r="F45" s="713" t="s">
        <v>724</v>
      </c>
      <c r="G45" s="1694" t="s">
        <v>725</v>
      </c>
      <c r="H45" s="551"/>
      <c r="I45" s="551"/>
      <c r="J45" s="277" t="s">
        <v>726</v>
      </c>
      <c r="K45" s="549"/>
      <c r="L45" s="1676"/>
      <c r="M45" s="1676"/>
      <c r="R45" s="1676"/>
      <c r="U45" s="550"/>
      <c r="AA45" s="1672"/>
      <c r="AB45" s="1672"/>
      <c r="AC45" s="1672"/>
      <c r="AD45" s="1672"/>
      <c r="AE45" s="1672"/>
    </row>
    <row s="2683" customFormat="1" customHeight="1" ht="18.75">
      <c r="A46" s="994"/>
      <c r="C46" s="1676"/>
      <c r="D46" s="1678"/>
      <c r="E46" s="1704" t="s">
        <v>129</v>
      </c>
      <c r="F46" s="713" t="s">
        <v>727</v>
      </c>
      <c r="G46" s="1683" t="s">
        <v>629</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6220"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6220"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6220"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6220"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6220"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6220"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6220"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6220"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6220"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6220"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6220"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6220"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6220"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6220"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6220"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6220"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6220"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6220"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6220"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6220"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6220"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6220"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6220"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6220"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6220"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6220"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6220"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6220"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6220"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6220"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6220"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6220"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6220"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6220"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6220"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6220"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6220"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6220"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6220"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6220"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6220"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6220"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6220"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6220"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6220"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6220"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6220"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6220"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6220"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6220"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6220"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6220"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6220"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6220"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6220"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6220"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6220"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6220"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6220"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6220"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6220"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6220"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6220"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6220"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6220"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6220"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6220"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6220"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6220"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6220"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6220"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6220"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6220"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6220"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6220"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6220"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6220"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6220"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6220"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6220"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6220"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6220"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6220"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6220"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6220"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622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622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6220"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622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622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622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622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622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622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622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622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622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622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622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622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622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622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622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622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622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622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622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622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622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622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622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622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622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622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622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622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622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622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622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622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622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622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622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622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622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622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622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622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622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622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622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622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622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622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622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622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622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622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622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622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622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622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622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622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622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622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622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6220"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6220"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6220"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6220"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6220"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6220"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6220"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6220"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6220"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55B0D-D011-613D-68D7-6882B1261B8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193" width="10.7109375" hidden="1" customWidth="1"/>
    <col min="2" max="2" style="2683" width="16.8515625" hidden="1" customWidth="1"/>
    <col min="3" max="3" style="2691" width="5.57421875" hidden="1" customWidth="1"/>
    <col min="4" max="4" style="6296" width="3.7109375" customWidth="1"/>
    <col min="5" max="5" style="2992" width="7.7109375" customWidth="1"/>
    <col min="6" max="6" style="2992" width="54.57421875" customWidth="1"/>
    <col min="7" max="7" style="2992" width="10.421875" customWidth="1"/>
    <col min="8" max="8" style="2992" width="40.7109375" hidden="1" customWidth="1"/>
    <col min="9" max="9" style="2992" width="40.7109375" customWidth="1"/>
    <col min="10" max="10" style="2992"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6197" width="9.140625"/>
    <col min="22" max="26" style="2683" width="9.140625"/>
    <col min="27" max="31" style="2991" width="9.140625"/>
  </cols>
  <sheetData>
    <row s="2683" customFormat="1" customHeight="1" ht="11.25" hidden="1">
      <c r="A1" s="994"/>
      <c r="C1" s="1676"/>
      <c r="D1" s="543"/>
      <c r="H1" s="1168">
        <v>4</v>
      </c>
      <c r="I1" s="1168">
        <v>4</v>
      </c>
      <c r="L1" s="1676"/>
      <c r="M1" s="1676"/>
      <c r="R1" s="1676"/>
    </row>
    <row s="2683" customFormat="1" customHeight="1" ht="22.5" hidden="1">
      <c r="A2" s="994"/>
      <c r="C2" s="1676"/>
      <c r="D2" s="544"/>
      <c r="E2" s="1698"/>
      <c r="F2" s="546"/>
      <c r="G2" s="1697" t="s">
        <v>591</v>
      </c>
      <c r="H2" s="547"/>
      <c r="I2" s="547"/>
      <c r="J2" s="548" t="s">
        <v>594</v>
      </c>
      <c r="K2" s="549"/>
      <c r="L2" s="1676"/>
      <c r="M2" s="1676"/>
      <c r="R2" s="1676"/>
      <c r="U2" s="550"/>
      <c r="AA2" s="1672"/>
      <c r="AB2" s="1672"/>
      <c r="AC2" s="1672"/>
      <c r="AD2" s="1672"/>
      <c r="AE2" s="1672"/>
    </row>
    <row customHeight="1" ht="11.25" hidden="1"/>
    <row s="2991"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728</v>
      </c>
      <c r="F6" s="2140"/>
      <c r="G6" s="2140"/>
      <c r="H6" s="2140"/>
      <c r="I6" s="2140"/>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2691" customFormat="1" customHeight="1" ht="0.75">
      <c r="A9" s="1175"/>
      <c r="D9" s="1682"/>
      <c r="H9" s="895"/>
      <c r="I9" s="895" t="s">
        <v>134</v>
      </c>
    </row>
    <row customHeight="1" ht="11.25">
      <c r="E10" s="717"/>
      <c r="F10" s="2213" t="s">
        <v>124</v>
      </c>
      <c r="G10" s="2214"/>
      <c r="H10" s="1699" t="str">
        <f>IF(H9="","",INDEX(DIFFERENTIATION_UNMERGE_VD,MATCH(H9,DIFFERENTIATION_ID_DIFF,0)))</f>
        <v/>
      </c>
      <c r="I10" s="1699">
        <f>IF(I9="","",INDEX(DIFFERENTIATION_UNMERGE_VD,MATCH(I9,DIFFERENTIATION_ID_DIFF,0)))</f>
        <v>0</v>
      </c>
      <c r="J10" s="1971"/>
    </row>
    <row customHeight="1" ht="11.25">
      <c r="E11" s="717"/>
      <c r="F11" s="2213" t="s">
        <v>603</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604</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345</v>
      </c>
      <c r="F13" s="2216"/>
      <c r="G13" s="2216"/>
      <c r="H13" s="1696"/>
      <c r="I13" s="1696"/>
      <c r="J13" s="1971"/>
    </row>
    <row customHeight="1" ht="22.5">
      <c r="E14" s="1697" t="s">
        <v>87</v>
      </c>
      <c r="F14" s="1700" t="s">
        <v>347</v>
      </c>
      <c r="G14" s="1700" t="s">
        <v>605</v>
      </c>
      <c r="H14" s="1700" t="s">
        <v>348</v>
      </c>
      <c r="I14" s="1700" t="s">
        <v>348</v>
      </c>
      <c r="J14" s="1971"/>
    </row>
    <row customHeight="1" ht="18.75">
      <c r="D15" s="1678"/>
      <c r="E15" s="1670" t="s">
        <v>128</v>
      </c>
      <c r="F15" s="713" t="s">
        <v>729</v>
      </c>
      <c r="G15" s="1697" t="s">
        <v>591</v>
      </c>
      <c r="H15" s="563"/>
      <c r="I15" s="563"/>
      <c r="J15" s="277" t="s">
        <v>730</v>
      </c>
      <c r="K15" s="549" t="s">
        <v>658</v>
      </c>
    </row>
    <row customHeight="1" ht="22.5">
      <c r="D16" s="1678"/>
      <c r="E16" s="1670" t="s">
        <v>102</v>
      </c>
      <c r="F16" s="1705" t="s">
        <v>731</v>
      </c>
      <c r="G16" s="1697" t="s">
        <v>591</v>
      </c>
      <c r="H16" s="564">
        <f>SUM(H17,H20:H27)</f>
        <v>0</v>
      </c>
      <c r="I16" s="564">
        <f>SUM(I17,I20:I27)</f>
        <v>0</v>
      </c>
      <c r="J16" s="277" t="s">
        <v>732</v>
      </c>
      <c r="K16" s="549" t="s">
        <v>658</v>
      </c>
    </row>
    <row customHeight="1" ht="33.75">
      <c r="D17" s="1678"/>
      <c r="E17" s="1704" t="s">
        <v>661</v>
      </c>
      <c r="F17" s="1707" t="s">
        <v>733</v>
      </c>
      <c r="G17" s="1694" t="s">
        <v>591</v>
      </c>
      <c r="H17" s="563"/>
      <c r="I17" s="563"/>
      <c r="J17" s="277" t="s">
        <v>734</v>
      </c>
      <c r="K17" s="549"/>
    </row>
    <row customHeight="1" ht="18.75">
      <c r="D18" s="1678"/>
      <c r="E18" s="1704" t="s">
        <v>664</v>
      </c>
      <c r="F18" s="1708" t="s">
        <v>735</v>
      </c>
      <c r="G18" s="1694" t="s">
        <v>591</v>
      </c>
      <c r="H18" s="563"/>
      <c r="I18" s="563"/>
      <c r="J18" s="277"/>
      <c r="K18" s="549"/>
    </row>
    <row customHeight="1" ht="22.5">
      <c r="D19" s="1678"/>
      <c r="E19" s="1704" t="s">
        <v>667</v>
      </c>
      <c r="F19" s="1708" t="s">
        <v>736</v>
      </c>
      <c r="G19" s="1694" t="s">
        <v>591</v>
      </c>
      <c r="H19" s="563"/>
      <c r="I19" s="563"/>
      <c r="J19" s="277"/>
      <c r="K19" s="549"/>
    </row>
    <row customHeight="1" ht="33.75">
      <c r="D20" s="1678"/>
      <c r="E20" s="1704" t="s">
        <v>352</v>
      </c>
      <c r="F20" s="1707" t="s">
        <v>737</v>
      </c>
      <c r="G20" s="1694" t="s">
        <v>591</v>
      </c>
      <c r="H20" s="563"/>
      <c r="I20" s="563"/>
      <c r="J20" s="277"/>
      <c r="K20" s="549"/>
    </row>
    <row customHeight="1" ht="33.75">
      <c r="D21" s="1678"/>
      <c r="E21" s="1704" t="s">
        <v>355</v>
      </c>
      <c r="F21" s="1707" t="s">
        <v>738</v>
      </c>
      <c r="G21" s="1694" t="s">
        <v>591</v>
      </c>
      <c r="H21" s="563"/>
      <c r="I21" s="563"/>
      <c r="J21" s="277"/>
      <c r="K21" s="549"/>
    </row>
    <row customHeight="1" ht="56.25">
      <c r="D22" s="1678"/>
      <c r="E22" s="1704" t="s">
        <v>681</v>
      </c>
      <c r="F22" s="1707" t="s">
        <v>739</v>
      </c>
      <c r="G22" s="1694" t="s">
        <v>591</v>
      </c>
      <c r="H22" s="563"/>
      <c r="I22" s="563"/>
      <c r="J22" s="277"/>
      <c r="K22" s="549"/>
    </row>
    <row customHeight="1" ht="33.75">
      <c r="D23" s="1678"/>
      <c r="E23" s="1704" t="s">
        <v>688</v>
      </c>
      <c r="F23" s="1707" t="s">
        <v>740</v>
      </c>
      <c r="G23" s="1694" t="s">
        <v>591</v>
      </c>
      <c r="H23" s="563"/>
      <c r="I23" s="563"/>
      <c r="J23" s="277"/>
      <c r="K23" s="549"/>
    </row>
    <row customHeight="1" ht="33.75">
      <c r="D24" s="1678"/>
      <c r="E24" s="1704" t="s">
        <v>690</v>
      </c>
      <c r="F24" s="1707" t="s">
        <v>741</v>
      </c>
      <c r="G24" s="1694" t="s">
        <v>591</v>
      </c>
      <c r="H24" s="563"/>
      <c r="I24" s="563"/>
      <c r="J24" s="277"/>
      <c r="K24" s="549"/>
    </row>
    <row customHeight="1" ht="22.5">
      <c r="D25" s="1678"/>
      <c r="E25" s="1704" t="s">
        <v>692</v>
      </c>
      <c r="F25" s="1707" t="s">
        <v>742</v>
      </c>
      <c r="G25" s="1694" t="s">
        <v>591</v>
      </c>
      <c r="H25" s="563"/>
      <c r="I25" s="563"/>
      <c r="J25" s="277"/>
      <c r="K25" s="549"/>
    </row>
    <row customHeight="1" ht="67.5">
      <c r="D26" s="1678"/>
      <c r="E26" s="1704" t="s">
        <v>694</v>
      </c>
      <c r="F26" s="1707" t="s">
        <v>743</v>
      </c>
      <c r="G26" s="1694" t="s">
        <v>591</v>
      </c>
      <c r="H26" s="563"/>
      <c r="I26" s="563"/>
      <c r="J26" s="277"/>
      <c r="K26" s="549"/>
    </row>
    <row s="2683" customFormat="1" customHeight="1" ht="22.5">
      <c r="A27" s="994"/>
      <c r="C27" s="1676"/>
      <c r="D27" s="1678"/>
      <c r="E27" s="1669" t="s">
        <v>698</v>
      </c>
      <c r="F27" s="1668" t="s">
        <v>744</v>
      </c>
      <c r="G27" s="1695" t="s">
        <v>591</v>
      </c>
      <c r="H27" s="585">
        <f>SUM(H28:H29)</f>
        <v>0</v>
      </c>
      <c r="I27" s="585">
        <f>SUM(I28:I29)</f>
        <v>0</v>
      </c>
      <c r="J27" s="277" t="s">
        <v>696</v>
      </c>
      <c r="K27" s="549"/>
      <c r="L27" s="1676"/>
      <c r="M27" s="1676"/>
      <c r="R27" s="1676"/>
      <c r="U27" s="550"/>
      <c r="AA27" s="1672"/>
      <c r="AB27" s="1672"/>
      <c r="AC27" s="1672"/>
      <c r="AD27" s="1672"/>
      <c r="AE27" s="1672"/>
    </row>
    <row s="2691" customFormat="1" customHeight="1" ht="0.75">
      <c r="A28" s="1175"/>
      <c r="D28" s="554"/>
      <c r="E28" s="808" t="str">
        <f>E27&amp;".0"</f>
        <v>2.9.0</v>
      </c>
      <c r="F28" s="998"/>
      <c r="G28" s="557"/>
      <c r="H28" s="999"/>
      <c r="I28" s="999"/>
      <c r="J28" s="1000"/>
    </row>
    <row s="2683" customFormat="1" customHeight="1" ht="18.75">
      <c r="A29" s="994"/>
      <c r="C29" s="1676"/>
      <c r="D29" s="1673"/>
      <c r="E29" s="576"/>
      <c r="F29" s="1706" t="s">
        <v>616</v>
      </c>
      <c r="G29" s="578"/>
      <c r="H29" s="579"/>
      <c r="I29" s="579"/>
      <c r="J29" s="289" t="s">
        <v>697</v>
      </c>
      <c r="K29" s="549"/>
      <c r="L29" s="1676"/>
      <c r="M29" s="1676"/>
      <c r="R29" s="1676"/>
      <c r="U29" s="550"/>
      <c r="AA29" s="1672"/>
      <c r="AB29" s="1672"/>
      <c r="AC29" s="1672"/>
      <c r="AD29" s="1672"/>
      <c r="AE29" s="1672"/>
    </row>
    <row s="2683" customFormat="1" customHeight="1" ht="22.5">
      <c r="A30" s="994"/>
      <c r="C30" s="1676"/>
      <c r="D30" s="1678"/>
      <c r="E30" s="1704" t="s">
        <v>89</v>
      </c>
      <c r="F30" s="1701" t="s">
        <v>745</v>
      </c>
      <c r="G30" s="1694" t="s">
        <v>591</v>
      </c>
      <c r="H30" s="563"/>
      <c r="I30" s="563"/>
      <c r="J30" s="277"/>
      <c r="K30" s="549"/>
      <c r="L30" s="1676"/>
      <c r="M30" s="1676"/>
      <c r="R30" s="1676"/>
      <c r="U30" s="550"/>
      <c r="AA30" s="1672"/>
      <c r="AB30" s="1672"/>
      <c r="AC30" s="1672"/>
      <c r="AD30" s="1672"/>
      <c r="AE30" s="1672"/>
    </row>
    <row s="2683" customFormat="1" customHeight="1" ht="33.75">
      <c r="A31" s="994"/>
      <c r="C31" s="1676"/>
      <c r="D31" s="581"/>
      <c r="E31" s="1704" t="s">
        <v>90</v>
      </c>
      <c r="F31" s="1701" t="s">
        <v>746</v>
      </c>
      <c r="G31" s="1694" t="s">
        <v>591</v>
      </c>
      <c r="H31" s="563"/>
      <c r="I31" s="563"/>
      <c r="J31" s="277" t="s">
        <v>747</v>
      </c>
      <c r="K31" s="549"/>
      <c r="L31" s="1676"/>
      <c r="M31" s="1676"/>
      <c r="R31" s="1676"/>
      <c r="U31" s="550"/>
      <c r="AA31" s="1672"/>
      <c r="AB31" s="1672"/>
      <c r="AC31" s="1672"/>
      <c r="AD31" s="1672"/>
      <c r="AE31" s="1672"/>
    </row>
    <row s="2683" customFormat="1" customHeight="1" ht="22.5">
      <c r="A32" s="994"/>
      <c r="C32" s="1676"/>
      <c r="D32" s="1678"/>
      <c r="E32" s="1704" t="s">
        <v>706</v>
      </c>
      <c r="F32" s="696" t="s">
        <v>710</v>
      </c>
      <c r="G32" s="1694" t="s">
        <v>591</v>
      </c>
      <c r="H32" s="563"/>
      <c r="I32" s="563"/>
      <c r="J32" s="277" t="s">
        <v>748</v>
      </c>
      <c r="K32" s="549"/>
      <c r="L32" s="1676"/>
      <c r="M32" s="1676"/>
      <c r="R32" s="1676"/>
      <c r="U32" s="550"/>
      <c r="AA32" s="1672"/>
      <c r="AB32" s="1672"/>
      <c r="AC32" s="1672"/>
      <c r="AD32" s="1672"/>
      <c r="AE32" s="1672"/>
    </row>
    <row s="2683" customFormat="1" customHeight="1" ht="22.5">
      <c r="A33" s="994"/>
      <c r="C33" s="1676"/>
      <c r="D33" s="1678"/>
      <c r="E33" s="1704" t="s">
        <v>749</v>
      </c>
      <c r="F33" s="696" t="s">
        <v>750</v>
      </c>
      <c r="G33" s="1694" t="s">
        <v>591</v>
      </c>
      <c r="H33" s="563"/>
      <c r="I33" s="563"/>
      <c r="J33" s="277" t="s">
        <v>751</v>
      </c>
      <c r="K33" s="549"/>
      <c r="L33" s="1676"/>
      <c r="M33" s="1676"/>
      <c r="R33" s="1676"/>
      <c r="U33" s="550"/>
      <c r="AA33" s="1672"/>
      <c r="AB33" s="1672"/>
      <c r="AC33" s="1672"/>
      <c r="AD33" s="1672"/>
      <c r="AE33" s="1672"/>
    </row>
    <row s="2683" customFormat="1" customHeight="1" ht="22.5">
      <c r="A34" s="994"/>
      <c r="C34" s="1676"/>
      <c r="D34" s="1678"/>
      <c r="E34" s="1704" t="s">
        <v>752</v>
      </c>
      <c r="F34" s="696" t="s">
        <v>716</v>
      </c>
      <c r="G34" s="1694" t="s">
        <v>591</v>
      </c>
      <c r="H34" s="563"/>
      <c r="I34" s="563"/>
      <c r="J34" s="277" t="s">
        <v>753</v>
      </c>
      <c r="K34" s="549"/>
      <c r="L34" s="1676"/>
      <c r="M34" s="1676"/>
      <c r="R34" s="1676"/>
      <c r="U34" s="550"/>
      <c r="AA34" s="1672"/>
      <c r="AB34" s="1672"/>
      <c r="AC34" s="1672"/>
      <c r="AD34" s="1672"/>
      <c r="AE34" s="1672"/>
    </row>
    <row s="2683" customFormat="1" customHeight="1" ht="33.75">
      <c r="A35" s="994"/>
      <c r="C35" s="1676" t="s">
        <v>627</v>
      </c>
      <c r="D35" s="1678"/>
      <c r="E35" s="1704" t="s">
        <v>116</v>
      </c>
      <c r="F35" s="1701" t="s">
        <v>718</v>
      </c>
      <c r="G35" s="1697" t="s">
        <v>351</v>
      </c>
      <c r="H35" s="407"/>
      <c r="I35" s="407"/>
      <c r="J35" s="277" t="s">
        <v>754</v>
      </c>
      <c r="K35" s="549"/>
      <c r="L35" s="1676"/>
      <c r="M35" s="1676"/>
      <c r="R35" s="1676"/>
      <c r="U35" s="550"/>
      <c r="AA35" s="1672"/>
      <c r="AB35" s="1672"/>
      <c r="AC35" s="1672"/>
      <c r="AD35" s="1672"/>
      <c r="AE35" s="1672"/>
    </row>
    <row s="2683" customFormat="1" customHeight="1" ht="22.5">
      <c r="A36" s="994"/>
      <c r="C36" s="1676"/>
      <c r="D36" s="1678"/>
      <c r="E36" s="1704" t="s">
        <v>91</v>
      </c>
      <c r="F36" s="1701" t="s">
        <v>755</v>
      </c>
      <c r="G36" s="1694" t="s">
        <v>722</v>
      </c>
      <c r="H36" s="551"/>
      <c r="I36" s="551"/>
      <c r="J36" s="277" t="s">
        <v>723</v>
      </c>
      <c r="K36" s="549"/>
      <c r="L36" s="1676"/>
      <c r="M36" s="1676"/>
      <c r="R36" s="1676"/>
      <c r="U36" s="550"/>
      <c r="AA36" s="1672"/>
      <c r="AB36" s="1672"/>
      <c r="AC36" s="1672"/>
      <c r="AD36" s="1672"/>
      <c r="AE36" s="1672"/>
    </row>
    <row s="2683" customFormat="1" customHeight="1" ht="22.5">
      <c r="A37" s="994"/>
      <c r="C37" s="1676"/>
      <c r="D37" s="1678"/>
      <c r="E37" s="1704" t="s">
        <v>92</v>
      </c>
      <c r="F37" s="1701" t="s">
        <v>756</v>
      </c>
      <c r="G37" s="1694" t="s">
        <v>725</v>
      </c>
      <c r="H37" s="551"/>
      <c r="I37" s="551"/>
      <c r="J37" s="277" t="s">
        <v>726</v>
      </c>
      <c r="K37" s="549"/>
      <c r="L37" s="1676"/>
      <c r="M37" s="1676"/>
      <c r="R37" s="1676"/>
      <c r="U37" s="550"/>
      <c r="AA37" s="1672"/>
      <c r="AB37" s="1672"/>
      <c r="AC37" s="1672"/>
      <c r="AD37" s="1672"/>
      <c r="AE37" s="1672"/>
    </row>
    <row customHeight="1" ht="11.25">
      <c r="D38" s="1678"/>
    </row>
    <row customHeight="1" ht="26.25">
      <c r="D39" s="1678"/>
      <c r="E39" s="1273" t="s">
        <v>757</v>
      </c>
      <c r="F39" s="2106" t="s">
        <v>758</v>
      </c>
      <c r="G39" s="2106"/>
      <c r="H39" s="2106"/>
      <c r="I39" s="2106"/>
      <c r="J39" s="2106"/>
    </row>
    <row s="6220" customFormat="1" customHeight="1" ht="37.5">
      <c r="A40" s="994"/>
      <c r="B40" s="1676"/>
      <c r="C40" s="1676"/>
      <c r="D40" s="347"/>
      <c r="F40" s="2106" t="s">
        <v>759</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6220"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6220"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6220"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6220"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6220"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6220"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6220"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6220"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6220"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6220"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6220"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6220"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6220"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6220"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6220"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6220"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6220"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6220"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6220"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6220"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6220"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6220"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6220"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6220"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6220"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6220"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6220"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6220"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6220"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6220"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6220"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6220"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6220"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6220"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6220"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6220"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6220"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6220"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6220"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6220"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6220"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6220"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6220"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6220"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6220"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6220"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6220"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6220"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6220"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6220"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6220"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6220"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6220"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6220"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6220"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6220"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6220"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6220"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6220"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6220"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6220"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6220"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6220"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6220"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6220"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6220"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6220"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6220"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6220"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6220"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6220"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6220"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6220"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6220"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6220"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6220"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6220"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6220"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6220"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6220"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6220"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6220"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6220"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6220"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6220"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6220"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6220"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6220"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6220"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6220"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6220"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6220"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6220"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622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622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6220"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622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622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622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622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622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622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622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622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622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622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622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622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622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622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622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622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622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622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622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622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622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622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622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622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622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622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622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622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622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622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622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622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622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622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622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622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622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622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622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622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622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622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622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622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622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622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622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622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622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622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622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622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622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622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622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622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622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622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622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73F98-DF18-4D05-ED51-FF77583F9D54}"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395" width="9.140625" hidden="1" customWidth="1"/>
    <col min="2" max="2" style="2612" width="3.57421875" hidden="1" customWidth="1"/>
    <col min="3" max="3" style="3193" width="3.7109375" customWidth="1"/>
    <col min="4" max="4" style="3193" width="7.7109375" customWidth="1"/>
    <col min="5" max="5" style="3193" width="69.8515625" customWidth="1"/>
    <col min="6" max="6" style="3193" width="11.140625" customWidth="1"/>
    <col min="7" max="8" style="3193" width="44.00390625" hidden="1" customWidth="1"/>
    <col min="9" max="10" style="2624" width="44.00390625" customWidth="1"/>
    <col min="11" max="11" style="3193" width="74.00390625" customWidth="1"/>
    <col min="12" max="12" style="3193" width="3.7109375" customWidth="1"/>
    <col min="13" max="23" style="3193"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АО "Мурманэнергосбыт"</v>
      </c>
      <c r="E4" s="2080"/>
      <c r="F4" s="2081"/>
    </row>
    <row customHeight="1" ht="11.25">
      <c r="C5" s="515"/>
      <c r="D5" s="594"/>
      <c r="E5" s="594"/>
      <c r="F5" s="594"/>
      <c r="G5" s="594"/>
      <c r="H5" s="758"/>
      <c r="I5" s="594"/>
      <c r="J5" s="758"/>
      <c r="K5" s="594"/>
    </row>
    <row customHeight="1" ht="0.75">
      <c r="C6" s="515"/>
      <c r="D6" s="515"/>
      <c r="E6" s="528"/>
      <c r="F6" s="620"/>
      <c r="G6" s="1029"/>
      <c r="H6" s="1029"/>
      <c r="I6" s="1029" t="s">
        <v>134</v>
      </c>
      <c r="J6" s="1029"/>
    </row>
    <row customHeight="1" ht="11.25">
      <c r="D7" s="717"/>
      <c r="E7" s="2213" t="s">
        <v>124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603</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604</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345</v>
      </c>
      <c r="E10" s="1956"/>
      <c r="F10" s="1956"/>
      <c r="G10" s="1956"/>
      <c r="H10" s="1956"/>
      <c r="I10" s="1956"/>
      <c r="J10" s="1957"/>
      <c r="K10" s="2036"/>
      <c r="L10" s="515"/>
    </row>
    <row s="2628" customFormat="1" customHeight="1" ht="22.5">
      <c r="A11" s="2233"/>
      <c r="B11" s="2233"/>
      <c r="C11" s="663"/>
      <c r="D11" s="709" t="s">
        <v>87</v>
      </c>
      <c r="E11" s="711" t="s">
        <v>760</v>
      </c>
      <c r="F11" s="711" t="s">
        <v>605</v>
      </c>
      <c r="G11" s="471" t="s">
        <v>348</v>
      </c>
      <c r="H11" s="471" t="s">
        <v>437</v>
      </c>
      <c r="I11" s="813" t="s">
        <v>348</v>
      </c>
      <c r="J11" s="814" t="s">
        <v>437</v>
      </c>
      <c r="K11" s="2090"/>
      <c r="L11" s="664"/>
    </row>
    <row s="2612" customFormat="1" customHeight="1" ht="10.5">
      <c r="A12" s="959"/>
      <c r="D12" s="1032" t="s">
        <v>128</v>
      </c>
      <c r="E12" s="1032" t="s">
        <v>102</v>
      </c>
      <c r="F12" s="1032" t="s">
        <v>89</v>
      </c>
      <c r="G12" s="1033" t="str">
        <f>G1&amp;".1"</f>
        <v>4.1</v>
      </c>
      <c r="H12" s="1033" t="str">
        <f>G1&amp;".2"</f>
        <v>4.2</v>
      </c>
      <c r="I12" s="1033" t="str">
        <f>I1&amp;".1"</f>
        <v>4.1</v>
      </c>
      <c r="J12" s="1033" t="str">
        <f>I1&amp;".2"</f>
        <v>4.2</v>
      </c>
      <c r="K12" s="1033"/>
    </row>
    <row customHeight="1" ht="22.5">
      <c r="A13" s="2232" t="s">
        <v>761</v>
      </c>
      <c r="D13" s="960" t="s">
        <v>128</v>
      </c>
      <c r="E13" s="267" t="s">
        <v>762</v>
      </c>
      <c r="F13" s="666" t="s">
        <v>763</v>
      </c>
      <c r="G13" s="563"/>
      <c r="H13" s="667"/>
      <c r="I13" s="563"/>
      <c r="J13" s="667"/>
      <c r="K13" s="277" t="s">
        <v>764</v>
      </c>
      <c r="L13" s="726"/>
    </row>
    <row customHeight="1" ht="22.5">
      <c r="A14" s="2232"/>
      <c r="D14" s="545" t="s">
        <v>102</v>
      </c>
      <c r="E14" s="267" t="s">
        <v>765</v>
      </c>
      <c r="F14" s="666" t="s">
        <v>766</v>
      </c>
      <c r="G14" s="563"/>
      <c r="H14" s="668"/>
      <c r="I14" s="563"/>
      <c r="J14" s="668"/>
      <c r="K14" s="277" t="s">
        <v>767</v>
      </c>
      <c r="L14" s="726"/>
    </row>
    <row s="2624" customFormat="1" customHeight="1" ht="78.75">
      <c r="A15" s="2232"/>
      <c r="B15" s="517"/>
      <c r="D15" s="960" t="s">
        <v>89</v>
      </c>
      <c r="E15" s="713" t="s">
        <v>768</v>
      </c>
      <c r="F15" s="957" t="s">
        <v>351</v>
      </c>
      <c r="G15" s="957" t="s">
        <v>351</v>
      </c>
      <c r="H15" s="92"/>
      <c r="I15" s="957" t="s">
        <v>351</v>
      </c>
      <c r="J15" s="92"/>
      <c r="K15" s="277" t="s">
        <v>769</v>
      </c>
      <c r="L15" s="726"/>
    </row>
    <row s="2624" customFormat="1" customHeight="1" ht="22.5">
      <c r="A16" s="2232"/>
      <c r="B16" s="517"/>
      <c r="D16" s="960" t="s">
        <v>371</v>
      </c>
      <c r="E16" s="961" t="s">
        <v>770</v>
      </c>
      <c r="F16" s="957" t="s">
        <v>771</v>
      </c>
      <c r="G16" s="823"/>
      <c r="H16" s="92"/>
      <c r="I16" s="823"/>
      <c r="J16" s="92"/>
      <c r="K16" s="277"/>
      <c r="L16" s="726"/>
    </row>
    <row s="2624" customFormat="1" customHeight="1" ht="22.5">
      <c r="A17" s="2232"/>
      <c r="B17" s="517"/>
      <c r="D17" s="960" t="s">
        <v>379</v>
      </c>
      <c r="E17" s="961" t="s">
        <v>772</v>
      </c>
      <c r="F17" s="957" t="s">
        <v>773</v>
      </c>
      <c r="G17" s="823"/>
      <c r="H17" s="92"/>
      <c r="I17" s="823"/>
      <c r="J17" s="92"/>
      <c r="K17" s="277"/>
      <c r="L17" s="726"/>
    </row>
    <row s="2624" customFormat="1" customHeight="1" ht="33.75">
      <c r="A18" s="2232"/>
      <c r="B18" s="517"/>
      <c r="D18" s="960" t="s">
        <v>381</v>
      </c>
      <c r="E18" s="961" t="s">
        <v>774</v>
      </c>
      <c r="F18" s="957" t="s">
        <v>610</v>
      </c>
      <c r="G18" s="686"/>
      <c r="H18" s="92"/>
      <c r="I18" s="686"/>
      <c r="J18" s="92"/>
      <c r="K18" s="277"/>
      <c r="L18" s="726"/>
    </row>
    <row customHeight="1" ht="101.25">
      <c r="A19" s="2232"/>
      <c r="D19" s="960" t="s">
        <v>90</v>
      </c>
      <c r="E19" s="267" t="s">
        <v>775</v>
      </c>
      <c r="F19" s="666" t="s">
        <v>585</v>
      </c>
      <c r="G19" s="669"/>
      <c r="H19" s="668"/>
      <c r="I19" s="962"/>
      <c r="J19" s="668"/>
      <c r="K19" s="277" t="s">
        <v>776</v>
      </c>
      <c r="L19" s="726"/>
    </row>
    <row s="2624" customFormat="1" customHeight="1" ht="18.75">
      <c r="A20" s="2232"/>
      <c r="C20" s="963"/>
      <c r="D20" s="960" t="s">
        <v>706</v>
      </c>
      <c r="E20" s="961" t="s">
        <v>777</v>
      </c>
      <c r="F20" s="957" t="s">
        <v>351</v>
      </c>
      <c r="G20" s="957" t="s">
        <v>351</v>
      </c>
      <c r="H20" s="956" t="s">
        <v>351</v>
      </c>
      <c r="I20" s="957" t="s">
        <v>351</v>
      </c>
      <c r="J20" s="956" t="s">
        <v>351</v>
      </c>
      <c r="K20" s="955"/>
      <c r="L20" s="726"/>
      <c r="W20" s="681"/>
    </row>
    <row s="2624" customFormat="1" customHeight="1" ht="33.75">
      <c r="A21" s="2232"/>
      <c r="C21" s="963"/>
      <c r="D21" s="960" t="s">
        <v>709</v>
      </c>
      <c r="E21" s="582" t="s">
        <v>778</v>
      </c>
      <c r="F21" s="957" t="s">
        <v>779</v>
      </c>
      <c r="G21" s="949"/>
      <c r="H21" s="92"/>
      <c r="I21" s="949"/>
      <c r="J21" s="92"/>
      <c r="K21" s="955"/>
      <c r="L21" s="726"/>
      <c r="W21" s="681"/>
    </row>
    <row s="2624" customFormat="1" customHeight="1" ht="33.75">
      <c r="A22" s="2232"/>
      <c r="C22" s="963"/>
      <c r="D22" s="960" t="s">
        <v>712</v>
      </c>
      <c r="E22" s="582" t="s">
        <v>780</v>
      </c>
      <c r="F22" s="957" t="s">
        <v>781</v>
      </c>
      <c r="G22" s="949"/>
      <c r="H22" s="92"/>
      <c r="I22" s="949"/>
      <c r="J22" s="92"/>
      <c r="K22" s="955"/>
      <c r="L22" s="726"/>
      <c r="W22" s="681"/>
    </row>
    <row s="2624" customFormat="1" customHeight="1" ht="22.5">
      <c r="A23" s="2232"/>
      <c r="C23" s="963"/>
      <c r="D23" s="960" t="s">
        <v>749</v>
      </c>
      <c r="E23" s="961" t="s">
        <v>782</v>
      </c>
      <c r="F23" s="957" t="s">
        <v>351</v>
      </c>
      <c r="G23" s="957" t="s">
        <v>351</v>
      </c>
      <c r="H23" s="956" t="s">
        <v>351</v>
      </c>
      <c r="I23" s="957" t="s">
        <v>351</v>
      </c>
      <c r="J23" s="956" t="s">
        <v>351</v>
      </c>
      <c r="K23" s="955"/>
      <c r="L23" s="726"/>
      <c r="W23" s="681"/>
    </row>
    <row s="2624" customFormat="1" customHeight="1" ht="22.5">
      <c r="A24" s="2232"/>
      <c r="C24" s="963"/>
      <c r="D24" s="960" t="s">
        <v>783</v>
      </c>
      <c r="E24" s="582" t="s">
        <v>784</v>
      </c>
      <c r="F24" s="957" t="s">
        <v>785</v>
      </c>
      <c r="G24" s="949"/>
      <c r="H24" s="692"/>
      <c r="I24" s="949"/>
      <c r="J24" s="692"/>
      <c r="K24" s="955"/>
      <c r="L24" s="726"/>
      <c r="W24" s="681"/>
    </row>
    <row s="2624" customFormat="1" customHeight="1" ht="22.5">
      <c r="A25" s="2232"/>
      <c r="C25" s="963"/>
      <c r="D25" s="960" t="s">
        <v>786</v>
      </c>
      <c r="E25" s="582" t="s">
        <v>787</v>
      </c>
      <c r="F25" s="957" t="s">
        <v>351</v>
      </c>
      <c r="G25" s="957" t="s">
        <v>351</v>
      </c>
      <c r="H25" s="956" t="s">
        <v>351</v>
      </c>
      <c r="I25" s="957" t="s">
        <v>351</v>
      </c>
      <c r="J25" s="956" t="s">
        <v>351</v>
      </c>
      <c r="K25" s="955"/>
      <c r="L25" s="726"/>
      <c r="W25" s="681"/>
    </row>
    <row s="2624" customFormat="1" customHeight="1" ht="18.75">
      <c r="A26" s="2232"/>
      <c r="C26" s="963"/>
      <c r="D26" s="960" t="s">
        <v>788</v>
      </c>
      <c r="E26" s="559" t="s">
        <v>789</v>
      </c>
      <c r="F26" s="957" t="s">
        <v>790</v>
      </c>
      <c r="G26" s="686"/>
      <c r="H26" s="692"/>
      <c r="I26" s="686"/>
      <c r="J26" s="692"/>
      <c r="K26" s="955"/>
      <c r="L26" s="726"/>
      <c r="W26" s="681"/>
    </row>
    <row s="2624" customFormat="1" customHeight="1" ht="18.75">
      <c r="A27" s="2232"/>
      <c r="C27" s="963"/>
      <c r="D27" s="960" t="s">
        <v>791</v>
      </c>
      <c r="E27" s="559" t="s">
        <v>792</v>
      </c>
      <c r="F27" s="957" t="s">
        <v>793</v>
      </c>
      <c r="G27" s="686"/>
      <c r="H27" s="692"/>
      <c r="I27" s="686"/>
      <c r="J27" s="692"/>
      <c r="K27" s="955"/>
      <c r="L27" s="726"/>
      <c r="W27" s="681"/>
    </row>
    <row s="2624" customFormat="1" customHeight="1" ht="18.75">
      <c r="A28" s="2232"/>
      <c r="C28" s="963"/>
      <c r="D28" s="960" t="s">
        <v>794</v>
      </c>
      <c r="E28" s="582" t="s">
        <v>795</v>
      </c>
      <c r="F28" s="957" t="s">
        <v>351</v>
      </c>
      <c r="G28" s="957" t="s">
        <v>351</v>
      </c>
      <c r="H28" s="956" t="s">
        <v>351</v>
      </c>
      <c r="I28" s="957" t="s">
        <v>351</v>
      </c>
      <c r="J28" s="956" t="s">
        <v>351</v>
      </c>
      <c r="K28" s="955"/>
      <c r="L28" s="726"/>
      <c r="W28" s="681"/>
    </row>
    <row s="2624" customFormat="1" customHeight="1" ht="18.75">
      <c r="A29" s="2232"/>
      <c r="C29" s="963"/>
      <c r="D29" s="960" t="s">
        <v>796</v>
      </c>
      <c r="E29" s="559" t="s">
        <v>789</v>
      </c>
      <c r="F29" s="957" t="s">
        <v>797</v>
      </c>
      <c r="G29" s="686"/>
      <c r="H29" s="692"/>
      <c r="I29" s="686"/>
      <c r="J29" s="692"/>
      <c r="K29" s="955"/>
      <c r="L29" s="726"/>
      <c r="W29" s="681"/>
    </row>
    <row s="2624" customFormat="1" customHeight="1" ht="18.75">
      <c r="A30" s="2232"/>
      <c r="C30" s="963"/>
      <c r="D30" s="960" t="s">
        <v>798</v>
      </c>
      <c r="E30" s="559" t="s">
        <v>799</v>
      </c>
      <c r="F30" s="957" t="s">
        <v>800</v>
      </c>
      <c r="G30" s="686"/>
      <c r="H30" s="692"/>
      <c r="I30" s="686"/>
      <c r="J30" s="692"/>
      <c r="K30" s="955"/>
      <c r="L30" s="726"/>
      <c r="W30" s="681"/>
    </row>
    <row customHeight="1" ht="126.75">
      <c r="A31" s="2232"/>
      <c r="D31" s="960" t="s">
        <v>116</v>
      </c>
      <c r="E31" s="267" t="s">
        <v>801</v>
      </c>
      <c r="F31" s="666" t="s">
        <v>597</v>
      </c>
      <c r="G31" s="563"/>
      <c r="H31" s="668"/>
      <c r="I31" s="563"/>
      <c r="J31" s="668"/>
      <c r="K31" s="277" t="s">
        <v>802</v>
      </c>
      <c r="L31" s="726"/>
    </row>
    <row customHeight="1" ht="56.25">
      <c r="A32" s="2232"/>
      <c r="D32" s="960" t="s">
        <v>91</v>
      </c>
      <c r="E32" s="267" t="s">
        <v>803</v>
      </c>
      <c r="F32" s="545" t="s">
        <v>773</v>
      </c>
      <c r="G32" s="563"/>
      <c r="H32" s="668"/>
      <c r="I32" s="563"/>
      <c r="J32" s="668"/>
      <c r="K32" s="277" t="s">
        <v>804</v>
      </c>
      <c r="L32" s="726"/>
    </row>
    <row customHeight="1" ht="11.25">
      <c r="A33" s="2232"/>
      <c r="E33" s="670"/>
      <c r="F33" s="167"/>
      <c r="G33" s="167"/>
      <c r="H33" s="167"/>
      <c r="I33" s="167"/>
      <c r="J33" s="167"/>
      <c r="K33" s="167"/>
    </row>
    <row customHeight="1" ht="12.75">
      <c r="A34" s="2232"/>
      <c r="D34" s="49">
        <v>1</v>
      </c>
      <c r="E34" s="331" t="s">
        <v>805</v>
      </c>
    </row>
    <row customHeight="1" ht="11.25">
      <c r="A35" s="2232"/>
      <c r="D35" s="369"/>
      <c r="E35" s="331" t="s">
        <v>806</v>
      </c>
    </row>
    <row s="2628" customFormat="1" customHeight="1" ht="11.25">
      <c r="A36" s="1040"/>
      <c r="B36" s="524"/>
      <c r="D36" s="1041"/>
      <c r="E36" s="1042"/>
    </row>
    <row s="2624" customFormat="1" customHeight="1" ht="22.5" hidden="1">
      <c r="A37" s="2232" t="s">
        <v>807</v>
      </c>
      <c r="B37" s="517"/>
      <c r="D37" s="960">
        <v>1</v>
      </c>
      <c r="E37" s="713" t="s">
        <v>808</v>
      </c>
      <c r="F37" s="666" t="s">
        <v>763</v>
      </c>
      <c r="G37" s="563"/>
      <c r="H37" s="525"/>
      <c r="I37" s="563"/>
      <c r="J37" s="525"/>
      <c r="K37" s="277" t="s">
        <v>809</v>
      </c>
    </row>
    <row s="2624" customFormat="1" customHeight="1" ht="22.5" hidden="1">
      <c r="A38" s="2232"/>
      <c r="B38" s="517"/>
      <c r="D38" s="675" t="s">
        <v>102</v>
      </c>
      <c r="E38" s="1039" t="s">
        <v>810</v>
      </c>
      <c r="F38" s="1043" t="s">
        <v>585</v>
      </c>
      <c r="G38" s="1043" t="s">
        <v>585</v>
      </c>
      <c r="H38" s="1037"/>
      <c r="I38" s="1043" t="s">
        <v>585</v>
      </c>
      <c r="J38" s="1037"/>
      <c r="K38" s="1038"/>
    </row>
    <row s="2624" customFormat="1" customHeight="1" ht="33.75" hidden="1">
      <c r="A39" s="2232"/>
      <c r="B39" s="517"/>
      <c r="D39" s="671" t="s">
        <v>664</v>
      </c>
      <c r="E39" s="729" t="s">
        <v>811</v>
      </c>
      <c r="F39" s="666" t="s">
        <v>812</v>
      </c>
      <c r="G39" s="674"/>
      <c r="H39" s="1030"/>
      <c r="I39" s="674"/>
      <c r="J39" s="1030"/>
      <c r="K39" s="277" t="s">
        <v>813</v>
      </c>
    </row>
    <row s="2624" customFormat="1" customHeight="1" ht="33.75" hidden="1">
      <c r="A40" s="2232"/>
      <c r="B40" s="517"/>
      <c r="D40" s="671" t="s">
        <v>667</v>
      </c>
      <c r="E40" s="729" t="s">
        <v>814</v>
      </c>
      <c r="F40" s="1034" t="s">
        <v>815</v>
      </c>
      <c r="G40" s="747"/>
      <c r="H40" s="1030"/>
      <c r="I40" s="747"/>
      <c r="J40" s="1030"/>
      <c r="K40" s="277" t="s">
        <v>816</v>
      </c>
    </row>
    <row s="2624" customFormat="1" customHeight="1" ht="22.5" hidden="1">
      <c r="A41" s="2232"/>
      <c r="B41" s="517"/>
      <c r="D41" s="671" t="s">
        <v>89</v>
      </c>
      <c r="E41" s="728" t="s">
        <v>817</v>
      </c>
      <c r="F41" s="666" t="s">
        <v>585</v>
      </c>
      <c r="G41" s="666" t="s">
        <v>585</v>
      </c>
      <c r="H41" s="1031"/>
      <c r="I41" s="666" t="s">
        <v>585</v>
      </c>
      <c r="J41" s="1031"/>
      <c r="K41" s="290"/>
    </row>
    <row s="2624" customFormat="1" customHeight="1" ht="45" hidden="1">
      <c r="A42" s="2232"/>
      <c r="B42" s="517"/>
      <c r="D42" s="671" t="s">
        <v>371</v>
      </c>
      <c r="E42" s="729" t="s">
        <v>818</v>
      </c>
      <c r="F42" s="666" t="s">
        <v>597</v>
      </c>
      <c r="G42" s="563"/>
      <c r="H42" s="1031"/>
      <c r="I42" s="563"/>
      <c r="J42" s="1031"/>
      <c r="K42" s="290" t="s">
        <v>819</v>
      </c>
    </row>
    <row s="2624" customFormat="1" customHeight="1" ht="45" hidden="1">
      <c r="A43" s="2232"/>
      <c r="B43" s="517"/>
      <c r="D43" s="671" t="s">
        <v>379</v>
      </c>
      <c r="E43" s="673" t="s">
        <v>820</v>
      </c>
      <c r="F43" s="1035" t="s">
        <v>597</v>
      </c>
      <c r="G43" s="748"/>
      <c r="H43" s="1030"/>
      <c r="I43" s="748"/>
      <c r="J43" s="1030"/>
      <c r="K43" s="290" t="s">
        <v>821</v>
      </c>
    </row>
    <row s="2624" customFormat="1" customHeight="1" ht="11.25" hidden="1">
      <c r="A44" s="2232"/>
      <c r="B44" s="517"/>
      <c r="D44" s="671" t="s">
        <v>90</v>
      </c>
      <c r="E44" s="672" t="s">
        <v>822</v>
      </c>
      <c r="F44" s="666" t="s">
        <v>812</v>
      </c>
      <c r="G44" s="674"/>
      <c r="H44" s="1030"/>
      <c r="I44" s="674"/>
      <c r="J44" s="1030"/>
      <c r="K44" s="277"/>
    </row>
    <row s="2624" customFormat="1" customHeight="1" ht="11.25" hidden="1">
      <c r="A45" s="2232"/>
      <c r="B45" s="517"/>
      <c r="D45" s="671" t="s">
        <v>706</v>
      </c>
      <c r="E45" s="673" t="s">
        <v>823</v>
      </c>
      <c r="F45" s="666" t="s">
        <v>812</v>
      </c>
      <c r="G45" s="674"/>
      <c r="H45" s="1030"/>
      <c r="I45" s="674"/>
      <c r="J45" s="1030"/>
      <c r="K45" s="277"/>
    </row>
    <row s="2624" customFormat="1" customHeight="1" ht="11.25" hidden="1">
      <c r="A46" s="2232"/>
      <c r="B46" s="517"/>
      <c r="D46" s="671" t="s">
        <v>749</v>
      </c>
      <c r="E46" s="673" t="s">
        <v>824</v>
      </c>
      <c r="F46" s="666" t="s">
        <v>812</v>
      </c>
      <c r="G46" s="674"/>
      <c r="H46" s="1030"/>
      <c r="I46" s="674"/>
      <c r="J46" s="1030"/>
      <c r="K46" s="277"/>
    </row>
    <row s="2624" customFormat="1" customHeight="1" ht="11.25" hidden="1">
      <c r="A47" s="2232"/>
      <c r="B47" s="517"/>
      <c r="D47" s="671" t="s">
        <v>752</v>
      </c>
      <c r="E47" s="673" t="s">
        <v>825</v>
      </c>
      <c r="F47" s="666" t="s">
        <v>812</v>
      </c>
      <c r="G47" s="674"/>
      <c r="H47" s="1030"/>
      <c r="I47" s="674"/>
      <c r="J47" s="1030"/>
      <c r="K47" s="277"/>
    </row>
    <row s="2624" customFormat="1" customHeight="1" ht="11.25" hidden="1">
      <c r="A48" s="2232"/>
      <c r="B48" s="517"/>
      <c r="D48" s="671" t="s">
        <v>826</v>
      </c>
      <c r="E48" s="677" t="s">
        <v>827</v>
      </c>
      <c r="F48" s="666" t="s">
        <v>812</v>
      </c>
      <c r="G48" s="674"/>
      <c r="H48" s="1030"/>
      <c r="I48" s="674"/>
      <c r="J48" s="1030"/>
      <c r="K48" s="277"/>
    </row>
    <row s="2624" customFormat="1" customHeight="1" ht="11.25" hidden="1">
      <c r="A49" s="2232"/>
      <c r="B49" s="517"/>
      <c r="D49" s="671" t="s">
        <v>828</v>
      </c>
      <c r="E49" s="677" t="s">
        <v>829</v>
      </c>
      <c r="F49" s="666" t="s">
        <v>812</v>
      </c>
      <c r="G49" s="674"/>
      <c r="H49" s="1030"/>
      <c r="I49" s="674"/>
      <c r="J49" s="1030"/>
      <c r="K49" s="277"/>
    </row>
    <row s="2624" customFormat="1" customHeight="1" ht="11.25" hidden="1">
      <c r="A50" s="2232"/>
      <c r="B50" s="517"/>
      <c r="D50" s="671" t="s">
        <v>830</v>
      </c>
      <c r="E50" s="673" t="s">
        <v>831</v>
      </c>
      <c r="F50" s="666" t="s">
        <v>812</v>
      </c>
      <c r="G50" s="674"/>
      <c r="H50" s="1030"/>
      <c r="I50" s="674"/>
      <c r="J50" s="1030"/>
      <c r="K50" s="277"/>
    </row>
    <row s="2624" customFormat="1" customHeight="1" ht="11.25" hidden="1">
      <c r="A51" s="2232"/>
      <c r="B51" s="517"/>
      <c r="D51" s="671" t="s">
        <v>832</v>
      </c>
      <c r="E51" s="673" t="s">
        <v>833</v>
      </c>
      <c r="F51" s="666" t="s">
        <v>812</v>
      </c>
      <c r="G51" s="674"/>
      <c r="H51" s="1030"/>
      <c r="I51" s="674"/>
      <c r="J51" s="1030"/>
      <c r="K51" s="277"/>
    </row>
    <row s="2624" customFormat="1" customHeight="1" ht="45" hidden="1">
      <c r="A52" s="2232"/>
      <c r="B52" s="517"/>
      <c r="D52" s="671" t="s">
        <v>116</v>
      </c>
      <c r="E52" s="672" t="s">
        <v>834</v>
      </c>
      <c r="F52" s="666" t="s">
        <v>812</v>
      </c>
      <c r="G52" s="674"/>
      <c r="H52" s="1030"/>
      <c r="I52" s="674"/>
      <c r="J52" s="1030"/>
      <c r="K52" s="277"/>
    </row>
    <row s="2624" customFormat="1" customHeight="1" ht="11.25" hidden="1">
      <c r="A53" s="2232"/>
      <c r="B53" s="517"/>
      <c r="D53" s="671" t="s">
        <v>360</v>
      </c>
      <c r="E53" s="673" t="s">
        <v>823</v>
      </c>
      <c r="F53" s="666" t="s">
        <v>812</v>
      </c>
      <c r="G53" s="674"/>
      <c r="H53" s="1030"/>
      <c r="I53" s="674"/>
      <c r="J53" s="1030"/>
      <c r="K53" s="277"/>
    </row>
    <row s="2624" customFormat="1" customHeight="1" ht="11.25" hidden="1">
      <c r="A54" s="2232"/>
      <c r="B54" s="517"/>
      <c r="D54" s="671" t="s">
        <v>362</v>
      </c>
      <c r="E54" s="673" t="s">
        <v>824</v>
      </c>
      <c r="F54" s="666" t="s">
        <v>812</v>
      </c>
      <c r="G54" s="674"/>
      <c r="H54" s="1030"/>
      <c r="I54" s="674"/>
      <c r="J54" s="1030"/>
      <c r="K54" s="277"/>
    </row>
    <row s="2624" customFormat="1" customHeight="1" ht="11.25" hidden="1">
      <c r="A55" s="2232"/>
      <c r="B55" s="517"/>
      <c r="D55" s="671" t="s">
        <v>365</v>
      </c>
      <c r="E55" s="673" t="s">
        <v>825</v>
      </c>
      <c r="F55" s="666" t="s">
        <v>812</v>
      </c>
      <c r="G55" s="674"/>
      <c r="H55" s="1030"/>
      <c r="I55" s="674"/>
      <c r="J55" s="1030"/>
      <c r="K55" s="277"/>
    </row>
    <row s="2624" customFormat="1" customHeight="1" ht="11.25" hidden="1">
      <c r="A56" s="2232"/>
      <c r="B56" s="517"/>
      <c r="D56" s="671" t="s">
        <v>835</v>
      </c>
      <c r="E56" s="677" t="s">
        <v>827</v>
      </c>
      <c r="F56" s="666" t="s">
        <v>812</v>
      </c>
      <c r="G56" s="674"/>
      <c r="H56" s="1030"/>
      <c r="I56" s="674"/>
      <c r="J56" s="1030"/>
      <c r="K56" s="277"/>
    </row>
    <row s="2624" customFormat="1" customHeight="1" ht="11.25" hidden="1">
      <c r="A57" s="2232"/>
      <c r="B57" s="517"/>
      <c r="D57" s="671" t="s">
        <v>836</v>
      </c>
      <c r="E57" s="677" t="s">
        <v>829</v>
      </c>
      <c r="F57" s="666" t="s">
        <v>812</v>
      </c>
      <c r="G57" s="674"/>
      <c r="H57" s="1030"/>
      <c r="I57" s="674"/>
      <c r="J57" s="1030"/>
      <c r="K57" s="277"/>
    </row>
    <row s="2624" customFormat="1" customHeight="1" ht="11.25" hidden="1">
      <c r="A58" s="2232"/>
      <c r="B58" s="517"/>
      <c r="D58" s="671" t="s">
        <v>367</v>
      </c>
      <c r="E58" s="673" t="s">
        <v>831</v>
      </c>
      <c r="F58" s="666" t="s">
        <v>812</v>
      </c>
      <c r="G58" s="674"/>
      <c r="H58" s="1030"/>
      <c r="I58" s="674"/>
      <c r="J58" s="1030"/>
      <c r="K58" s="277"/>
    </row>
    <row s="2624" customFormat="1" customHeight="1" ht="11.25" hidden="1">
      <c r="A59" s="2232"/>
      <c r="B59" s="517"/>
      <c r="D59" s="671" t="s">
        <v>837</v>
      </c>
      <c r="E59" s="673" t="s">
        <v>833</v>
      </c>
      <c r="F59" s="666" t="s">
        <v>812</v>
      </c>
      <c r="G59" s="674"/>
      <c r="H59" s="1030"/>
      <c r="I59" s="674"/>
      <c r="J59" s="1030"/>
      <c r="K59" s="277"/>
    </row>
    <row s="2624" customFormat="1" customHeight="1" ht="33.75" hidden="1">
      <c r="A60" s="2232"/>
      <c r="B60" s="517"/>
      <c r="D60" s="671" t="s">
        <v>91</v>
      </c>
      <c r="E60" s="672" t="s">
        <v>838</v>
      </c>
      <c r="F60" s="727" t="s">
        <v>597</v>
      </c>
      <c r="G60" s="748"/>
      <c r="H60" s="1030"/>
      <c r="I60" s="748"/>
      <c r="J60" s="1030"/>
      <c r="K60" s="290" t="s">
        <v>839</v>
      </c>
    </row>
    <row s="2624" customFormat="1" customHeight="1" ht="33.75" hidden="1">
      <c r="A61" s="2232"/>
      <c r="B61" s="517"/>
      <c r="D61" s="671" t="s">
        <v>92</v>
      </c>
      <c r="E61" s="672" t="s">
        <v>840</v>
      </c>
      <c r="F61" s="732" t="s">
        <v>773</v>
      </c>
      <c r="G61" s="674"/>
      <c r="H61" s="1030"/>
      <c r="I61" s="674"/>
      <c r="J61" s="1030"/>
      <c r="K61" s="277"/>
    </row>
    <row s="2624" customFormat="1" customHeight="1" ht="22.5" hidden="1">
      <c r="A62" s="2232"/>
      <c r="B62" s="517" t="s">
        <v>627</v>
      </c>
      <c r="D62" s="671" t="s">
        <v>129</v>
      </c>
      <c r="E62" s="672" t="s">
        <v>841</v>
      </c>
      <c r="F62" s="732" t="s">
        <v>351</v>
      </c>
      <c r="G62" s="388"/>
      <c r="H62" s="1030"/>
      <c r="I62" s="388"/>
      <c r="J62" s="1030"/>
      <c r="K62" s="277" t="s">
        <v>842</v>
      </c>
    </row>
    <row s="2624" customFormat="1" customHeight="1" ht="45" hidden="1">
      <c r="A63" s="2232"/>
      <c r="B63" s="517" t="s">
        <v>627</v>
      </c>
      <c r="D63" s="671" t="s">
        <v>843</v>
      </c>
      <c r="E63" s="673" t="s">
        <v>844</v>
      </c>
      <c r="F63" s="727" t="s">
        <v>351</v>
      </c>
      <c r="G63" s="388"/>
      <c r="H63" s="1030"/>
      <c r="I63" s="388"/>
      <c r="J63" s="1030"/>
      <c r="K63" s="277" t="s">
        <v>842</v>
      </c>
    </row>
    <row s="2628" customFormat="1" customHeight="1" ht="11.25">
      <c r="A64" s="1040"/>
      <c r="B64" s="524"/>
      <c r="D64" s="1041"/>
      <c r="E64" s="1042"/>
    </row>
    <row s="2624" customFormat="1" customHeight="1" ht="22.5" hidden="1">
      <c r="A65" s="2232" t="s">
        <v>845</v>
      </c>
      <c r="B65" s="517"/>
      <c r="D65" s="671">
        <v>1</v>
      </c>
      <c r="E65" s="750" t="s">
        <v>846</v>
      </c>
      <c r="F65" s="746" t="s">
        <v>763</v>
      </c>
      <c r="G65" s="747"/>
      <c r="H65" s="1036"/>
      <c r="I65" s="747"/>
      <c r="J65" s="1036"/>
      <c r="K65" s="289" t="s">
        <v>847</v>
      </c>
    </row>
    <row s="2624" customFormat="1" customHeight="1" ht="56.25" hidden="1">
      <c r="A66" s="2232"/>
      <c r="B66" s="517"/>
      <c r="D66" s="749" t="s">
        <v>102</v>
      </c>
      <c r="E66" s="713" t="s">
        <v>848</v>
      </c>
      <c r="F66" s="666" t="s">
        <v>585</v>
      </c>
      <c r="G66" s="666" t="s">
        <v>585</v>
      </c>
      <c r="H66" s="525"/>
      <c r="I66" s="666" t="s">
        <v>585</v>
      </c>
      <c r="J66" s="525"/>
      <c r="K66" s="277"/>
    </row>
    <row s="2624" customFormat="1" customHeight="1" ht="33.75" hidden="1">
      <c r="A67" s="2232"/>
      <c r="B67" s="517"/>
      <c r="D67" s="749" t="s">
        <v>661</v>
      </c>
      <c r="E67" s="961" t="s">
        <v>849</v>
      </c>
      <c r="F67" s="666" t="s">
        <v>815</v>
      </c>
      <c r="G67" s="733"/>
      <c r="H67" s="525"/>
      <c r="I67" s="733"/>
      <c r="J67" s="525"/>
      <c r="K67" s="277"/>
    </row>
    <row s="2624" customFormat="1" customHeight="1" ht="22.5" hidden="1">
      <c r="A68" s="2232"/>
      <c r="B68" s="517"/>
      <c r="D68" s="749" t="s">
        <v>352</v>
      </c>
      <c r="E68" s="961" t="s">
        <v>850</v>
      </c>
      <c r="F68" s="666" t="s">
        <v>815</v>
      </c>
      <c r="G68" s="733"/>
      <c r="H68" s="525"/>
      <c r="I68" s="733"/>
      <c r="J68" s="525"/>
      <c r="K68" s="277"/>
    </row>
    <row s="2624" customFormat="1" customHeight="1" ht="22.5" hidden="1">
      <c r="A69" s="2232"/>
      <c r="B69" s="517"/>
      <c r="D69" s="749" t="s">
        <v>355</v>
      </c>
      <c r="E69" s="961" t="s">
        <v>851</v>
      </c>
      <c r="F69" s="727" t="s">
        <v>597</v>
      </c>
      <c r="G69" s="748"/>
      <c r="H69" s="525"/>
      <c r="I69" s="748"/>
      <c r="J69" s="525"/>
      <c r="K69" s="277"/>
    </row>
    <row s="2624" customFormat="1" customHeight="1" ht="22.5" hidden="1">
      <c r="A70" s="2232"/>
      <c r="B70" s="517"/>
      <c r="D70" s="749" t="s">
        <v>681</v>
      </c>
      <c r="E70" s="961" t="s">
        <v>852</v>
      </c>
      <c r="F70" s="727" t="s">
        <v>597</v>
      </c>
      <c r="G70" s="748"/>
      <c r="H70" s="525"/>
      <c r="I70" s="748"/>
      <c r="J70" s="525"/>
      <c r="K70" s="277"/>
    </row>
    <row s="2624" customFormat="1" customHeight="1" ht="22.5" hidden="1">
      <c r="A71" s="2232"/>
      <c r="B71" s="517"/>
      <c r="D71" s="671" t="s">
        <v>89</v>
      </c>
      <c r="E71" s="672" t="s">
        <v>853</v>
      </c>
      <c r="F71" s="666" t="s">
        <v>815</v>
      </c>
      <c r="G71" s="563"/>
      <c r="H71" s="1037"/>
      <c r="I71" s="563"/>
      <c r="J71" s="1037"/>
      <c r="K71" s="290"/>
    </row>
    <row s="2624" customFormat="1" customHeight="1" ht="56.25" hidden="1">
      <c r="A72" s="2232"/>
      <c r="B72" s="517"/>
      <c r="D72" s="671" t="s">
        <v>90</v>
      </c>
      <c r="E72" s="672" t="s">
        <v>854</v>
      </c>
      <c r="F72" s="727" t="s">
        <v>597</v>
      </c>
      <c r="G72" s="748"/>
      <c r="H72" s="1030"/>
      <c r="I72" s="748"/>
      <c r="J72" s="1030"/>
      <c r="K72" s="290"/>
    </row>
    <row s="2624" customFormat="1" customHeight="1" ht="33.75" hidden="1">
      <c r="A73" s="2232"/>
      <c r="B73" s="517"/>
      <c r="D73" s="671" t="s">
        <v>116</v>
      </c>
      <c r="E73" s="672" t="s">
        <v>855</v>
      </c>
      <c r="F73" s="732" t="s">
        <v>773</v>
      </c>
      <c r="G73" s="674"/>
      <c r="H73" s="1030"/>
      <c r="I73" s="674"/>
      <c r="J73" s="1030"/>
      <c r="K73" s="277"/>
    </row>
    <row s="2624" customFormat="1" customHeight="1" ht="22.5" hidden="1">
      <c r="A74" s="2232"/>
      <c r="B74" s="517" t="s">
        <v>627</v>
      </c>
      <c r="D74" s="671" t="s">
        <v>91</v>
      </c>
      <c r="E74" s="672" t="s">
        <v>856</v>
      </c>
      <c r="F74" s="732" t="s">
        <v>351</v>
      </c>
      <c r="G74" s="388"/>
      <c r="H74" s="1030"/>
      <c r="I74" s="388"/>
      <c r="J74" s="1030"/>
      <c r="K74" s="277" t="s">
        <v>842</v>
      </c>
    </row>
    <row s="2624" customFormat="1" customHeight="1" ht="45" hidden="1">
      <c r="A75" s="2232"/>
      <c r="B75" s="517" t="s">
        <v>627</v>
      </c>
      <c r="D75" s="671" t="s">
        <v>857</v>
      </c>
      <c r="E75" s="673" t="s">
        <v>858</v>
      </c>
      <c r="F75" s="727" t="s">
        <v>351</v>
      </c>
      <c r="G75" s="388"/>
      <c r="H75" s="1030"/>
      <c r="I75" s="388"/>
      <c r="J75" s="1030"/>
      <c r="K75" s="277" t="s">
        <v>842</v>
      </c>
    </row>
    <row s="2628" customFormat="1" customHeight="1" ht="11.25">
      <c r="A76" s="1040"/>
      <c r="B76" s="524"/>
      <c r="D76" s="1041"/>
      <c r="E76" s="1042"/>
    </row>
    <row s="2624" customFormat="1" customHeight="1" ht="11.25" hidden="1">
      <c r="A77" s="2232" t="s">
        <v>859</v>
      </c>
      <c r="B77" s="517"/>
      <c r="D77" s="671">
        <v>1</v>
      </c>
      <c r="E77" s="672" t="s">
        <v>860</v>
      </c>
      <c r="F77" s="727" t="s">
        <v>763</v>
      </c>
      <c r="G77" s="730"/>
      <c r="H77" s="1030"/>
      <c r="I77" s="730"/>
      <c r="J77" s="1030"/>
      <c r="K77" s="277" t="s">
        <v>861</v>
      </c>
    </row>
    <row s="2624" customFormat="1" customHeight="1" ht="11.25" hidden="1">
      <c r="A78" s="2232"/>
      <c r="B78" s="517"/>
      <c r="D78" s="671" t="s">
        <v>102</v>
      </c>
      <c r="E78" s="672" t="s">
        <v>862</v>
      </c>
      <c r="F78" s="727" t="s">
        <v>763</v>
      </c>
      <c r="G78" s="730"/>
      <c r="H78" s="1030"/>
      <c r="I78" s="730"/>
      <c r="J78" s="1030"/>
      <c r="K78" s="277" t="s">
        <v>863</v>
      </c>
    </row>
    <row s="2624" customFormat="1" customHeight="1" ht="22.5" hidden="1">
      <c r="A79" s="2232"/>
      <c r="B79" s="517"/>
      <c r="D79" s="671" t="s">
        <v>89</v>
      </c>
      <c r="E79" s="728" t="s">
        <v>864</v>
      </c>
      <c r="F79" s="666" t="s">
        <v>812</v>
      </c>
      <c r="G79" s="730"/>
      <c r="H79" s="1030"/>
      <c r="I79" s="730"/>
      <c r="J79" s="1030"/>
      <c r="K79" s="277" t="s">
        <v>865</v>
      </c>
    </row>
    <row s="2624" customFormat="1" customHeight="1" ht="11.25" hidden="1">
      <c r="A80" s="2232"/>
      <c r="B80" s="517"/>
      <c r="D80" s="671" t="s">
        <v>371</v>
      </c>
      <c r="E80" s="729" t="s">
        <v>866</v>
      </c>
      <c r="F80" s="666" t="s">
        <v>812</v>
      </c>
      <c r="G80" s="730"/>
      <c r="H80" s="1030"/>
      <c r="I80" s="730"/>
      <c r="J80" s="1030"/>
      <c r="K80" s="277"/>
    </row>
    <row s="2624" customFormat="1" customHeight="1" ht="11.25" hidden="1">
      <c r="A81" s="2232"/>
      <c r="B81" s="517"/>
      <c r="D81" s="671" t="s">
        <v>379</v>
      </c>
      <c r="E81" s="729" t="s">
        <v>867</v>
      </c>
      <c r="F81" s="666" t="s">
        <v>812</v>
      </c>
      <c r="G81" s="730"/>
      <c r="H81" s="1030"/>
      <c r="I81" s="730"/>
      <c r="J81" s="1030"/>
      <c r="K81" s="277"/>
    </row>
    <row s="2624" customFormat="1" customHeight="1" ht="11.25" hidden="1">
      <c r="A82" s="2232"/>
      <c r="B82" s="517"/>
      <c r="D82" s="671" t="s">
        <v>381</v>
      </c>
      <c r="E82" s="729" t="s">
        <v>868</v>
      </c>
      <c r="F82" s="666" t="s">
        <v>812</v>
      </c>
      <c r="G82" s="730"/>
      <c r="H82" s="1030"/>
      <c r="I82" s="730"/>
      <c r="J82" s="1030"/>
      <c r="K82" s="277"/>
    </row>
    <row s="2624" customFormat="1" customHeight="1" ht="11.25" hidden="1">
      <c r="A83" s="2232"/>
      <c r="B83" s="517"/>
      <c r="D83" s="671" t="s">
        <v>383</v>
      </c>
      <c r="E83" s="729" t="s">
        <v>869</v>
      </c>
      <c r="F83" s="666" t="s">
        <v>812</v>
      </c>
      <c r="G83" s="730"/>
      <c r="H83" s="1030"/>
      <c r="I83" s="730"/>
      <c r="J83" s="1030"/>
      <c r="K83" s="277"/>
    </row>
    <row s="2624" customFormat="1" customHeight="1" ht="11.25" hidden="1">
      <c r="A84" s="2232"/>
      <c r="B84" s="517"/>
      <c r="D84" s="671" t="s">
        <v>870</v>
      </c>
      <c r="E84" s="729" t="s">
        <v>871</v>
      </c>
      <c r="F84" s="666" t="s">
        <v>812</v>
      </c>
      <c r="G84" s="730"/>
      <c r="H84" s="1030"/>
      <c r="I84" s="730"/>
      <c r="J84" s="1030"/>
      <c r="K84" s="277"/>
    </row>
    <row s="2624" customFormat="1" customHeight="1" ht="11.25" hidden="1">
      <c r="A85" s="2232"/>
      <c r="B85" s="517"/>
      <c r="D85" s="671" t="s">
        <v>872</v>
      </c>
      <c r="E85" s="729" t="s">
        <v>873</v>
      </c>
      <c r="F85" s="666" t="s">
        <v>812</v>
      </c>
      <c r="G85" s="730"/>
      <c r="H85" s="1030"/>
      <c r="I85" s="730"/>
      <c r="J85" s="1030"/>
      <c r="K85" s="277"/>
    </row>
    <row s="2624" customFormat="1" customHeight="1" ht="11.25" hidden="1">
      <c r="A86" s="2232"/>
      <c r="B86" s="517"/>
      <c r="D86" s="671" t="s">
        <v>874</v>
      </c>
      <c r="E86" s="729" t="s">
        <v>875</v>
      </c>
      <c r="F86" s="666" t="s">
        <v>812</v>
      </c>
      <c r="G86" s="730"/>
      <c r="H86" s="1030"/>
      <c r="I86" s="730"/>
      <c r="J86" s="1030"/>
      <c r="K86" s="277"/>
    </row>
    <row s="2624" customFormat="1" customHeight="1" ht="45" hidden="1">
      <c r="A87" s="2232"/>
      <c r="B87" s="517"/>
      <c r="D87" s="671" t="s">
        <v>90</v>
      </c>
      <c r="E87" s="672" t="s">
        <v>876</v>
      </c>
      <c r="F87" s="666" t="s">
        <v>812</v>
      </c>
      <c r="G87" s="730"/>
      <c r="H87" s="1030"/>
      <c r="I87" s="730"/>
      <c r="J87" s="1030"/>
      <c r="K87" s="277" t="s">
        <v>877</v>
      </c>
    </row>
    <row s="2624" customFormat="1" customHeight="1" ht="11.25" hidden="1">
      <c r="A88" s="2232"/>
      <c r="B88" s="517"/>
      <c r="D88" s="671" t="s">
        <v>706</v>
      </c>
      <c r="E88" s="729" t="s">
        <v>866</v>
      </c>
      <c r="F88" s="666" t="s">
        <v>812</v>
      </c>
      <c r="G88" s="730"/>
      <c r="H88" s="1030"/>
      <c r="I88" s="730"/>
      <c r="J88" s="1030"/>
      <c r="K88" s="277"/>
    </row>
    <row s="2624" customFormat="1" customHeight="1" ht="11.25" hidden="1">
      <c r="A89" s="2232"/>
      <c r="B89" s="517"/>
      <c r="D89" s="671" t="s">
        <v>749</v>
      </c>
      <c r="E89" s="729" t="s">
        <v>867</v>
      </c>
      <c r="F89" s="666" t="s">
        <v>812</v>
      </c>
      <c r="G89" s="730"/>
      <c r="H89" s="1030"/>
      <c r="I89" s="730"/>
      <c r="J89" s="1030"/>
      <c r="K89" s="277"/>
    </row>
    <row s="2624" customFormat="1" customHeight="1" ht="11.25" hidden="1">
      <c r="A90" s="2232"/>
      <c r="B90" s="517"/>
      <c r="D90" s="671" t="s">
        <v>752</v>
      </c>
      <c r="E90" s="729" t="s">
        <v>868</v>
      </c>
      <c r="F90" s="666" t="s">
        <v>812</v>
      </c>
      <c r="G90" s="730"/>
      <c r="H90" s="1030"/>
      <c r="I90" s="730"/>
      <c r="J90" s="1030"/>
      <c r="K90" s="277"/>
    </row>
    <row s="2624" customFormat="1" customHeight="1" ht="11.25" hidden="1">
      <c r="A91" s="2232"/>
      <c r="B91" s="517"/>
      <c r="D91" s="671" t="s">
        <v>830</v>
      </c>
      <c r="E91" s="729" t="s">
        <v>869</v>
      </c>
      <c r="F91" s="666" t="s">
        <v>812</v>
      </c>
      <c r="G91" s="730"/>
      <c r="H91" s="1030"/>
      <c r="I91" s="730"/>
      <c r="J91" s="1030"/>
      <c r="K91" s="277"/>
    </row>
    <row s="2624" customFormat="1" customHeight="1" ht="11.25" hidden="1">
      <c r="A92" s="2232"/>
      <c r="B92" s="517"/>
      <c r="D92" s="671" t="s">
        <v>832</v>
      </c>
      <c r="E92" s="729" t="s">
        <v>871</v>
      </c>
      <c r="F92" s="666" t="s">
        <v>812</v>
      </c>
      <c r="G92" s="730"/>
      <c r="H92" s="1030"/>
      <c r="I92" s="730"/>
      <c r="J92" s="1030"/>
      <c r="K92" s="277"/>
    </row>
    <row s="2624" customFormat="1" customHeight="1" ht="11.25" hidden="1">
      <c r="A93" s="2232"/>
      <c r="B93" s="517"/>
      <c r="D93" s="671" t="s">
        <v>878</v>
      </c>
      <c r="E93" s="729" t="s">
        <v>873</v>
      </c>
      <c r="F93" s="666" t="s">
        <v>812</v>
      </c>
      <c r="G93" s="730"/>
      <c r="H93" s="1030"/>
      <c r="I93" s="730"/>
      <c r="J93" s="1030"/>
      <c r="K93" s="277"/>
    </row>
    <row s="2624" customFormat="1" customHeight="1" ht="11.25" hidden="1">
      <c r="A94" s="2232"/>
      <c r="B94" s="517"/>
      <c r="D94" s="671" t="s">
        <v>879</v>
      </c>
      <c r="E94" s="729" t="s">
        <v>875</v>
      </c>
      <c r="F94" s="666" t="s">
        <v>812</v>
      </c>
      <c r="G94" s="730"/>
      <c r="H94" s="1030"/>
      <c r="I94" s="730"/>
      <c r="J94" s="1030"/>
      <c r="K94" s="277"/>
    </row>
    <row s="2624" customFormat="1" customHeight="1" ht="24.75" hidden="1">
      <c r="A95" s="2232"/>
      <c r="B95" s="517"/>
      <c r="D95" s="671" t="s">
        <v>116</v>
      </c>
      <c r="E95" s="672" t="s">
        <v>880</v>
      </c>
      <c r="F95" s="731" t="s">
        <v>597</v>
      </c>
      <c r="G95" s="733"/>
      <c r="H95" s="1030"/>
      <c r="I95" s="733"/>
      <c r="J95" s="1030"/>
      <c r="K95" s="277" t="s">
        <v>881</v>
      </c>
    </row>
    <row s="2624" customFormat="1" customHeight="1" ht="33.75" hidden="1">
      <c r="A96" s="2232"/>
      <c r="B96" s="517"/>
      <c r="D96" s="671" t="s">
        <v>91</v>
      </c>
      <c r="E96" s="672" t="s">
        <v>882</v>
      </c>
      <c r="F96" s="732" t="s">
        <v>773</v>
      </c>
      <c r="G96" s="734"/>
      <c r="H96" s="1030"/>
      <c r="I96" s="734"/>
      <c r="J96" s="1030"/>
      <c r="K96" s="277"/>
    </row>
    <row s="2624" customFormat="1" customHeight="1" ht="22.5" hidden="1">
      <c r="A97" s="2232"/>
      <c r="B97" s="517" t="s">
        <v>627</v>
      </c>
      <c r="D97" s="671" t="s">
        <v>92</v>
      </c>
      <c r="E97" s="672" t="s">
        <v>883</v>
      </c>
      <c r="F97" s="732" t="s">
        <v>351</v>
      </c>
      <c r="G97" s="391"/>
      <c r="H97" s="1030"/>
      <c r="I97" s="391"/>
      <c r="J97" s="1030"/>
      <c r="K97" s="277" t="s">
        <v>842</v>
      </c>
    </row>
    <row s="2624" customFormat="1" customHeight="1" ht="45" hidden="1">
      <c r="A98" s="2232"/>
      <c r="B98" s="517" t="s">
        <v>627</v>
      </c>
      <c r="D98" s="671" t="s">
        <v>884</v>
      </c>
      <c r="E98" s="673" t="s">
        <v>885</v>
      </c>
      <c r="F98" s="727" t="s">
        <v>351</v>
      </c>
      <c r="G98" s="391"/>
      <c r="H98" s="1030"/>
      <c r="I98" s="391"/>
      <c r="J98" s="1030"/>
      <c r="K98" s="277" t="s">
        <v>842</v>
      </c>
    </row>
    <row s="2624" customFormat="1" customHeight="1" ht="95.25" hidden="1">
      <c r="A99" s="2232"/>
      <c r="B99" s="517" t="s">
        <v>627</v>
      </c>
      <c r="D99" s="671" t="s">
        <v>129</v>
      </c>
      <c r="E99" s="672" t="s">
        <v>886</v>
      </c>
      <c r="F99" s="727" t="s">
        <v>351</v>
      </c>
      <c r="G99" s="391"/>
      <c r="H99" s="1030"/>
      <c r="I99" s="391"/>
      <c r="J99" s="1030"/>
      <c r="K99" s="277" t="s">
        <v>842</v>
      </c>
    </row>
    <row s="2624" customFormat="1" customHeight="1" ht="22.5" hidden="1">
      <c r="A100" s="2232"/>
      <c r="B100" s="517" t="s">
        <v>627</v>
      </c>
      <c r="D100" s="671" t="s">
        <v>165</v>
      </c>
      <c r="E100" s="672" t="s">
        <v>887</v>
      </c>
      <c r="F100" s="727" t="s">
        <v>351</v>
      </c>
      <c r="G100" s="391"/>
      <c r="H100" s="1030"/>
      <c r="I100" s="391"/>
      <c r="J100" s="1030"/>
      <c r="K100" s="277" t="s">
        <v>842</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A5C45-875E-0D3F-963E-9756BEBA08B5}"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91" width="9.140625" hidden="1" customWidth="1"/>
    <col min="2" max="2" style="3193" width="9.140625" hidden="1" customWidth="1"/>
    <col min="3" max="3" style="6494" width="4.7109375" customWidth="1"/>
    <col min="4" max="4" style="3193" width="6.28125" customWidth="1"/>
    <col min="5" max="5" style="3193" width="36.7109375" customWidth="1"/>
    <col min="6" max="6" style="3193" width="9.57421875" customWidth="1"/>
    <col min="7" max="7" style="2624" width="25.7109375" hidden="1" customWidth="1"/>
    <col min="8" max="8" style="2624" width="33.7109375" hidden="1" customWidth="1"/>
    <col min="9" max="9" style="3193" width="25.7109375" customWidth="1"/>
    <col min="10" max="10" style="3193" width="33.7109375" customWidth="1"/>
    <col min="11" max="11" style="2625" width="93.421875" customWidth="1"/>
    <col min="12" max="20" style="3193" width="10.57421875"/>
    <col min="21" max="21" style="6428"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888</v>
      </c>
      <c r="F3" s="697" t="s">
        <v>351</v>
      </c>
      <c r="G3" s="692"/>
      <c r="H3" s="407"/>
      <c r="I3" s="692"/>
      <c r="J3" s="407"/>
      <c r="K3" s="277" t="s">
        <v>889</v>
      </c>
    </row>
    <row customHeight="1" ht="15" hidden="1">
      <c r="A4" s="511"/>
      <c r="B4" s="2234"/>
      <c r="C4" s="2235"/>
      <c r="D4" s="695" t="str">
        <f>B3&amp;".2"</f>
        <v>.2</v>
      </c>
      <c r="E4" s="696" t="s">
        <v>890</v>
      </c>
      <c r="F4" s="697" t="s">
        <v>351</v>
      </c>
      <c r="G4" s="1778" t="s">
        <v>24</v>
      </c>
      <c r="H4" s="407"/>
      <c r="I4" s="1778" t="s">
        <v>24</v>
      </c>
      <c r="J4" s="407"/>
      <c r="K4" s="277" t="s">
        <v>891</v>
      </c>
    </row>
    <row s="2625" customFormat="1" customHeight="1" ht="15" hidden="1">
      <c r="C5" s="678"/>
      <c r="U5" s="426"/>
    </row>
    <row customHeight="1" ht="22.5" hidden="1">
      <c r="A6" s="511"/>
      <c r="B6" s="2234"/>
      <c r="C6" s="2235"/>
      <c r="D6" s="695" t="str">
        <f>B6&amp;".1"</f>
        <v>.1</v>
      </c>
      <c r="E6" s="696" t="s">
        <v>892</v>
      </c>
      <c r="F6" s="697" t="s">
        <v>351</v>
      </c>
      <c r="G6" s="692"/>
      <c r="H6" s="407"/>
      <c r="I6" s="692"/>
      <c r="J6" s="407"/>
      <c r="K6" s="277" t="s">
        <v>893</v>
      </c>
    </row>
    <row customHeight="1" ht="15" hidden="1">
      <c r="A7" s="511"/>
      <c r="B7" s="2234"/>
      <c r="C7" s="2235"/>
      <c r="D7" s="695" t="str">
        <f>B6&amp;".2"</f>
        <v>.2</v>
      </c>
      <c r="E7" s="696" t="s">
        <v>890</v>
      </c>
      <c r="F7" s="697" t="s">
        <v>351</v>
      </c>
      <c r="G7" s="1778" t="s">
        <v>24</v>
      </c>
      <c r="H7" s="407"/>
      <c r="I7" s="1778" t="s">
        <v>24</v>
      </c>
      <c r="J7" s="407"/>
      <c r="K7" s="277" t="s">
        <v>891</v>
      </c>
    </row>
    <row s="2625" customFormat="1" customHeight="1" ht="15" hidden="1">
      <c r="C8" s="678"/>
      <c r="U8" s="426"/>
    </row>
    <row customHeight="1" ht="22.5" hidden="1">
      <c r="A9" s="511"/>
      <c r="B9" s="2234"/>
      <c r="C9" s="2235"/>
      <c r="D9" s="695" t="str">
        <f>B9&amp;".1"</f>
        <v>.1</v>
      </c>
      <c r="E9" s="696" t="s">
        <v>894</v>
      </c>
      <c r="F9" s="697" t="s">
        <v>351</v>
      </c>
      <c r="G9" s="703" t="s">
        <v>24</v>
      </c>
      <c r="H9" s="407" t="s">
        <v>24</v>
      </c>
      <c r="I9" s="703" t="s">
        <v>24</v>
      </c>
      <c r="J9" s="407" t="s">
        <v>24</v>
      </c>
      <c r="K9" s="277"/>
    </row>
    <row customHeight="1" ht="15" hidden="1">
      <c r="A10" s="511"/>
      <c r="B10" s="2234"/>
      <c r="C10" s="2235"/>
      <c r="D10" s="695" t="str">
        <f>B9&amp;".2"</f>
        <v>.2</v>
      </c>
      <c r="E10" s="696" t="s">
        <v>895</v>
      </c>
      <c r="F10" s="697" t="s">
        <v>351</v>
      </c>
      <c r="G10" s="1772" t="s">
        <v>24</v>
      </c>
      <c r="H10" s="407" t="s">
        <v>24</v>
      </c>
      <c r="I10" s="1772" t="s">
        <v>24</v>
      </c>
      <c r="J10" s="407" t="s">
        <v>24</v>
      </c>
      <c r="K10" s="277" t="s">
        <v>896</v>
      </c>
    </row>
    <row customHeight="1" ht="15" hidden="1">
      <c r="A11" s="511"/>
      <c r="B11" s="2234"/>
      <c r="C11" s="2235"/>
      <c r="D11" s="695" t="str">
        <f>B9&amp;".3"</f>
        <v>.3</v>
      </c>
      <c r="E11" s="696" t="s">
        <v>897</v>
      </c>
      <c r="F11" s="697" t="s">
        <v>351</v>
      </c>
      <c r="G11" s="1772" t="s">
        <v>24</v>
      </c>
      <c r="H11" s="407" t="s">
        <v>24</v>
      </c>
      <c r="I11" s="1772" t="s">
        <v>24</v>
      </c>
      <c r="J11" s="407" t="s">
        <v>24</v>
      </c>
      <c r="K11" s="277" t="s">
        <v>898</v>
      </c>
    </row>
    <row s="2625" customFormat="1" customHeight="1" ht="15" hidden="1">
      <c r="C12" s="678"/>
      <c r="U12" s="426"/>
    </row>
    <row customHeight="1" ht="33.75" hidden="1">
      <c r="A13" s="511"/>
      <c r="B13" s="2234"/>
      <c r="C13" s="2235"/>
      <c r="D13" s="695" t="str">
        <f>B13&amp;".1"</f>
        <v>.1</v>
      </c>
      <c r="E13" s="696" t="s">
        <v>899</v>
      </c>
      <c r="F13" s="697" t="s">
        <v>351</v>
      </c>
      <c r="G13" s="703" t="s">
        <v>24</v>
      </c>
      <c r="H13" s="407" t="s">
        <v>24</v>
      </c>
      <c r="I13" s="703" t="s">
        <v>24</v>
      </c>
      <c r="J13" s="407" t="s">
        <v>24</v>
      </c>
      <c r="K13" s="277" t="s">
        <v>900</v>
      </c>
    </row>
    <row customHeight="1" ht="15" hidden="1">
      <c r="B14" s="2234"/>
      <c r="C14" s="2235"/>
      <c r="D14" s="695" t="str">
        <f>B13&amp;".2"</f>
        <v>.2</v>
      </c>
      <c r="E14" s="696" t="s">
        <v>901</v>
      </c>
      <c r="F14" s="697" t="s">
        <v>351</v>
      </c>
      <c r="G14" s="1772" t="s">
        <v>24</v>
      </c>
      <c r="H14" s="407" t="s">
        <v>24</v>
      </c>
      <c r="I14" s="1772" t="s">
        <v>24</v>
      </c>
      <c r="J14" s="407" t="s">
        <v>24</v>
      </c>
      <c r="K14" s="277" t="s">
        <v>902</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"Мурманэнергосбыт"</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134</v>
      </c>
      <c r="J25" s="758"/>
      <c r="K25" s="423"/>
      <c r="U25" s="681"/>
    </row>
    <row customHeight="1" ht="15">
      <c r="C26" s="162"/>
      <c r="D26" s="717"/>
      <c r="E26" s="2213" t="s">
        <v>124</v>
      </c>
      <c r="F26" s="2214"/>
      <c r="G26" s="2236" t="str">
        <f>IF(G25="","",INDEX(DIFFERENTIATION_UNMERGE_VD,MATCH(G25,DIFFERENTIATION_ID_DIFF,0)))</f>
        <v/>
      </c>
      <c r="H26" s="2237"/>
      <c r="I26" s="2236">
        <f>IF(I25="","",INDEX(DIFFERENTIATION_UNMERGE_VD,MATCH(I25,DIFFERENTIATION_ID_DIFF,0)))</f>
        <v>0</v>
      </c>
      <c r="J26" s="2237"/>
      <c r="K26" s="2028" t="s">
        <v>346</v>
      </c>
    </row>
    <row s="2624" customFormat="1" customHeight="1" ht="15">
      <c r="A27" s="765"/>
      <c r="C27" s="162"/>
      <c r="D27" s="717"/>
      <c r="E27" s="2213" t="s">
        <v>603</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604</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345</v>
      </c>
      <c r="E29" s="2216"/>
      <c r="F29" s="2216"/>
      <c r="G29" s="893"/>
      <c r="H29" s="893"/>
      <c r="I29" s="893"/>
      <c r="J29" s="894"/>
      <c r="K29" s="2032"/>
      <c r="U29" s="681"/>
    </row>
    <row customHeight="1" ht="33.75">
      <c r="C30" s="162"/>
      <c r="D30" s="767" t="s">
        <v>87</v>
      </c>
      <c r="E30" s="766" t="s">
        <v>347</v>
      </c>
      <c r="F30" s="766" t="s">
        <v>605</v>
      </c>
      <c r="G30" s="814" t="s">
        <v>348</v>
      </c>
      <c r="H30" s="813" t="s">
        <v>437</v>
      </c>
      <c r="I30" s="690" t="s">
        <v>348</v>
      </c>
      <c r="J30" s="471" t="s">
        <v>437</v>
      </c>
      <c r="K30" s="2038"/>
    </row>
    <row customHeight="1" ht="15" hidden="1">
      <c r="C31" s="162"/>
      <c r="D31" s="599"/>
      <c r="E31" s="599"/>
      <c r="F31" s="599"/>
      <c r="G31" s="665"/>
      <c r="H31" s="665"/>
      <c r="I31" s="665"/>
      <c r="J31" s="665"/>
      <c r="K31" s="277"/>
    </row>
    <row customHeight="1" ht="22.5">
      <c r="A32" s="511"/>
      <c r="B32" s="511" t="s">
        <v>903</v>
      </c>
      <c r="C32" s="532"/>
      <c r="D32" s="698">
        <v>1</v>
      </c>
      <c r="E32" s="699" t="s">
        <v>904</v>
      </c>
      <c r="F32" s="697" t="s">
        <v>351</v>
      </c>
      <c r="G32" s="819" t="s">
        <v>351</v>
      </c>
      <c r="H32" s="819" t="s">
        <v>351</v>
      </c>
      <c r="I32" s="697" t="s">
        <v>351</v>
      </c>
      <c r="J32" s="697" t="s">
        <v>351</v>
      </c>
      <c r="K32" s="277"/>
    </row>
    <row customHeight="1" ht="11.25">
      <c r="A33" s="511"/>
      <c r="C33" s="511"/>
      <c r="D33" s="343"/>
      <c r="E33" s="586" t="s">
        <v>625</v>
      </c>
      <c r="F33" s="578"/>
      <c r="G33" s="578"/>
      <c r="H33" s="578"/>
      <c r="I33" s="578"/>
      <c r="J33" s="578"/>
      <c r="K33" s="579"/>
      <c r="U33" s="511"/>
    </row>
    <row customHeight="1" ht="22.5">
      <c r="A34" s="511"/>
      <c r="B34" s="587" t="s">
        <v>905</v>
      </c>
      <c r="C34" s="532"/>
      <c r="D34" s="698">
        <v>2</v>
      </c>
      <c r="E34" s="699" t="s">
        <v>906</v>
      </c>
      <c r="F34" s="826" t="s">
        <v>351</v>
      </c>
      <c r="G34" s="826" t="s">
        <v>351</v>
      </c>
      <c r="H34" s="826" t="s">
        <v>351</v>
      </c>
      <c r="I34" s="697"/>
      <c r="J34" s="697"/>
      <c r="K34" s="277"/>
    </row>
    <row customHeight="1" ht="11.25">
      <c r="A35" s="511"/>
      <c r="C35" s="511"/>
      <c r="D35" s="343"/>
      <c r="E35" s="586" t="s">
        <v>907</v>
      </c>
      <c r="F35" s="578"/>
      <c r="G35" s="700"/>
      <c r="H35" s="578"/>
      <c r="I35" s="700"/>
      <c r="J35" s="578"/>
      <c r="K35" s="579"/>
      <c r="U35" s="511"/>
    </row>
    <row customHeight="1" ht="67.5">
      <c r="A36" s="511"/>
      <c r="B36" s="511" t="s">
        <v>908</v>
      </c>
      <c r="C36" s="532"/>
      <c r="D36" s="698">
        <v>3</v>
      </c>
      <c r="E36" s="699" t="s">
        <v>909</v>
      </c>
      <c r="F36" s="701" t="s">
        <v>351</v>
      </c>
      <c r="G36" s="820" t="s">
        <v>910</v>
      </c>
      <c r="H36" s="819" t="s">
        <v>351</v>
      </c>
      <c r="I36" s="530" t="s">
        <v>910</v>
      </c>
      <c r="J36" s="697" t="s">
        <v>351</v>
      </c>
      <c r="K36" s="277" t="s">
        <v>911</v>
      </c>
    </row>
    <row customHeight="1" ht="11.25">
      <c r="A37" s="511"/>
      <c r="C37" s="511"/>
      <c r="D37" s="343"/>
      <c r="E37" s="586" t="s">
        <v>912</v>
      </c>
      <c r="F37" s="578"/>
      <c r="G37" s="700"/>
      <c r="H37" s="700"/>
      <c r="I37" s="700"/>
      <c r="J37" s="700"/>
      <c r="K37" s="579"/>
      <c r="U37" s="511"/>
    </row>
    <row customHeight="1" ht="67.5">
      <c r="A38" s="511"/>
      <c r="B38" s="511" t="s">
        <v>913</v>
      </c>
      <c r="C38" s="532"/>
      <c r="D38" s="698">
        <v>4</v>
      </c>
      <c r="E38" s="699" t="s">
        <v>914</v>
      </c>
      <c r="F38" s="701" t="s">
        <v>351</v>
      </c>
      <c r="G38" s="820" t="s">
        <v>910</v>
      </c>
      <c r="H38" s="821" t="s">
        <v>351</v>
      </c>
      <c r="I38" s="530" t="s">
        <v>910</v>
      </c>
      <c r="J38" s="527" t="s">
        <v>351</v>
      </c>
      <c r="K38" s="685" t="s">
        <v>915</v>
      </c>
    </row>
    <row customHeight="1" ht="11.25">
      <c r="A39" s="511"/>
      <c r="C39" s="511"/>
      <c r="D39" s="343"/>
      <c r="E39" s="586" t="s">
        <v>916</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9843D-C298-5A84-3B2E-586F86E7694C}"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495" width="6.7109375" hidden="1" customWidth="1"/>
    <col min="4" max="4" style="2625" width="6.7109375" hidden="1" customWidth="1"/>
    <col min="5" max="5" style="2628" width="3.7109375" customWidth="1"/>
    <col min="6" max="6" style="2624" width="6.28125" customWidth="1"/>
    <col min="7" max="7" style="2624" width="37.7109375" customWidth="1"/>
    <col min="8" max="8" style="2983"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13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92" customFormat="1" customHeight="1" ht="15.75">
      <c r="A6" s="1174"/>
      <c r="B6" s="1174"/>
      <c r="C6" s="1174"/>
      <c r="D6" s="1168"/>
      <c r="E6" s="1675"/>
      <c r="F6" s="2141" t="str">
        <f>IF(org=0,"Не определено",org)</f>
        <v>АО "Мурманэнергосбыт"</v>
      </c>
      <c r="G6" s="2141"/>
      <c r="H6" s="2141"/>
      <c r="I6" s="2141"/>
      <c r="J6" s="2141"/>
      <c r="K6" s="2141"/>
      <c r="M6" s="588"/>
      <c r="AB6" s="1156"/>
    </row>
    <row r="8" customHeight="1" ht="10.5">
      <c r="A8" s="1058"/>
      <c r="B8" s="1058"/>
      <c r="C8" s="1058"/>
      <c r="F8" s="1955" t="s">
        <v>345</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917</v>
      </c>
      <c r="H9" s="2028" t="s">
        <v>918</v>
      </c>
      <c r="I9" s="1971" t="s">
        <v>919</v>
      </c>
      <c r="J9" s="1971" t="s">
        <v>920</v>
      </c>
      <c r="K9" s="1971" t="s">
        <v>921</v>
      </c>
      <c r="L9" s="1971" t="s">
        <v>922</v>
      </c>
      <c r="M9" s="1971" t="s">
        <v>923</v>
      </c>
      <c r="N9" s="2062" t="s">
        <v>924</v>
      </c>
      <c r="O9" s="2062"/>
      <c r="P9" s="2062"/>
      <c r="Q9" s="2242" t="s">
        <v>925</v>
      </c>
      <c r="R9" s="2243"/>
      <c r="S9" s="2243"/>
      <c r="T9" s="2244"/>
      <c r="U9" s="2242" t="s">
        <v>926</v>
      </c>
      <c r="V9" s="2243"/>
      <c r="W9" s="2243"/>
      <c r="X9" s="2244"/>
      <c r="Y9" s="1955" t="s">
        <v>927</v>
      </c>
      <c r="Z9" s="1956"/>
      <c r="AA9" s="1956"/>
      <c r="AB9" s="1957"/>
    </row>
    <row customHeight="1" ht="41.25">
      <c r="A10" s="911"/>
      <c r="B10" s="911"/>
      <c r="C10" s="911"/>
      <c r="F10" s="2028"/>
      <c r="G10" s="2028"/>
      <c r="H10" s="2090"/>
      <c r="I10" s="2028"/>
      <c r="J10" s="2028"/>
      <c r="K10" s="2028"/>
      <c r="L10" s="2028"/>
      <c r="M10" s="2028"/>
      <c r="N10" s="909" t="s">
        <v>928</v>
      </c>
      <c r="O10" s="909" t="s">
        <v>929</v>
      </c>
      <c r="P10" s="910" t="s">
        <v>930</v>
      </c>
      <c r="Q10" s="921" t="s">
        <v>88</v>
      </c>
      <c r="R10" s="921" t="s">
        <v>931</v>
      </c>
      <c r="S10" s="921" t="s">
        <v>932</v>
      </c>
      <c r="T10" s="922" t="s">
        <v>933</v>
      </c>
      <c r="U10" s="921" t="s">
        <v>88</v>
      </c>
      <c r="V10" s="921" t="s">
        <v>934</v>
      </c>
      <c r="W10" s="921" t="s">
        <v>932</v>
      </c>
      <c r="X10" s="922" t="s">
        <v>933</v>
      </c>
      <c r="Y10" s="289" t="s">
        <v>935</v>
      </c>
      <c r="Z10" s="1955" t="s">
        <v>87</v>
      </c>
      <c r="AA10" s="1957"/>
      <c r="AB10" s="1056" t="s">
        <v>936</v>
      </c>
    </row>
    <row s="2612" customFormat="1" customHeight="1" ht="5.25" hidden="1">
      <c r="A11" s="1059"/>
      <c r="B11" s="1059"/>
      <c r="C11" s="1059"/>
      <c r="E11" s="1057"/>
      <c r="F11" s="2240" t="s">
        <v>423</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937</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938</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CE41A-AAB5-ABE2-165A-B4B8C42FA739}"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495" width="4.140625" hidden="1" customWidth="1"/>
    <col min="4" max="4" style="2625" width="4.140625" hidden="1" customWidth="1"/>
    <col min="5" max="5" style="2628" width="3.7109375" customWidth="1"/>
    <col min="6" max="6" style="2624" width="14.421875" customWidth="1"/>
    <col min="7" max="7" style="2624" width="3.7109375" customWidth="1"/>
    <col min="8" max="8" style="2983" width="7.7109375" customWidth="1"/>
    <col min="9" max="10" style="2624" width="16.7109375" customWidth="1"/>
    <col min="11" max="11" style="2624" width="25.7109375" customWidth="1"/>
    <col min="12" max="12" style="6547" width="8.00390625" customWidth="1"/>
    <col min="13" max="13" style="6547"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6547" width="37.57421875" customWidth="1"/>
    <col min="31" max="31" style="2624" width="15.7109375" customWidth="1"/>
    <col min="32" max="33" style="2624" width="16.7109375" customWidth="1"/>
    <col min="34" max="34" style="6569" width="16.7109375" customWidth="1"/>
    <col min="35" max="35" style="6570"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13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"Мурманэнергосбыт"</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345</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939</v>
      </c>
      <c r="G9" s="2249" t="s">
        <v>940</v>
      </c>
      <c r="H9" s="2250"/>
      <c r="I9" s="1971" t="s">
        <v>941</v>
      </c>
      <c r="J9" s="1971"/>
      <c r="K9" s="1971" t="s">
        <v>942</v>
      </c>
      <c r="L9" s="1971"/>
      <c r="M9" s="1971"/>
      <c r="N9" s="1971"/>
      <c r="O9" s="1971"/>
      <c r="P9" s="1971"/>
      <c r="Q9" s="1971"/>
      <c r="R9" s="1971"/>
      <c r="S9" s="1971"/>
      <c r="T9" s="1971"/>
      <c r="U9" s="1971"/>
      <c r="V9" s="1971"/>
      <c r="W9" s="1971"/>
      <c r="X9" s="1971"/>
      <c r="Y9" s="1971"/>
      <c r="Z9" s="2029" t="s">
        <v>943</v>
      </c>
      <c r="AA9" s="2030"/>
      <c r="AB9" s="1971" t="s">
        <v>944</v>
      </c>
      <c r="AC9" s="1971"/>
      <c r="AD9" s="1971"/>
      <c r="AE9" s="1971"/>
      <c r="AF9" s="2028" t="s">
        <v>945</v>
      </c>
      <c r="AG9" s="1971" t="s">
        <v>946</v>
      </c>
      <c r="AH9" s="1971"/>
      <c r="AI9" s="2028" t="s">
        <v>947</v>
      </c>
      <c r="AJ9" s="1971" t="s">
        <v>948</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949</v>
      </c>
      <c r="L10" s="1955" t="s">
        <v>950</v>
      </c>
      <c r="M10" s="1957"/>
      <c r="N10" s="1971" t="s">
        <v>951</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6547" customFormat="1" customHeight="1" ht="23.25">
      <c r="A11" s="1137"/>
      <c r="B11" s="1137"/>
      <c r="C11" s="1137"/>
      <c r="D11" s="1136"/>
      <c r="E11" s="1138"/>
      <c r="F11" s="2248"/>
      <c r="G11" s="2251"/>
      <c r="H11" s="2252"/>
      <c r="I11" s="1971"/>
      <c r="J11" s="1971"/>
      <c r="K11" s="1971"/>
      <c r="L11" s="2028" t="s">
        <v>952</v>
      </c>
      <c r="M11" s="2028" t="s">
        <v>953</v>
      </c>
      <c r="N11" s="1971" t="s">
        <v>954</v>
      </c>
      <c r="O11" s="1971"/>
      <c r="P11" s="2246" t="s">
        <v>935</v>
      </c>
      <c r="Q11" s="2246" t="s">
        <v>955</v>
      </c>
      <c r="R11" s="2246" t="s">
        <v>956</v>
      </c>
      <c r="S11" s="2246" t="s">
        <v>957</v>
      </c>
      <c r="T11" s="2246"/>
      <c r="U11" s="2246"/>
      <c r="V11" s="2246"/>
      <c r="W11" s="2246"/>
      <c r="X11" s="2246"/>
      <c r="Y11" s="2246"/>
      <c r="Z11" s="2031"/>
      <c r="AA11" s="2032"/>
      <c r="AB11" s="1971" t="s">
        <v>958</v>
      </c>
      <c r="AC11" s="1971"/>
      <c r="AD11" s="1955" t="s">
        <v>959</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960</v>
      </c>
      <c r="K12" s="1971"/>
      <c r="L12" s="2090"/>
      <c r="M12" s="2090"/>
      <c r="N12" s="1971"/>
      <c r="O12" s="1971"/>
      <c r="P12" s="2246"/>
      <c r="Q12" s="2246"/>
      <c r="R12" s="2246"/>
      <c r="S12" s="1142" t="s">
        <v>85</v>
      </c>
      <c r="T12" s="1142" t="s">
        <v>86</v>
      </c>
      <c r="U12" s="1142" t="s">
        <v>84</v>
      </c>
      <c r="V12" s="1142" t="s">
        <v>961</v>
      </c>
      <c r="W12" s="1142" t="s">
        <v>84</v>
      </c>
      <c r="X12" s="1142" t="s">
        <v>962</v>
      </c>
      <c r="Y12" s="1142" t="s">
        <v>963</v>
      </c>
      <c r="Z12" s="2037"/>
      <c r="AA12" s="2038"/>
      <c r="AB12" s="1149" t="s">
        <v>964</v>
      </c>
      <c r="AC12" s="1149" t="s">
        <v>965</v>
      </c>
      <c r="AD12" s="1149" t="s">
        <v>964</v>
      </c>
      <c r="AE12" s="1149" t="s">
        <v>965</v>
      </c>
      <c r="AF12" s="2090"/>
      <c r="AG12" s="1162" t="s">
        <v>966</v>
      </c>
      <c r="AH12" s="1162" t="s">
        <v>967</v>
      </c>
      <c r="AI12" s="2090"/>
      <c r="AJ12" s="1162" t="s">
        <v>966</v>
      </c>
      <c r="AK12" s="1162" t="s">
        <v>967</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968</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CAA9E-0687-9D68-414B-0197E7ECD35A}"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497" width="4.140625" hidden="1" customWidth="1"/>
    <col min="4" max="4" style="2683" width="4.140625" hidden="1" customWidth="1"/>
    <col min="5" max="5" style="2628" width="3.7109375" customWidth="1"/>
    <col min="6" max="6" style="2983" width="6.28125" customWidth="1"/>
    <col min="7" max="7" style="2983" width="60.140625" customWidth="1"/>
    <col min="8" max="9" style="2983" width="21.7109375" hidden="1" customWidth="1"/>
    <col min="10" max="10" style="2983" width="0.140625" customWidth="1"/>
    <col min="11" max="11" style="2983" width="1.7109375" customWidth="1"/>
    <col min="12" max="22" style="2983" width="9.140625"/>
  </cols>
  <sheetData>
    <row s="2683" customFormat="1" customHeight="1" ht="10.5" hidden="1">
      <c r="A1" s="1174"/>
      <c r="B1" s="1174"/>
      <c r="C1" s="1174"/>
      <c r="E1" s="543"/>
    </row>
    <row customHeight="1" ht="10.5" hidden="1"/>
    <row s="2982"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"Мурманэнергосбыт"</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345</v>
      </c>
      <c r="G9" s="2259"/>
      <c r="H9" s="2259"/>
      <c r="I9" s="2259"/>
      <c r="J9" s="2259"/>
      <c r="K9" s="1258"/>
      <c r="L9" s="1165"/>
      <c r="M9" s="1165"/>
      <c r="N9" s="1165"/>
      <c r="O9" s="1165"/>
      <c r="P9" s="1165"/>
      <c r="Q9" s="1165"/>
      <c r="R9" s="1165"/>
      <c r="S9" s="1165"/>
      <c r="T9" s="1165"/>
      <c r="U9" s="1165"/>
      <c r="V9" s="1165"/>
    </row>
    <row customHeight="1" ht="24">
      <c r="E10" s="1165"/>
      <c r="F10" s="2262" t="s">
        <v>87</v>
      </c>
      <c r="G10" s="2267" t="s">
        <v>969</v>
      </c>
      <c r="H10" s="2265" t="s">
        <v>970</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971</v>
      </c>
      <c r="I12" s="1250"/>
      <c r="J12" s="1244"/>
      <c r="K12" s="1252"/>
    </row>
    <row customHeight="1" ht="10.5" hidden="1">
      <c r="F13" s="1244">
        <v>1</v>
      </c>
      <c r="G13" s="1244">
        <v>2</v>
      </c>
      <c r="H13" s="1244">
        <v>3</v>
      </c>
      <c r="I13" s="1244">
        <v>4</v>
      </c>
      <c r="J13" s="1244">
        <v>5</v>
      </c>
      <c r="K13" s="1252"/>
    </row>
    <row customHeight="1" ht="11.25">
      <c r="F14" s="1243" t="s">
        <v>972</v>
      </c>
      <c r="G14" s="2260" t="s">
        <v>973</v>
      </c>
      <c r="H14" s="2260"/>
      <c r="I14" s="2260"/>
      <c r="J14" s="2260"/>
      <c r="K14" s="1252"/>
    </row>
    <row customHeight="1" ht="11.25">
      <c r="F15" s="1248">
        <v>1</v>
      </c>
      <c r="G15" s="696" t="s">
        <v>974</v>
      </c>
      <c r="H15" s="1254">
        <f>SUM(I15:J15)</f>
        <v>0</v>
      </c>
      <c r="I15" s="1254">
        <f>SUM(I16:I27)</f>
        <v>0</v>
      </c>
      <c r="J15" s="1243"/>
      <c r="K15" s="1252"/>
    </row>
    <row customHeight="1" ht="22.5">
      <c r="F16" s="1248" t="s">
        <v>975</v>
      </c>
      <c r="G16" s="1255" t="s">
        <v>976</v>
      </c>
      <c r="H16" s="1254">
        <f>SUM(I16:J16)</f>
        <v>0</v>
      </c>
      <c r="I16" s="1253"/>
      <c r="J16" s="1243"/>
      <c r="K16" s="1252"/>
    </row>
    <row customHeight="1" ht="22.5">
      <c r="F17" s="1248" t="s">
        <v>977</v>
      </c>
      <c r="G17" s="1255" t="s">
        <v>978</v>
      </c>
      <c r="H17" s="1254">
        <f>SUM(I17:J17)</f>
        <v>0</v>
      </c>
      <c r="I17" s="1253"/>
      <c r="J17" s="1243"/>
      <c r="K17" s="1252"/>
    </row>
    <row customHeight="1" ht="33.75">
      <c r="F18" s="1248" t="s">
        <v>979</v>
      </c>
      <c r="G18" s="1255" t="s">
        <v>980</v>
      </c>
      <c r="H18" s="1254">
        <f>SUM(I18:J18)</f>
        <v>0</v>
      </c>
      <c r="I18" s="1253"/>
      <c r="J18" s="1243"/>
      <c r="K18" s="1252"/>
    </row>
    <row customHeight="1" ht="33.75">
      <c r="F19" s="1248" t="s">
        <v>981</v>
      </c>
      <c r="G19" s="1255" t="s">
        <v>982</v>
      </c>
      <c r="H19" s="1254">
        <f>SUM(I19:J19)</f>
        <v>0</v>
      </c>
      <c r="I19" s="1253"/>
      <c r="J19" s="1243"/>
      <c r="K19" s="1252"/>
    </row>
    <row customHeight="1" ht="45">
      <c r="F20" s="1248" t="s">
        <v>983</v>
      </c>
      <c r="G20" s="1255" t="s">
        <v>984</v>
      </c>
      <c r="H20" s="1254">
        <f>SUM(I20:J20)</f>
        <v>0</v>
      </c>
      <c r="I20" s="1253"/>
      <c r="J20" s="1243"/>
      <c r="K20" s="1252"/>
    </row>
    <row customHeight="1" ht="33.75">
      <c r="F21" s="1248" t="s">
        <v>985</v>
      </c>
      <c r="G21" s="1255" t="s">
        <v>986</v>
      </c>
      <c r="H21" s="1254">
        <f>SUM(I21:J21)</f>
        <v>0</v>
      </c>
      <c r="I21" s="1253"/>
      <c r="J21" s="1243"/>
      <c r="K21" s="1252"/>
    </row>
    <row customHeight="1" ht="33.75">
      <c r="F22" s="1248" t="s">
        <v>987</v>
      </c>
      <c r="G22" s="1255" t="s">
        <v>988</v>
      </c>
      <c r="H22" s="1254">
        <f>SUM(I22:J22)</f>
        <v>0</v>
      </c>
      <c r="I22" s="1253"/>
      <c r="J22" s="1243"/>
      <c r="K22" s="1252"/>
    </row>
    <row customHeight="1" ht="22.5">
      <c r="F23" s="1248" t="s">
        <v>989</v>
      </c>
      <c r="G23" s="1255" t="s">
        <v>990</v>
      </c>
      <c r="H23" s="1254">
        <f>SUM(I23:J23)</f>
        <v>0</v>
      </c>
      <c r="I23" s="1253"/>
      <c r="J23" s="1243"/>
      <c r="K23" s="1252"/>
    </row>
    <row customHeight="1" ht="22.5">
      <c r="F24" s="1248" t="s">
        <v>991</v>
      </c>
      <c r="G24" s="1255" t="s">
        <v>992</v>
      </c>
      <c r="H24" s="1254">
        <f>SUM(I24:J24)</f>
        <v>0</v>
      </c>
      <c r="I24" s="1253"/>
      <c r="J24" s="1243"/>
      <c r="K24" s="1252"/>
    </row>
    <row customHeight="1" ht="33.75">
      <c r="F25" s="1248" t="s">
        <v>993</v>
      </c>
      <c r="G25" s="1255" t="s">
        <v>994</v>
      </c>
      <c r="H25" s="1254">
        <f>SUM(I25:J25)</f>
        <v>0</v>
      </c>
      <c r="I25" s="1253"/>
      <c r="J25" s="1243"/>
      <c r="K25" s="1252"/>
    </row>
    <row customHeight="1" ht="33.75">
      <c r="F26" s="1248" t="s">
        <v>995</v>
      </c>
      <c r="G26" s="1255" t="s">
        <v>996</v>
      </c>
      <c r="H26" s="1254">
        <f>SUM(I26:J26)</f>
        <v>0</v>
      </c>
      <c r="I26" s="1253"/>
      <c r="J26" s="1243"/>
      <c r="K26" s="1252"/>
    </row>
    <row customHeight="1" ht="11.25">
      <c r="F27" s="1248" t="s">
        <v>997</v>
      </c>
      <c r="G27" s="1255" t="s">
        <v>998</v>
      </c>
      <c r="H27" s="1254">
        <f>SUM(I27:J27)</f>
        <v>0</v>
      </c>
      <c r="I27" s="1253"/>
      <c r="J27" s="1243"/>
      <c r="K27" s="1252"/>
    </row>
    <row customHeight="1" ht="11.25">
      <c r="F28" s="1248">
        <v>2</v>
      </c>
      <c r="G28" s="696" t="s">
        <v>999</v>
      </c>
      <c r="H28" s="1254">
        <f>SUM(I28:J28)</f>
        <v>0</v>
      </c>
      <c r="I28" s="1254">
        <f>SUM(I29:I31)</f>
        <v>0</v>
      </c>
      <c r="J28" s="1243"/>
      <c r="K28" s="1252"/>
    </row>
    <row customHeight="1" ht="11.25">
      <c r="F29" s="1248" t="s">
        <v>661</v>
      </c>
      <c r="G29" s="1255" t="s">
        <v>1000</v>
      </c>
      <c r="H29" s="1254">
        <f>SUM(I29:J29)</f>
        <v>0</v>
      </c>
      <c r="I29" s="1253"/>
      <c r="J29" s="1243"/>
      <c r="K29" s="1252"/>
    </row>
    <row customHeight="1" ht="11.25">
      <c r="F30" s="1248" t="s">
        <v>352</v>
      </c>
      <c r="G30" s="1255" t="s">
        <v>1001</v>
      </c>
      <c r="H30" s="1254">
        <f>SUM(I30:J30)</f>
        <v>0</v>
      </c>
      <c r="I30" s="1253"/>
      <c r="J30" s="1243"/>
      <c r="K30" s="1252"/>
    </row>
    <row customHeight="1" ht="11.25">
      <c r="F31" s="1248" t="s">
        <v>355</v>
      </c>
      <c r="G31" s="1255" t="s">
        <v>1002</v>
      </c>
      <c r="H31" s="1254">
        <f>SUM(I31:J31)</f>
        <v>0</v>
      </c>
      <c r="I31" s="1253"/>
      <c r="J31" s="1243"/>
      <c r="K31" s="1252"/>
    </row>
    <row customHeight="1" ht="11.25">
      <c r="F32" s="1248">
        <v>3</v>
      </c>
      <c r="G32" s="696" t="s">
        <v>1003</v>
      </c>
      <c r="H32" s="1254">
        <f>SUM(I32:J32)</f>
        <v>0</v>
      </c>
      <c r="I32" s="1254">
        <f>SUM(I33:I34)</f>
        <v>0</v>
      </c>
      <c r="J32" s="1243"/>
      <c r="K32" s="1252"/>
    </row>
    <row customHeight="1" ht="33.75">
      <c r="F33" s="1248" t="s">
        <v>371</v>
      </c>
      <c r="G33" s="1255" t="s">
        <v>1004</v>
      </c>
      <c r="H33" s="1254">
        <f>SUM(I33:J33)</f>
        <v>0</v>
      </c>
      <c r="I33" s="1253"/>
      <c r="J33" s="1243"/>
      <c r="K33" s="1252"/>
    </row>
    <row customHeight="1" ht="11.25">
      <c r="F34" s="1248" t="s">
        <v>379</v>
      </c>
      <c r="G34" s="1255" t="s">
        <v>1005</v>
      </c>
      <c r="H34" s="1254">
        <f>SUM(I34:J34)</f>
        <v>0</v>
      </c>
      <c r="I34" s="1253"/>
      <c r="J34" s="1243"/>
      <c r="K34" s="1252"/>
    </row>
    <row customHeight="1" ht="11.25">
      <c r="F35" s="1248">
        <v>4</v>
      </c>
      <c r="G35" s="696" t="s">
        <v>1006</v>
      </c>
      <c r="H35" s="1254">
        <f>SUM(I35:J35)</f>
        <v>0</v>
      </c>
      <c r="I35" s="1253"/>
      <c r="J35" s="1243"/>
      <c r="K35" s="1252"/>
    </row>
    <row customHeight="1" ht="11.25">
      <c r="F36" s="1248"/>
      <c r="G36" s="699" t="s">
        <v>1007</v>
      </c>
      <c r="H36" s="1254">
        <f>SUM(I36:J36)</f>
        <v>0</v>
      </c>
      <c r="I36" s="1254">
        <f>SUM(I15,I28,I32,I35)</f>
        <v>0</v>
      </c>
      <c r="J36" s="1243"/>
      <c r="K36" s="1252"/>
    </row>
    <row customHeight="1" ht="27.75">
      <c r="F37" s="1249" t="s">
        <v>1008</v>
      </c>
      <c r="G37" s="2261" t="s">
        <v>1009</v>
      </c>
      <c r="H37" s="2261"/>
      <c r="I37" s="2261"/>
      <c r="J37" s="2261"/>
      <c r="K37" s="1252"/>
    </row>
    <row customHeight="1" ht="22.5">
      <c r="F38" s="1248" t="s">
        <v>128</v>
      </c>
      <c r="G38" s="696" t="s">
        <v>1010</v>
      </c>
      <c r="H38" s="1254">
        <f>SUM(I38:J38)</f>
        <v>0</v>
      </c>
      <c r="I38" s="1254">
        <f>SUM(I39,I44,I47)</f>
        <v>0</v>
      </c>
      <c r="J38" s="1243"/>
      <c r="K38" s="1252"/>
    </row>
    <row customHeight="1" ht="11.25">
      <c r="F39" s="1248" t="s">
        <v>975</v>
      </c>
      <c r="G39" s="1255" t="s">
        <v>974</v>
      </c>
      <c r="H39" s="1254">
        <f>SUM(I39:J39)</f>
        <v>0</v>
      </c>
      <c r="I39" s="1254">
        <f>SUM(I40:I43)</f>
        <v>0</v>
      </c>
      <c r="J39" s="1243"/>
      <c r="K39" s="1252"/>
    </row>
    <row customHeight="1" ht="22.5">
      <c r="F40" s="1248" t="s">
        <v>1011</v>
      </c>
      <c r="G40" s="1256" t="s">
        <v>1012</v>
      </c>
      <c r="H40" s="1254">
        <f>SUM(I40:J40)</f>
        <v>0</v>
      </c>
      <c r="I40" s="1253"/>
      <c r="J40" s="1243"/>
      <c r="K40" s="1252"/>
    </row>
    <row customHeight="1" ht="11.25">
      <c r="F41" s="1248" t="s">
        <v>1013</v>
      </c>
      <c r="G41" s="1256" t="s">
        <v>1014</v>
      </c>
      <c r="H41" s="1254">
        <f>SUM(I41:J41)</f>
        <v>0</v>
      </c>
      <c r="I41" s="1253"/>
      <c r="J41" s="1243"/>
      <c r="K41" s="1252"/>
    </row>
    <row customHeight="1" ht="11.25">
      <c r="F42" s="1248" t="s">
        <v>1015</v>
      </c>
      <c r="G42" s="1256" t="s">
        <v>1016</v>
      </c>
      <c r="H42" s="1254">
        <f>SUM(I42:J42)</f>
        <v>0</v>
      </c>
      <c r="I42" s="1253"/>
      <c r="J42" s="1243"/>
      <c r="K42" s="1252"/>
    </row>
    <row customHeight="1" ht="33.75">
      <c r="F43" s="1248" t="s">
        <v>1017</v>
      </c>
      <c r="G43" s="1256" t="s">
        <v>1018</v>
      </c>
      <c r="H43" s="1254">
        <f>SUM(I43:J43)</f>
        <v>0</v>
      </c>
      <c r="I43" s="1253"/>
      <c r="J43" s="1243"/>
      <c r="K43" s="1252"/>
    </row>
    <row customHeight="1" ht="11.25">
      <c r="F44" s="1248" t="s">
        <v>977</v>
      </c>
      <c r="G44" s="1255" t="s">
        <v>1003</v>
      </c>
      <c r="H44" s="1254">
        <f>SUM(I44:J44)</f>
        <v>0</v>
      </c>
      <c r="I44" s="1254">
        <f>SUM(I45:I46)</f>
        <v>0</v>
      </c>
      <c r="J44" s="1243"/>
      <c r="K44" s="1252"/>
    </row>
    <row customHeight="1" ht="45">
      <c r="F45" s="1248" t="s">
        <v>1019</v>
      </c>
      <c r="G45" s="1256" t="s">
        <v>1004</v>
      </c>
      <c r="H45" s="1254">
        <f>SUM(I45:J45)</f>
        <v>0</v>
      </c>
      <c r="I45" s="1253"/>
      <c r="J45" s="1243"/>
      <c r="K45" s="1252"/>
    </row>
    <row customHeight="1" ht="11.25">
      <c r="F46" s="1248" t="s">
        <v>1020</v>
      </c>
      <c r="G46" s="1256" t="s">
        <v>1005</v>
      </c>
      <c r="H46" s="1254">
        <f>SUM(I46:J46)</f>
        <v>0</v>
      </c>
      <c r="I46" s="1253"/>
      <c r="J46" s="1243"/>
      <c r="K46" s="1252"/>
    </row>
    <row customHeight="1" ht="11.25">
      <c r="F47" s="1248" t="s">
        <v>979</v>
      </c>
      <c r="G47" s="1255" t="s">
        <v>1021</v>
      </c>
      <c r="H47" s="1254">
        <f>SUM(I47:J47)</f>
        <v>0</v>
      </c>
      <c r="I47" s="1253"/>
      <c r="J47" s="1243"/>
      <c r="K47" s="1252"/>
    </row>
    <row customHeight="1" ht="22.5">
      <c r="F48" s="1248" t="s">
        <v>102</v>
      </c>
      <c r="G48" s="696" t="s">
        <v>1022</v>
      </c>
      <c r="H48" s="1254">
        <f>SUM(I48:J48)</f>
        <v>0</v>
      </c>
      <c r="I48" s="1254">
        <f>SUM(I49,I54,I57)</f>
        <v>0</v>
      </c>
      <c r="J48" s="1243"/>
      <c r="K48" s="1252"/>
    </row>
    <row customHeight="1" ht="11.25">
      <c r="F49" s="1248" t="s">
        <v>661</v>
      </c>
      <c r="G49" s="1255" t="s">
        <v>974</v>
      </c>
      <c r="H49" s="1254">
        <f>SUM(I49:J49)</f>
        <v>0</v>
      </c>
      <c r="I49" s="1254">
        <f>SUM(I50:I53)</f>
        <v>0</v>
      </c>
      <c r="J49" s="1243"/>
      <c r="K49" s="1252"/>
    </row>
    <row customHeight="1" ht="22.5">
      <c r="F50" s="1248" t="s">
        <v>664</v>
      </c>
      <c r="G50" s="1256" t="s">
        <v>1012</v>
      </c>
      <c r="H50" s="1254">
        <f>SUM(I50:J50)</f>
        <v>0</v>
      </c>
      <c r="I50" s="1253"/>
      <c r="J50" s="1243"/>
      <c r="K50" s="1252"/>
    </row>
    <row customHeight="1" ht="11.25">
      <c r="F51" s="1248" t="s">
        <v>667</v>
      </c>
      <c r="G51" s="1256" t="s">
        <v>1014</v>
      </c>
      <c r="H51" s="1254">
        <f>SUM(I51:J51)</f>
        <v>0</v>
      </c>
      <c r="I51" s="1253"/>
      <c r="J51" s="1243"/>
      <c r="K51" s="1252"/>
    </row>
    <row customHeight="1" ht="11.25">
      <c r="F52" s="1248" t="s">
        <v>1023</v>
      </c>
      <c r="G52" s="1256" t="s">
        <v>1016</v>
      </c>
      <c r="H52" s="1254">
        <f>SUM(I52:J52)</f>
        <v>0</v>
      </c>
      <c r="I52" s="1253"/>
      <c r="J52" s="1243"/>
      <c r="K52" s="1252"/>
    </row>
    <row customHeight="1" ht="33.75">
      <c r="F53" s="1248" t="s">
        <v>1024</v>
      </c>
      <c r="G53" s="1256" t="s">
        <v>1018</v>
      </c>
      <c r="H53" s="1254">
        <f>SUM(I53:J53)</f>
        <v>0</v>
      </c>
      <c r="I53" s="1253"/>
      <c r="J53" s="1243"/>
      <c r="K53" s="1252"/>
    </row>
    <row customHeight="1" ht="11.25">
      <c r="F54" s="1248" t="s">
        <v>352</v>
      </c>
      <c r="G54" s="1255" t="s">
        <v>1003</v>
      </c>
      <c r="H54" s="1254">
        <f>SUM(I54:J54)</f>
        <v>0</v>
      </c>
      <c r="I54" s="1254">
        <f>SUM(I55:I56)</f>
        <v>0</v>
      </c>
      <c r="J54" s="1243"/>
      <c r="K54" s="1252"/>
    </row>
    <row customHeight="1" ht="45">
      <c r="F55" s="1248" t="s">
        <v>671</v>
      </c>
      <c r="G55" s="1256" t="s">
        <v>1004</v>
      </c>
      <c r="H55" s="1254">
        <f>SUM(I55:J55)</f>
        <v>0</v>
      </c>
      <c r="I55" s="1253"/>
      <c r="J55" s="1243"/>
      <c r="K55" s="1252"/>
    </row>
    <row customHeight="1" ht="11.25">
      <c r="F56" s="1248" t="s">
        <v>673</v>
      </c>
      <c r="G56" s="1256" t="s">
        <v>1005</v>
      </c>
      <c r="H56" s="1254">
        <f>SUM(I56:J56)</f>
        <v>0</v>
      </c>
      <c r="I56" s="1253"/>
      <c r="J56" s="1243"/>
      <c r="K56" s="1252"/>
    </row>
    <row customHeight="1" ht="11.25">
      <c r="F57" s="1248" t="s">
        <v>355</v>
      </c>
      <c r="G57" s="1255" t="s">
        <v>1021</v>
      </c>
      <c r="H57" s="1254">
        <f>SUM(I57:J57)</f>
        <v>0</v>
      </c>
      <c r="I57" s="1253"/>
      <c r="J57" s="1243"/>
      <c r="K57" s="1252"/>
    </row>
    <row customHeight="1" ht="11.25">
      <c r="F58" s="1248"/>
      <c r="G58" s="1257" t="s">
        <v>1007</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5350B-C479-0D26-4131-7C3CB9ED5E1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671" width="4.7109375" hidden="1" customWidth="1"/>
    <col min="2" max="2" style="6672" width="4.7109375" hidden="1" customWidth="1"/>
    <col min="3" max="4" style="6671" width="4.7109375" hidden="1" customWidth="1"/>
    <col min="5" max="5" style="6671" width="3.57421875" customWidth="1"/>
    <col min="6" max="6" style="6671" width="6.7109375" customWidth="1"/>
    <col min="7" max="7" style="6671" width="18.7109375" customWidth="1"/>
    <col min="8" max="8" style="6671" width="27.28125" customWidth="1"/>
    <col min="9" max="9" style="6671" width="18.7109375" customWidth="1"/>
    <col min="10" max="14" style="6671" width="0.8515625" hidden="1" customWidth="1"/>
    <col min="15" max="28" style="6671" width="21.7109375" customWidth="1"/>
    <col min="29" max="71" style="6671" width="0.8515625" customWidth="1"/>
    <col min="72" max="79" style="6671" width="21.7109375" hidden="1" customWidth="1"/>
    <col min="80" max="81" style="6671" width="29.140625" hidden="1" customWidth="1"/>
    <col min="82" max="89" style="6671" width="21.7109375" hidden="1" customWidth="1"/>
    <col min="90" max="102" style="6671" width="0.7109375" hidden="1" customWidth="1"/>
    <col min="103" max="114" style="6671" width="21.7109375" hidden="1" customWidth="1"/>
    <col min="115" max="178" style="6671" width="0.7109375" hidden="1" customWidth="1"/>
    <col min="179" max="179" style="6671" width="0.140625" customWidth="1"/>
    <col min="180" max="184" style="6671" width="9.140625"/>
  </cols>
  <sheetData>
    <row s="6599" customFormat="1" customHeight="1" ht="12" hidden="1">
      <c r="B1" s="929"/>
      <c r="C1" s="930"/>
      <c r="D1" s="930"/>
    </row>
    <row s="6599"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6599"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6607"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6611" customFormat="1" customHeight="1" ht="18">
      <c r="B6" s="950"/>
      <c r="E6" s="952"/>
      <c r="F6" s="2079" t="str">
        <f>IF(org=0,"Не определено",org)</f>
        <v>АО "Мурманэнергосбыт"</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6614"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6616" customFormat="1" customHeight="1" ht="11.25" hidden="1">
      <c r="B8" s="940"/>
      <c r="F8" s="1063"/>
      <c r="G8" s="769"/>
      <c r="H8" s="356"/>
      <c r="I8" s="356"/>
      <c r="J8" s="356"/>
      <c r="K8" s="356"/>
      <c r="L8" s="356"/>
      <c r="M8" s="1063"/>
      <c r="N8" s="1063"/>
      <c r="O8" s="2281" t="s">
        <v>1025</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1026</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6616"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6616" customFormat="1" customHeight="1" ht="11.25">
      <c r="B10" s="940"/>
      <c r="F10" s="2292" t="s">
        <v>345</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1027</v>
      </c>
      <c r="H11" s="2291" t="s">
        <v>1028</v>
      </c>
      <c r="I11" s="2291" t="s">
        <v>1029</v>
      </c>
      <c r="J11" s="2290"/>
      <c r="K11" s="2290"/>
      <c r="L11" s="2290"/>
      <c r="M11" s="2290"/>
      <c r="N11" s="2290"/>
      <c r="O11" s="2062" t="s">
        <v>1030</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1030</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1030</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1031</v>
      </c>
      <c r="P12" s="2062"/>
      <c r="Q12" s="2062"/>
      <c r="R12" s="2062"/>
      <c r="S12" s="2062" t="s">
        <v>1032</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1033</v>
      </c>
      <c r="BU12" s="2274"/>
      <c r="BV12" s="2274"/>
      <c r="BW12" s="2271"/>
      <c r="BX12" s="2270" t="s">
        <v>1034</v>
      </c>
      <c r="BY12" s="2274"/>
      <c r="BZ12" s="2274"/>
      <c r="CA12" s="2271"/>
      <c r="CB12" s="2270" t="s">
        <v>1035</v>
      </c>
      <c r="CC12" s="2271"/>
      <c r="CD12" s="2270" t="s">
        <v>1036</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1037</v>
      </c>
      <c r="CZ12" s="2274"/>
      <c r="DA12" s="2274"/>
      <c r="DB12" s="2274"/>
      <c r="DC12" s="2274"/>
      <c r="DD12" s="2271"/>
      <c r="DE12" s="2270" t="s">
        <v>1038</v>
      </c>
      <c r="DF12" s="2271"/>
      <c r="DG12" s="2270" t="s">
        <v>1036</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1039</v>
      </c>
      <c r="P13" s="2062"/>
      <c r="Q13" s="2062"/>
      <c r="R13" s="2062"/>
      <c r="S13" s="2189" t="s">
        <v>1040</v>
      </c>
      <c r="T13" s="2268"/>
      <c r="U13" s="1971" t="s">
        <v>1041</v>
      </c>
      <c r="V13" s="1971"/>
      <c r="W13" s="1971"/>
      <c r="X13" s="1971"/>
      <c r="Y13" s="1971" t="s">
        <v>1042</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1043</v>
      </c>
      <c r="BU13" s="2268"/>
      <c r="BV13" s="2189" t="s">
        <v>1044</v>
      </c>
      <c r="BW13" s="2268"/>
      <c r="BX13" s="2189" t="s">
        <v>1045</v>
      </c>
      <c r="BY13" s="2268"/>
      <c r="BZ13" s="2189" t="s">
        <v>1046</v>
      </c>
      <c r="CA13" s="2268"/>
      <c r="CB13" s="2189" t="s">
        <v>1047</v>
      </c>
      <c r="CC13" s="2268"/>
      <c r="CD13" s="2189" t="s">
        <v>1048</v>
      </c>
      <c r="CE13" s="2268"/>
      <c r="CF13" s="2189" t="s">
        <v>1049</v>
      </c>
      <c r="CG13" s="2268"/>
      <c r="CH13" s="2270" t="s">
        <v>1050</v>
      </c>
      <c r="CI13" s="2274"/>
      <c r="CJ13" s="2274"/>
      <c r="CK13" s="2271"/>
      <c r="CL13" s="2280"/>
      <c r="CM13" s="2272"/>
      <c r="CN13" s="2272"/>
      <c r="CO13" s="2272"/>
      <c r="CP13" s="2272"/>
      <c r="CQ13" s="2272"/>
      <c r="CR13" s="2272"/>
      <c r="CS13" s="2272"/>
      <c r="CT13" s="2272"/>
      <c r="CU13" s="2272"/>
      <c r="CV13" s="2272"/>
      <c r="CW13" s="2272"/>
      <c r="CX13" s="2273"/>
      <c r="CY13" s="2189" t="s">
        <v>1051</v>
      </c>
      <c r="CZ13" s="2268"/>
      <c r="DA13" s="2189" t="s">
        <v>1052</v>
      </c>
      <c r="DB13" s="2268"/>
      <c r="DC13" s="2189" t="s">
        <v>1053</v>
      </c>
      <c r="DD13" s="2268"/>
      <c r="DE13" s="2189" t="s">
        <v>1054</v>
      </c>
      <c r="DF13" s="2268"/>
      <c r="DG13" s="2270" t="s">
        <v>1055</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1056</v>
      </c>
      <c r="P14" s="2268"/>
      <c r="Q14" s="2189" t="s">
        <v>1057</v>
      </c>
      <c r="R14" s="2268"/>
      <c r="S14" s="2190"/>
      <c r="T14" s="2063"/>
      <c r="U14" s="2189" t="s">
        <v>789</v>
      </c>
      <c r="V14" s="2268"/>
      <c r="W14" s="2189" t="s">
        <v>792</v>
      </c>
      <c r="X14" s="2268"/>
      <c r="Y14" s="2189" t="s">
        <v>789</v>
      </c>
      <c r="Z14" s="2268"/>
      <c r="AA14" s="2189" t="s">
        <v>799</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1058</v>
      </c>
      <c r="CI14" s="2268"/>
      <c r="CJ14" s="2189" t="s">
        <v>1059</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1060</v>
      </c>
      <c r="DH14" s="2268"/>
      <c r="DI14" s="2189" t="s">
        <v>1061</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779</v>
      </c>
      <c r="P16" s="2271"/>
      <c r="Q16" s="2270" t="s">
        <v>781</v>
      </c>
      <c r="R16" s="2271"/>
      <c r="S16" s="2270" t="s">
        <v>785</v>
      </c>
      <c r="T16" s="2271"/>
      <c r="U16" s="2270" t="s">
        <v>790</v>
      </c>
      <c r="V16" s="2271"/>
      <c r="W16" s="2270" t="s">
        <v>793</v>
      </c>
      <c r="X16" s="2271"/>
      <c r="Y16" s="2270" t="s">
        <v>797</v>
      </c>
      <c r="Z16" s="2271"/>
      <c r="AA16" s="2270" t="s">
        <v>800</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597</v>
      </c>
      <c r="BU16" s="2271"/>
      <c r="BV16" s="2270" t="s">
        <v>597</v>
      </c>
      <c r="BW16" s="2271"/>
      <c r="BX16" s="2270" t="s">
        <v>597</v>
      </c>
      <c r="BY16" s="2271"/>
      <c r="BZ16" s="2270" t="s">
        <v>597</v>
      </c>
      <c r="CA16" s="2271"/>
      <c r="CB16" s="2270" t="s">
        <v>1062</v>
      </c>
      <c r="CC16" s="2271"/>
      <c r="CD16" s="2270" t="s">
        <v>597</v>
      </c>
      <c r="CE16" s="2271"/>
      <c r="CF16" s="2270" t="s">
        <v>1063</v>
      </c>
      <c r="CG16" s="2271"/>
      <c r="CH16" s="2270" t="s">
        <v>1064</v>
      </c>
      <c r="CI16" s="2271"/>
      <c r="CJ16" s="2270" t="s">
        <v>1064</v>
      </c>
      <c r="CK16" s="2271"/>
      <c r="CL16" s="2280"/>
      <c r="CM16" s="2272"/>
      <c r="CN16" s="2272"/>
      <c r="CO16" s="2272"/>
      <c r="CP16" s="2272"/>
      <c r="CQ16" s="2272"/>
      <c r="CR16" s="2272"/>
      <c r="CS16" s="2272"/>
      <c r="CT16" s="2272"/>
      <c r="CU16" s="2272"/>
      <c r="CV16" s="2272"/>
      <c r="CW16" s="2272"/>
      <c r="CX16" s="2273"/>
      <c r="CY16" s="2189" t="s">
        <v>597</v>
      </c>
      <c r="CZ16" s="2268"/>
      <c r="DA16" s="2189" t="s">
        <v>597</v>
      </c>
      <c r="DB16" s="2268"/>
      <c r="DC16" s="2189" t="s">
        <v>597</v>
      </c>
      <c r="DD16" s="2268"/>
      <c r="DE16" s="2270" t="s">
        <v>1062</v>
      </c>
      <c r="DF16" s="2271"/>
      <c r="DG16" s="2270" t="s">
        <v>1065</v>
      </c>
      <c r="DH16" s="2271"/>
      <c r="DI16" s="2270" t="s">
        <v>1065</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1066</v>
      </c>
      <c r="P17" s="1201" t="s">
        <v>1067</v>
      </c>
      <c r="Q17" s="1201" t="s">
        <v>1066</v>
      </c>
      <c r="R17" s="1201" t="s">
        <v>1067</v>
      </c>
      <c r="S17" s="1201" t="s">
        <v>1066</v>
      </c>
      <c r="T17" s="1201" t="s">
        <v>1067</v>
      </c>
      <c r="U17" s="1201" t="s">
        <v>1066</v>
      </c>
      <c r="V17" s="1201" t="s">
        <v>1067</v>
      </c>
      <c r="W17" s="1201" t="s">
        <v>1066</v>
      </c>
      <c r="X17" s="1201" t="s">
        <v>1067</v>
      </c>
      <c r="Y17" s="1201" t="s">
        <v>1066</v>
      </c>
      <c r="Z17" s="1201" t="s">
        <v>1067</v>
      </c>
      <c r="AA17" s="1201" t="s">
        <v>1066</v>
      </c>
      <c r="AB17" s="1201" t="s">
        <v>1067</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1066</v>
      </c>
      <c r="BU17" s="1201" t="s">
        <v>1067</v>
      </c>
      <c r="BV17" s="1201" t="s">
        <v>1066</v>
      </c>
      <c r="BW17" s="1201" t="s">
        <v>1067</v>
      </c>
      <c r="BX17" s="1201" t="s">
        <v>1066</v>
      </c>
      <c r="BY17" s="1201" t="s">
        <v>1067</v>
      </c>
      <c r="BZ17" s="1201" t="s">
        <v>1066</v>
      </c>
      <c r="CA17" s="1201" t="s">
        <v>1067</v>
      </c>
      <c r="CB17" s="1201" t="s">
        <v>1066</v>
      </c>
      <c r="CC17" s="1201" t="s">
        <v>1067</v>
      </c>
      <c r="CD17" s="1201" t="s">
        <v>1066</v>
      </c>
      <c r="CE17" s="1201" t="s">
        <v>1067</v>
      </c>
      <c r="CF17" s="1201" t="s">
        <v>1066</v>
      </c>
      <c r="CG17" s="1201" t="s">
        <v>1067</v>
      </c>
      <c r="CH17" s="1201" t="s">
        <v>1066</v>
      </c>
      <c r="CI17" s="1201" t="s">
        <v>1067</v>
      </c>
      <c r="CJ17" s="1201" t="s">
        <v>1066</v>
      </c>
      <c r="CK17" s="1201" t="s">
        <v>1067</v>
      </c>
      <c r="CL17" s="2280"/>
      <c r="CM17" s="2272"/>
      <c r="CN17" s="2272"/>
      <c r="CO17" s="2272"/>
      <c r="CP17" s="2272"/>
      <c r="CQ17" s="2272"/>
      <c r="CR17" s="2272"/>
      <c r="CS17" s="2272"/>
      <c r="CT17" s="2272"/>
      <c r="CU17" s="2272"/>
      <c r="CV17" s="2272"/>
      <c r="CW17" s="2272"/>
      <c r="CX17" s="2273"/>
      <c r="CY17" s="1201" t="s">
        <v>1066</v>
      </c>
      <c r="CZ17" s="1201" t="s">
        <v>1067</v>
      </c>
      <c r="DA17" s="1201" t="s">
        <v>1066</v>
      </c>
      <c r="DB17" s="1201" t="s">
        <v>1067</v>
      </c>
      <c r="DC17" s="1201" t="s">
        <v>1066</v>
      </c>
      <c r="DD17" s="1201" t="s">
        <v>1067</v>
      </c>
      <c r="DE17" s="1201" t="s">
        <v>1066</v>
      </c>
      <c r="DF17" s="1201" t="s">
        <v>1067</v>
      </c>
      <c r="DG17" s="1201" t="s">
        <v>1066</v>
      </c>
      <c r="DH17" s="1201" t="s">
        <v>1067</v>
      </c>
      <c r="DI17" s="1201" t="s">
        <v>1066</v>
      </c>
      <c r="DJ17" s="1201" t="s">
        <v>1067</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6601"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6601"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6599" customFormat="1" customHeight="1" ht="11.25" hidden="1">
      <c r="B20" s="946"/>
      <c r="D20" s="930"/>
      <c r="E20" s="945"/>
      <c r="F20" s="1207" t="s">
        <v>423</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6599"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6599" customFormat="1" customHeight="1" ht="12">
      <c r="A22" s="947"/>
      <c r="B22" s="947"/>
      <c r="C22" s="947"/>
      <c r="D22" s="947"/>
      <c r="E22" s="947"/>
      <c r="FX22" s="947"/>
      <c r="FY22" s="947"/>
      <c r="FZ22" s="947"/>
      <c r="GA22" s="947"/>
      <c r="GB22" s="947"/>
    </row>
    <row s="6667"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917E6-6FEE-7909-BD1C-42D8FC98AD26}"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91" width="9.140625" hidden="1" customWidth="1"/>
    <col min="2" max="2" style="3193" width="9.140625" hidden="1" customWidth="1"/>
    <col min="3" max="3" style="6494" width="4.7109375" customWidth="1"/>
    <col min="4" max="4" style="3193" width="6.28125" customWidth="1"/>
    <col min="5" max="5" style="3193" width="36.7109375" customWidth="1"/>
    <col min="6" max="6" style="3193" width="9.57421875" customWidth="1"/>
    <col min="7" max="7" style="2624" width="42.421875" hidden="1" customWidth="1"/>
    <col min="8" max="8" style="3193" width="40.7109375" customWidth="1"/>
    <col min="9" max="9" style="2625" width="93.421875" customWidth="1"/>
    <col min="10" max="17" style="3193" width="10.57421875"/>
    <col min="18" max="18" style="6428"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"Мурманэнергосбыт"</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134</v>
      </c>
    </row>
    <row customHeight="1" ht="15">
      <c r="C9" s="162"/>
      <c r="D9" s="717"/>
      <c r="E9" s="2213" t="s">
        <v>124</v>
      </c>
      <c r="F9" s="2214"/>
      <c r="G9" s="822" t="str">
        <f>IF(G8="","",INDEX(DIFFERENTIATION_UNMERGE_VD,MATCH(G8,DIFFERENTIATION_ID_DIFF,0)))</f>
        <v/>
      </c>
      <c r="H9" s="822">
        <f>IF(H8="","",INDEX(DIFFERENTIATION_UNMERGE_VD,MATCH(H8,DIFFERENTIATION_ID_DIFF,0)))</f>
        <v>0</v>
      </c>
      <c r="I9" s="1971" t="s">
        <v>346</v>
      </c>
    </row>
    <row s="2624" customFormat="1" customHeight="1" ht="15">
      <c r="A10" s="765"/>
      <c r="C10" s="162"/>
      <c r="D10" s="717"/>
      <c r="E10" s="2213" t="s">
        <v>603</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604</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345</v>
      </c>
      <c r="E12" s="2216"/>
      <c r="F12" s="2216"/>
      <c r="G12" s="893"/>
      <c r="H12" s="893"/>
      <c r="I12" s="1971"/>
      <c r="R12" s="681"/>
    </row>
    <row customHeight="1" ht="33.75">
      <c r="C13" s="162"/>
      <c r="D13" s="767" t="s">
        <v>87</v>
      </c>
      <c r="E13" s="766" t="s">
        <v>347</v>
      </c>
      <c r="F13" s="766" t="s">
        <v>605</v>
      </c>
      <c r="G13" s="814" t="s">
        <v>348</v>
      </c>
      <c r="H13" s="760" t="s">
        <v>348</v>
      </c>
      <c r="I13" s="1971"/>
    </row>
    <row customHeight="1" ht="15" hidden="1">
      <c r="C14" s="162"/>
      <c r="D14" s="599" t="s">
        <v>128</v>
      </c>
      <c r="E14" s="599" t="s">
        <v>102</v>
      </c>
      <c r="F14" s="599" t="s">
        <v>89</v>
      </c>
      <c r="G14" s="665" t="str">
        <f>G1&amp;".1"</f>
        <v>.1</v>
      </c>
      <c r="H14" s="665" t="str">
        <f>H1&amp;".1"</f>
        <v>4.1</v>
      </c>
      <c r="I14" s="277"/>
    </row>
    <row customHeight="1" ht="15">
      <c r="A15" s="511"/>
      <c r="C15" s="532"/>
      <c r="D15" s="527">
        <v>1</v>
      </c>
      <c r="E15" s="683" t="str">
        <f>TP_P_A</f>
        <v>Количество поданных заявок</v>
      </c>
      <c r="F15" s="527" t="s">
        <v>1068</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1068</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1068</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351</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1069</v>
      </c>
      <c r="E20" s="694"/>
      <c r="F20" s="515"/>
      <c r="G20" s="515"/>
      <c r="H20" s="515"/>
      <c r="I20" s="1803"/>
    </row>
    <row customHeight="1" ht="27.75">
      <c r="C21" s="457"/>
      <c r="D21" s="545" t="s">
        <v>360</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1070</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BBD77-7EE3-3595-374F-5C50E416054C}"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735" width="9.140625" hidden="1" customWidth="1"/>
    <col min="2" max="2" style="6716" width="9.140625" hidden="1" customWidth="1"/>
    <col min="3" max="3" style="6736" width="3.7109375" customWidth="1"/>
    <col min="4" max="4" style="2698" width="6.28125" customWidth="1"/>
    <col min="5" max="6" style="2698" width="64.140625" customWidth="1"/>
    <col min="7" max="7" style="2698" width="141.140625" customWidth="1"/>
    <col min="8" max="8" style="2698" width="10.57421875"/>
    <col min="9" max="10" style="2630" width="10.57421875"/>
    <col min="11" max="16" style="269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АО "Мурманэнергосбыт"</v>
      </c>
      <c r="E6" s="2300"/>
      <c r="F6" s="2300"/>
      <c r="G6" s="2301"/>
      <c r="I6" s="506"/>
      <c r="J6" s="506"/>
    </row>
    <row customHeight="1" ht="14.25">
      <c r="C7" s="82"/>
      <c r="D7" s="69"/>
      <c r="E7" s="81"/>
      <c r="F7" s="758"/>
      <c r="G7" s="179"/>
    </row>
    <row s="2992" customFormat="1" customHeight="1" ht="0.75">
      <c r="A8" s="1709"/>
      <c r="B8" s="1168"/>
      <c r="C8" s="377"/>
      <c r="D8" s="361"/>
      <c r="E8" s="395"/>
      <c r="F8" s="758"/>
      <c r="G8" s="179"/>
      <c r="I8" s="1664"/>
      <c r="J8" s="1664"/>
    </row>
    <row customHeight="1" ht="14.25">
      <c r="C9" s="82"/>
      <c r="D9" s="2062" t="s">
        <v>345</v>
      </c>
      <c r="E9" s="2062"/>
      <c r="F9" s="2062"/>
      <c r="G9" s="2302" t="s">
        <v>346</v>
      </c>
    </row>
    <row customHeight="1" ht="14.25">
      <c r="C10" s="82"/>
      <c r="D10" s="91" t="s">
        <v>87</v>
      </c>
      <c r="E10" s="94" t="s">
        <v>347</v>
      </c>
      <c r="F10" s="94" t="s">
        <v>437</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351</v>
      </c>
      <c r="G12" s="137"/>
    </row>
    <row customHeight="1" ht="22.5">
      <c r="A13" s="178"/>
      <c r="C13" s="82"/>
      <c r="D13" s="133" t="s">
        <v>975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351</v>
      </c>
      <c r="G13" s="137"/>
    </row>
    <row customHeight="1" ht="14.25">
      <c r="A14" s="178"/>
      <c r="C14" s="82"/>
      <c r="D14" s="133" t="s">
        <v>1011</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1071</v>
      </c>
      <c r="F15" s="187"/>
      <c r="G15" s="2017"/>
    </row>
    <row customHeight="1" ht="14.25">
      <c r="A16" s="178"/>
      <c r="C16" s="82"/>
      <c r="D16" s="133" t="s">
        <v>977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351</v>
      </c>
      <c r="G16" s="333"/>
    </row>
    <row customHeight="1" ht="14.25">
      <c r="A17" s="178"/>
      <c r="C17" s="82"/>
      <c r="D17" s="133" t="s">
        <v>1019</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6714" customFormat="1" customHeight="1" ht="21">
      <c r="A18" s="339"/>
      <c r="B18" s="132"/>
      <c r="C18" s="296"/>
      <c r="D18" s="343"/>
      <c r="E18" s="345" t="s">
        <v>1072</v>
      </c>
      <c r="F18" s="334"/>
      <c r="G18" s="2017"/>
      <c r="I18" s="346"/>
      <c r="J18" s="346"/>
    </row>
    <row s="2624" customFormat="1" customHeight="1" ht="256.5" hidden="1">
      <c r="A19" s="339"/>
      <c r="B19" s="423"/>
      <c r="C19" s="377"/>
      <c r="D19" s="890" t="s">
        <v>979</v>
      </c>
      <c r="E19" s="889" t="s">
        <v>1073</v>
      </c>
      <c r="F19" s="391"/>
      <c r="G19" s="333" t="s">
        <v>1074</v>
      </c>
      <c r="I19" s="506"/>
      <c r="J19" s="506"/>
    </row>
    <row s="6714" customFormat="1" customHeight="1" ht="14.25">
      <c r="A20" s="339"/>
      <c r="B20" s="132"/>
      <c r="C20" s="296"/>
      <c r="D20" s="891">
        <v>2</v>
      </c>
      <c r="E20" s="326" t="s">
        <v>1075</v>
      </c>
      <c r="F20" s="184" t="s">
        <v>351</v>
      </c>
      <c r="G20" s="333"/>
      <c r="I20" s="346"/>
      <c r="J20" s="346"/>
    </row>
    <row s="6714" customFormat="1" customHeight="1" ht="18.75" hidden="1">
      <c r="A21" s="339"/>
      <c r="B21" s="132"/>
      <c r="C21" s="296"/>
      <c r="D21" s="329" t="s">
        <v>905</v>
      </c>
      <c r="E21" s="328"/>
      <c r="F21" s="327"/>
      <c r="G21" s="337"/>
      <c r="H21" s="330"/>
      <c r="I21" s="346"/>
      <c r="J21" s="346"/>
    </row>
    <row customHeight="1" ht="15">
      <c r="A22" s="178"/>
      <c r="C22" s="82"/>
      <c r="D22" s="95"/>
      <c r="E22" s="189" t="s">
        <v>1076</v>
      </c>
      <c r="F22" s="334"/>
      <c r="G22" s="335"/>
    </row>
    <row s="2992" customFormat="1" customHeight="1" ht="22.5" hidden="1">
      <c r="A23" s="339"/>
      <c r="B23" s="1168"/>
      <c r="C23" s="377"/>
      <c r="D23" s="1713" t="s">
        <v>102</v>
      </c>
      <c r="E23" s="183" t="s">
        <v>1077</v>
      </c>
      <c r="F23" s="1710" t="s">
        <v>351</v>
      </c>
      <c r="G23" s="341"/>
      <c r="I23" s="1664"/>
      <c r="J23" s="1664"/>
    </row>
    <row s="2992" customFormat="1" customHeight="1" ht="14.25" hidden="1">
      <c r="A24" s="339"/>
      <c r="B24" s="1168"/>
      <c r="C24" s="377"/>
      <c r="D24" s="1713" t="s">
        <v>661</v>
      </c>
      <c r="E24" s="1712" t="s">
        <v>1078</v>
      </c>
      <c r="F24" s="1710" t="s">
        <v>351</v>
      </c>
      <c r="G24" s="333"/>
      <c r="I24" s="1664"/>
      <c r="J24" s="1664"/>
    </row>
    <row s="2992" customFormat="1" customHeight="1" ht="14.25" hidden="1">
      <c r="A25" s="339"/>
      <c r="B25" s="1168"/>
      <c r="C25" s="377"/>
      <c r="D25" s="1713" t="s">
        <v>664</v>
      </c>
      <c r="E25" s="181"/>
      <c r="F25" s="391"/>
      <c r="G25" s="2015" t="s">
        <v>1079</v>
      </c>
      <c r="I25" s="1664"/>
      <c r="J25" s="1664"/>
    </row>
    <row s="2992" customFormat="1" customHeight="1" ht="22.5" hidden="1">
      <c r="A26" s="339"/>
      <c r="B26" s="1168"/>
      <c r="C26" s="377"/>
      <c r="D26" s="343"/>
      <c r="E26" s="345" t="s">
        <v>1080</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16D8F-3CAE-DA73-F3C7-4392943AC68A}" mc:Ignorable="x14ac xr xr2 xr3">
  <sheetPr>
    <tabColor theme="6" tint="0.4"/>
  </sheetPr>
  <dimension ref="A1:L53"/>
  <sheetViews>
    <sheetView topLeftCell="A1" showGridLines="0" zoomScale="90" workbookViewId="0">
      <selection activeCell="G50" sqref="G50"/>
    </sheetView>
  </sheetViews>
  <sheetFormatPr defaultColWidth="10.57421875" customHeight="1" defaultRowHeight="14.25"/>
  <cols>
    <col min="1" max="1" style="3332" width="9.140625" hidden="1" customWidth="1"/>
    <col min="2" max="2" style="6716" width="9.140625" hidden="1" customWidth="1"/>
    <col min="3" max="3" style="6736" width="3.7109375" customWidth="1"/>
    <col min="4" max="4" style="2698" width="6.28125" customWidth="1"/>
    <col min="5" max="5" style="2698" width="63.421875" customWidth="1"/>
    <col min="6" max="6" style="2698" width="1.7109375" hidden="1" customWidth="1"/>
    <col min="7" max="8" style="2698" width="35.7109375" customWidth="1"/>
    <col min="9" max="9" style="2698" width="91.57421875" customWidth="1"/>
    <col min="10" max="10" style="2698" width="68.8515625" customWidth="1"/>
    <col min="11" max="12" style="2630" width="10.57421875"/>
  </cols>
  <sheetData>
    <row customHeight="1" ht="14.25" hidden="1"/>
    <row s="2992" customFormat="1" customHeight="1" ht="18.75" hidden="1">
      <c r="A2" s="1723"/>
      <c r="B2" s="1168"/>
      <c r="C2" s="1770" t="s">
        <v>103</v>
      </c>
      <c r="D2" s="1713"/>
      <c r="E2" s="185"/>
      <c r="F2" s="1710"/>
      <c r="G2" s="1710" t="s">
        <v>351</v>
      </c>
      <c r="H2" s="1169"/>
      <c r="K2" s="1664"/>
      <c r="L2" s="1664"/>
    </row>
    <row s="2992" customFormat="1" customHeight="1" ht="14.25" hidden="1">
      <c r="A3" s="1392"/>
      <c r="B3" s="1168"/>
      <c r="C3" s="340"/>
      <c r="K3" s="1664"/>
      <c r="L3" s="1664"/>
    </row>
    <row s="2992" customFormat="1" customHeight="1" ht="18.75" hidden="1">
      <c r="A4" s="1723"/>
      <c r="B4" s="1168"/>
      <c r="C4" s="1770" t="s">
        <v>103</v>
      </c>
      <c r="D4" s="1713"/>
      <c r="E4" s="191" t="s">
        <v>1081</v>
      </c>
      <c r="F4" s="1710"/>
      <c r="G4" s="243"/>
      <c r="H4" s="1710" t="s">
        <v>351</v>
      </c>
      <c r="K4" s="1664"/>
      <c r="L4" s="1664"/>
    </row>
    <row s="2992" customFormat="1" customHeight="1" ht="14.25" hidden="1">
      <c r="A5" s="1392"/>
      <c r="B5" s="1168"/>
      <c r="C5" s="340"/>
      <c r="K5" s="1664"/>
      <c r="L5" s="1664"/>
    </row>
    <row s="2992" customFormat="1" customHeight="1" ht="18.75" hidden="1">
      <c r="A6" s="1723"/>
      <c r="B6" s="1168"/>
      <c r="C6" s="1770" t="s">
        <v>103</v>
      </c>
      <c r="D6" s="1713"/>
      <c r="E6" s="192" t="s">
        <v>1082</v>
      </c>
      <c r="F6" s="1710"/>
      <c r="G6" s="243"/>
      <c r="H6" s="1710" t="s">
        <v>351</v>
      </c>
      <c r="K6" s="1664"/>
      <c r="L6" s="1664"/>
    </row>
    <row s="2992" customFormat="1" customHeight="1" ht="14.25" hidden="1">
      <c r="A7" s="1392"/>
      <c r="B7" s="1168"/>
      <c r="C7" s="340"/>
      <c r="K7" s="1664"/>
      <c r="L7" s="1664"/>
    </row>
    <row s="2992" customFormat="1" customHeight="1" ht="18.75" hidden="1">
      <c r="A8" s="1723"/>
      <c r="B8" s="1168"/>
      <c r="C8" s="1770" t="s">
        <v>103</v>
      </c>
      <c r="D8" s="1713"/>
      <c r="E8" s="192" t="s">
        <v>1083</v>
      </c>
      <c r="F8" s="1710"/>
      <c r="G8" s="243"/>
      <c r="H8" s="1710" t="s">
        <v>351</v>
      </c>
      <c r="K8" s="1664"/>
      <c r="L8" s="1664"/>
    </row>
    <row s="2992" customFormat="1" customHeight="1" ht="14.25" hidden="1">
      <c r="A9" s="1392"/>
      <c r="B9" s="1168"/>
      <c r="C9" s="340"/>
      <c r="K9" s="1664"/>
      <c r="L9" s="1664"/>
    </row>
    <row s="2992" customFormat="1" customHeight="1" ht="18.75" hidden="1">
      <c r="A10" s="1723"/>
      <c r="B10" s="1168"/>
      <c r="C10" s="1770" t="s">
        <v>103</v>
      </c>
      <c r="D10" s="1713"/>
      <c r="E10" s="192" t="s">
        <v>1084</v>
      </c>
      <c r="F10" s="1710"/>
      <c r="G10" s="1714"/>
      <c r="H10" s="1710" t="s">
        <v>351</v>
      </c>
      <c r="K10" s="1664"/>
      <c r="L10" s="1664" t="s">
        <v>1085</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92" customFormat="1" customHeight="1" ht="14.25">
      <c r="A15" s="1392"/>
      <c r="B15" s="1168"/>
      <c r="C15" s="377"/>
      <c r="D15" s="2299" t="str">
        <f>IF(org=0,"Не определено",org)</f>
        <v>АО "Мурманэнергосбыт"</v>
      </c>
      <c r="E15" s="2300"/>
      <c r="F15" s="2300"/>
      <c r="G15" s="2300"/>
      <c r="H15" s="2301"/>
      <c r="J15" s="858"/>
      <c r="K15" s="1664"/>
      <c r="L15" s="1664"/>
    </row>
    <row customHeight="1" ht="14.25">
      <c r="C16" s="82"/>
      <c r="D16" s="69"/>
      <c r="E16" s="81"/>
      <c r="F16" s="81"/>
      <c r="G16" s="81"/>
      <c r="H16" s="758"/>
      <c r="I16" s="179"/>
    </row>
    <row s="2992" customFormat="1" customHeight="1" ht="14.25" hidden="1">
      <c r="A17" s="1392"/>
      <c r="B17" s="1168"/>
      <c r="C17" s="377"/>
      <c r="D17" s="361"/>
      <c r="E17" s="395"/>
      <c r="F17" s="395"/>
      <c r="G17" s="395"/>
      <c r="H17" s="758"/>
      <c r="I17" s="179"/>
      <c r="K17" s="1664"/>
      <c r="L17" s="1664"/>
    </row>
    <row customHeight="1" ht="21">
      <c r="C18" s="82"/>
      <c r="D18" s="2062" t="s">
        <v>345</v>
      </c>
      <c r="E18" s="2062"/>
      <c r="F18" s="2062"/>
      <c r="G18" s="2062"/>
      <c r="H18" s="2062"/>
      <c r="I18" s="2302" t="s">
        <v>346</v>
      </c>
    </row>
    <row customHeight="1" ht="21">
      <c r="C19" s="82"/>
      <c r="D19" s="91" t="s">
        <v>87</v>
      </c>
      <c r="E19" s="94" t="s">
        <v>347</v>
      </c>
      <c r="F19" s="94"/>
      <c r="G19" s="94" t="s">
        <v>348</v>
      </c>
      <c r="H19" s="94" t="s">
        <v>437</v>
      </c>
      <c r="I19" s="2302"/>
    </row>
    <row customHeight="1" ht="12" hidden="1">
      <c r="C20" s="82"/>
      <c r="D20" s="72"/>
      <c r="E20" s="72"/>
      <c r="F20" s="72"/>
      <c r="G20" s="72"/>
      <c r="H20" s="72"/>
      <c r="I20" s="72"/>
    </row>
    <row customHeight="1" ht="14.25">
      <c r="A21" s="1723"/>
      <c r="C21" s="82"/>
      <c r="D21" s="133">
        <v>1</v>
      </c>
      <c r="E21" s="2304" t="s">
        <v>1086</v>
      </c>
      <c r="F21" s="2304"/>
      <c r="G21" s="2304"/>
      <c r="H21" s="2304"/>
      <c r="I21" s="194"/>
    </row>
    <row customHeight="1" ht="20.25">
      <c r="A22" s="1723"/>
      <c r="C22" s="82"/>
      <c r="D22" s="133" t="s">
        <v>975</v>
      </c>
      <c r="E22" s="180" t="s">
        <v>1087</v>
      </c>
      <c r="F22" s="184"/>
      <c r="G22" s="6746">
        <v>45286</v>
      </c>
      <c r="H22" s="184" t="s">
        <v>351</v>
      </c>
      <c r="I22" s="137" t="s">
        <v>1088</v>
      </c>
    </row>
    <row customHeight="1" ht="45">
      <c r="A23" s="1723"/>
      <c r="C23" s="82"/>
      <c r="D23" s="133" t="s">
        <v>977</v>
      </c>
      <c r="E23" s="180" t="s">
        <v>1089</v>
      </c>
      <c r="F23" s="184"/>
      <c r="G23" s="6747" t="s">
        <v>1090</v>
      </c>
      <c r="H23" s="6748" t="s">
        <v>1091</v>
      </c>
      <c r="I23" s="244" t="s">
        <v>1092</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351</v>
      </c>
      <c r="H24" s="6748" t="s">
        <v>1093</v>
      </c>
      <c r="I24" s="245" t="s">
        <v>842</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51.666666666666664">
      <c r="A26" s="1723"/>
      <c r="C26" s="82"/>
      <c r="D26" s="133" t="s">
        <v>371</v>
      </c>
      <c r="E26" s="185" t="s">
        <v>1094</v>
      </c>
      <c r="F26" s="184"/>
      <c r="G26" s="184" t="s">
        <v>351</v>
      </c>
      <c r="H26" s="6748" t="s">
        <v>1095</v>
      </c>
      <c r="I26" s="2015" t="s">
        <v>1096</v>
      </c>
    </row>
    <row s="3429" customFormat="1" customHeight="1" ht="45.833333333333336">
      <c r="A27" s="6754"/>
      <c r="B27" s="3603"/>
      <c r="C27" s="6755" t="s">
        <v>103</v>
      </c>
      <c r="D27" s="6756" t="s">
        <v>379</v>
      </c>
      <c r="E27" s="6757" t="s">
        <v>1097</v>
      </c>
      <c r="F27" s="3626"/>
      <c r="G27" s="3626" t="s">
        <v>351</v>
      </c>
      <c r="H27" s="6758" t="s">
        <v>1095</v>
      </c>
      <c r="I27" s="3429"/>
      <c r="J27" s="3429"/>
      <c r="K27" s="3790"/>
      <c r="L27" s="3790"/>
    </row>
    <row s="3429" customFormat="1" customHeight="1" ht="55">
      <c r="A28" s="6754"/>
      <c r="B28" s="3603"/>
      <c r="C28" s="6755" t="s">
        <v>103</v>
      </c>
      <c r="D28" s="6756" t="s">
        <v>381</v>
      </c>
      <c r="E28" s="6757" t="s">
        <v>1098</v>
      </c>
      <c r="F28" s="3626"/>
      <c r="G28" s="3626" t="s">
        <v>351</v>
      </c>
      <c r="H28" s="6758" t="s">
        <v>1095</v>
      </c>
      <c r="I28" s="3429"/>
      <c r="J28" s="3429"/>
      <c r="K28" s="3790"/>
      <c r="L28" s="3790"/>
    </row>
    <row s="3429" customFormat="1" customHeight="1" ht="50">
      <c r="A29" s="6754"/>
      <c r="B29" s="3603"/>
      <c r="C29" s="6755" t="s">
        <v>103</v>
      </c>
      <c r="D29" s="6756" t="s">
        <v>383</v>
      </c>
      <c r="E29" s="6757" t="s">
        <v>1099</v>
      </c>
      <c r="F29" s="3626"/>
      <c r="G29" s="3626" t="s">
        <v>351</v>
      </c>
      <c r="H29" s="6758" t="s">
        <v>1095</v>
      </c>
      <c r="I29" s="3429"/>
      <c r="J29" s="3429"/>
      <c r="K29" s="3790"/>
      <c r="L29" s="3790"/>
    </row>
    <row s="3429" customFormat="1" customHeight="1" ht="54.16666666666666">
      <c r="A30" s="6754"/>
      <c r="B30" s="3603"/>
      <c r="C30" s="6755" t="s">
        <v>103</v>
      </c>
      <c r="D30" s="6756" t="s">
        <v>870</v>
      </c>
      <c r="E30" s="6757" t="s">
        <v>1100</v>
      </c>
      <c r="F30" s="3626"/>
      <c r="G30" s="3626" t="s">
        <v>351</v>
      </c>
      <c r="H30" s="6758" t="s">
        <v>1095</v>
      </c>
      <c r="I30" s="3429"/>
      <c r="J30" s="3429"/>
      <c r="K30" s="3790"/>
      <c r="L30" s="3790"/>
    </row>
    <row s="3429" customFormat="1" customHeight="1" ht="49.166666666666664">
      <c r="A31" s="6754"/>
      <c r="B31" s="3603"/>
      <c r="C31" s="6755" t="s">
        <v>103</v>
      </c>
      <c r="D31" s="6756" t="s">
        <v>872</v>
      </c>
      <c r="E31" s="6757" t="s">
        <v>1101</v>
      </c>
      <c r="F31" s="3626"/>
      <c r="G31" s="3626" t="s">
        <v>351</v>
      </c>
      <c r="H31" s="6758" t="s">
        <v>1095</v>
      </c>
      <c r="I31" s="3429"/>
      <c r="J31" s="3429"/>
      <c r="K31" s="3790"/>
      <c r="L31" s="3790"/>
    </row>
    <row s="3429" customFormat="1" customHeight="1" ht="75">
      <c r="A32" s="6754"/>
      <c r="B32" s="3603"/>
      <c r="C32" s="6755" t="s">
        <v>103</v>
      </c>
      <c r="D32" s="6756" t="s">
        <v>874</v>
      </c>
      <c r="E32" s="6757" t="s">
        <v>1102</v>
      </c>
      <c r="F32" s="3626"/>
      <c r="G32" s="3626" t="s">
        <v>351</v>
      </c>
      <c r="H32" s="6758" t="s">
        <v>1095</v>
      </c>
      <c r="I32" s="3429"/>
      <c r="J32" s="3429"/>
      <c r="K32" s="3790"/>
      <c r="L32" s="3790"/>
    </row>
    <row s="3429" customFormat="1" customHeight="1" ht="98.33333333333333">
      <c r="A33" s="6754"/>
      <c r="B33" s="3603"/>
      <c r="C33" s="6755" t="s">
        <v>103</v>
      </c>
      <c r="D33" s="6756" t="s">
        <v>1103</v>
      </c>
      <c r="E33" s="6757" t="s">
        <v>1104</v>
      </c>
      <c r="F33" s="3626"/>
      <c r="G33" s="3626" t="s">
        <v>351</v>
      </c>
      <c r="H33" s="6758" t="s">
        <v>1095</v>
      </c>
      <c r="I33" s="3429"/>
      <c r="J33" s="3429"/>
      <c r="K33" s="3790"/>
      <c r="L33" s="3790"/>
    </row>
    <row s="3429" customFormat="1" customHeight="1" ht="49.166666666666664">
      <c r="A34" s="6754"/>
      <c r="B34" s="3603"/>
      <c r="C34" s="6755" t="s">
        <v>103</v>
      </c>
      <c r="D34" s="6756" t="s">
        <v>1105</v>
      </c>
      <c r="E34" s="6757" t="s">
        <v>1106</v>
      </c>
      <c r="F34" s="3626"/>
      <c r="G34" s="3626" t="s">
        <v>351</v>
      </c>
      <c r="H34" s="6758" t="s">
        <v>1095</v>
      </c>
      <c r="I34" s="3429"/>
      <c r="J34" s="3429"/>
      <c r="K34" s="3790"/>
      <c r="L34" s="3790"/>
    </row>
    <row s="3429" customFormat="1" customHeight="1" ht="60">
      <c r="A35" s="6754"/>
      <c r="B35" s="3603"/>
      <c r="C35" s="6755" t="s">
        <v>103</v>
      </c>
      <c r="D35" s="6756" t="s">
        <v>1107</v>
      </c>
      <c r="E35" s="6757" t="s">
        <v>1108</v>
      </c>
      <c r="F35" s="3626"/>
      <c r="G35" s="3626" t="s">
        <v>351</v>
      </c>
      <c r="H35" s="6758" t="s">
        <v>1095</v>
      </c>
      <c r="I35" s="3429"/>
      <c r="J35" s="3429"/>
      <c r="K35" s="3790"/>
      <c r="L35" s="3790"/>
    </row>
    <row customHeight="1" ht="15">
      <c r="A36" s="1723" t="s">
        <v>128</v>
      </c>
      <c r="C36" s="82"/>
      <c r="D36" s="95"/>
      <c r="E36" s="189" t="s">
        <v>1076</v>
      </c>
      <c r="F36" s="190"/>
      <c r="G36" s="190"/>
      <c r="H36" s="187"/>
      <c r="I36" s="2017"/>
    </row>
    <row customHeight="1" ht="38.25">
      <c r="A37" s="1723"/>
      <c r="B37" s="132">
        <v>3</v>
      </c>
      <c r="C37" s="82"/>
      <c r="D37" s="133">
        <v>4</v>
      </c>
      <c r="E37"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37" s="2303"/>
      <c r="G37" s="2303"/>
      <c r="H37" s="2303"/>
      <c r="I37" s="242"/>
    </row>
    <row customHeight="1" ht="20.25">
      <c r="A38" s="1723"/>
      <c r="C38" s="82"/>
      <c r="D38" s="133" t="s">
        <v>706</v>
      </c>
      <c r="E38" s="191" t="s">
        <v>1081</v>
      </c>
      <c r="F38" s="184"/>
      <c r="G38" s="243" t="s">
        <v>1109</v>
      </c>
      <c r="H38" s="184" t="s">
        <v>351</v>
      </c>
      <c r="I38" s="2015" t="s">
        <v>1110</v>
      </c>
    </row>
    <row s="3429" customFormat="1" customHeight="1" ht="18.75">
      <c r="A39" s="6754"/>
      <c r="B39" s="3603"/>
      <c r="C39" s="6755" t="s">
        <v>103</v>
      </c>
      <c r="D39" s="6756" t="s">
        <v>749</v>
      </c>
      <c r="E39" s="6760" t="s">
        <v>1081</v>
      </c>
      <c r="F39" s="3626"/>
      <c r="G39" s="6761" t="s">
        <v>1111</v>
      </c>
      <c r="H39" s="3626" t="s">
        <v>351</v>
      </c>
      <c r="I39" s="3429"/>
      <c r="J39" s="3429"/>
      <c r="K39" s="3790"/>
      <c r="L39" s="3790"/>
    </row>
    <row customHeight="1" ht="15">
      <c r="A40" s="1723" t="s">
        <v>102</v>
      </c>
      <c r="C40" s="82"/>
      <c r="D40" s="95"/>
      <c r="E40" s="189" t="s">
        <v>1076</v>
      </c>
      <c r="F40" s="190"/>
      <c r="G40" s="190"/>
      <c r="H40" s="187"/>
      <c r="I40" s="2017"/>
    </row>
    <row customHeight="1" ht="30">
      <c r="A41" s="1723"/>
      <c r="B41" s="132">
        <v>3</v>
      </c>
      <c r="C41" s="82"/>
      <c r="D41" s="133">
        <v>5</v>
      </c>
      <c r="E4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03"/>
      <c r="G41" s="2303"/>
      <c r="H41" s="2303"/>
      <c r="I41" s="242"/>
    </row>
    <row customHeight="1" ht="26.25">
      <c r="A42" s="1723"/>
      <c r="C42" s="82"/>
      <c r="D42" s="133" t="s">
        <v>360</v>
      </c>
      <c r="E4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42" s="2245"/>
      <c r="G42" s="2245"/>
      <c r="H42" s="2245"/>
      <c r="I42" s="242"/>
    </row>
    <row customHeight="1" ht="14.25">
      <c r="A43" s="1723"/>
      <c r="C43" s="82"/>
      <c r="D43" s="133" t="s">
        <v>1112</v>
      </c>
      <c r="E43" s="192" t="s">
        <v>1082</v>
      </c>
      <c r="F43" s="184"/>
      <c r="G43" s="243" t="s">
        <v>1113</v>
      </c>
      <c r="H43" s="184" t="s">
        <v>351</v>
      </c>
      <c r="I43" s="2015" t="s">
        <v>1114</v>
      </c>
    </row>
    <row customHeight="1" ht="15">
      <c r="A44" s="1723" t="s">
        <v>89</v>
      </c>
      <c r="C44" s="82"/>
      <c r="D44" s="95"/>
      <c r="E44" s="190" t="s">
        <v>1076</v>
      </c>
      <c r="F44" s="186"/>
      <c r="G44" s="186"/>
      <c r="H44" s="187"/>
      <c r="I44" s="2017"/>
    </row>
    <row customHeight="1" ht="24">
      <c r="A45" s="1723"/>
      <c r="C45" s="82"/>
      <c r="D45" s="133" t="s">
        <v>362</v>
      </c>
      <c r="E4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5" s="2245"/>
      <c r="G45" s="2245"/>
      <c r="H45" s="2245"/>
      <c r="I45" s="242"/>
    </row>
    <row customHeight="1" ht="30">
      <c r="A46" s="1723"/>
      <c r="C46" s="82"/>
      <c r="D46" s="133" t="s">
        <v>1115</v>
      </c>
      <c r="E46" s="192" t="s">
        <v>1083</v>
      </c>
      <c r="F46" s="184"/>
      <c r="G46" s="243" t="s">
        <v>1116</v>
      </c>
      <c r="H46" s="184" t="s">
        <v>351</v>
      </c>
      <c r="I46" s="1993" t="s">
        <v>1117</v>
      </c>
    </row>
    <row s="3429" customFormat="1" customHeight="1" ht="40.833333333333336">
      <c r="A47" s="6754"/>
      <c r="B47" s="3603"/>
      <c r="C47" s="6755" t="s">
        <v>103</v>
      </c>
      <c r="D47" s="6756" t="s">
        <v>1118</v>
      </c>
      <c r="E47" s="6763" t="s">
        <v>1083</v>
      </c>
      <c r="F47" s="3626"/>
      <c r="G47" s="6761" t="s">
        <v>1119</v>
      </c>
      <c r="H47" s="3626" t="s">
        <v>351</v>
      </c>
      <c r="I47" s="3429"/>
      <c r="J47" s="3429"/>
      <c r="K47" s="3790"/>
      <c r="L47" s="3790"/>
    </row>
    <row customHeight="1" ht="15">
      <c r="A48" s="1723" t="s">
        <v>90</v>
      </c>
      <c r="C48" s="82"/>
      <c r="D48" s="95"/>
      <c r="E48" s="190" t="s">
        <v>1076</v>
      </c>
      <c r="F48" s="186"/>
      <c r="G48" s="186"/>
      <c r="H48" s="187"/>
      <c r="I48" s="1993"/>
    </row>
    <row customHeight="1" ht="26.25">
      <c r="A49" s="1723"/>
      <c r="C49" s="82"/>
      <c r="D49" s="133" t="s">
        <v>365</v>
      </c>
      <c r="E49"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9" s="2245"/>
      <c r="G49" s="2245"/>
      <c r="H49" s="2245"/>
      <c r="I49" s="242"/>
    </row>
    <row customHeight="1" ht="14.25">
      <c r="A50" s="1723"/>
      <c r="C50" s="82"/>
      <c r="D50" s="133" t="s">
        <v>835</v>
      </c>
      <c r="E50" s="192" t="s">
        <v>1084</v>
      </c>
      <c r="F50" s="184"/>
      <c r="G50" s="193" t="s">
        <v>1120</v>
      </c>
      <c r="H50" s="184" t="s">
        <v>351</v>
      </c>
      <c r="I50" s="2015" t="s">
        <v>1121</v>
      </c>
      <c r="L50" s="141" t="s">
        <v>1085</v>
      </c>
    </row>
    <row customHeight="1" ht="15">
      <c r="A51" s="1723" t="s">
        <v>116</v>
      </c>
      <c r="C51" s="82"/>
      <c r="D51" s="95"/>
      <c r="E51" s="190" t="s">
        <v>1076</v>
      </c>
      <c r="F51" s="186"/>
      <c r="G51" s="186"/>
      <c r="H51" s="187"/>
      <c r="I51" s="2017"/>
    </row>
    <row s="6765" customFormat="1" customHeight="1" ht="3">
      <c r="A52" s="1723"/>
      <c r="K52" s="182"/>
      <c r="L52" s="182"/>
    </row>
    <row customHeight="1" ht="24.75">
      <c r="D53" s="1721" t="s">
        <v>757</v>
      </c>
      <c r="E53"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53" s="2106"/>
      <c r="G53" s="2106"/>
      <c r="H53" s="2106"/>
      <c r="I53" s="2106"/>
    </row>
  </sheetData>
  <sheetProtection formatColumns="0" formatRows="0" autoFilter="0" sort="0" insertRows="0" insertColumns="1" deleteRows="0" deleteColumns="0"/>
  <mergeCells count="17">
    <mergeCell ref="E53:I53"/>
    <mergeCell ref="E42:H42"/>
    <mergeCell ref="E45:H45"/>
    <mergeCell ref="E49:H49"/>
    <mergeCell ref="I43:I44"/>
    <mergeCell ref="I46:I48"/>
    <mergeCell ref="I50:I51"/>
    <mergeCell ref="I38:I40"/>
    <mergeCell ref="E41:H41"/>
    <mergeCell ref="D14:H14"/>
    <mergeCell ref="D18:H18"/>
    <mergeCell ref="I18:I19"/>
    <mergeCell ref="E21:H21"/>
    <mergeCell ref="E25:H25"/>
    <mergeCell ref="I26:I36"/>
    <mergeCell ref="E37:H37"/>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35">
      <formula1>900</formula1>
    </dataValidation>
    <dataValidation type="textLength" operator="lessThanOrEqual" allowBlank="1" showInputMessage="1" showErrorMessage="1" errorTitle="Ошибка" error="Допускается ввод не более 900 символов!" sqref="I23:I24 I43 G46:G47 I50 I26:I35 E38:E39 G43 E46:E47 I38:I39 E43 I46:I47 G23 E26:E35 I10 E23 G38:G39 E10 G8 E2 I2 I4 G4 E4 E6 I6 G6 E8 I8 E50">
      <formula1>900</formula1>
    </dataValidation>
  </dataValidations>
  <hyperlinks>
    <hyperlink ref="G23" r:id="rId2" xr:uid="{0A4539ED-B481-0787-97DB-45FF1FCDF3C9}"/>
    <hyperlink ref="H23" r:id="rId3" xr:uid="{1CC9423E-C785-1D5B-F665-0650B36D316D}"/>
    <hyperlink ref="H24" r:id="rId4" xr:uid="{240731C3-5DA6-3DE3-6C39-DEB1BB6F2505}"/>
    <hyperlink ref="H26" r:id="rId5" xr:uid="{7E00FD7C-0991-20D2-9582-C2519C5E41DE}"/>
    <hyperlink ref="H27" r:id="rId6" xr:uid="{9A3951F3-E574-927B-55F4-BC4994B2D231}"/>
    <hyperlink ref="H28" r:id="rId7" xr:uid="{362F1A32-989B-F7F8-23B9-AC3D1CBA4C38}"/>
    <hyperlink ref="H29" r:id="rId8" xr:uid="{4311CE9F-B768-62BC-D653-A5FB14172108}"/>
    <hyperlink ref="H30" r:id="rId9" xr:uid="{E0021FB5-40B4-2DE6-565F-1B54742ED527}"/>
    <hyperlink ref="H31" r:id="rId10" xr:uid="{97D23912-42D5-5557-DE8E-92EFCF39F2A3}"/>
    <hyperlink ref="H32" r:id="rId11" xr:uid="{09785BC2-220A-F667-EB17-3EA1936727DC}"/>
    <hyperlink ref="H33" r:id="rId12" xr:uid="{BA634B6B-120F-2293-4486-E474D2319AC3}"/>
    <hyperlink ref="H34" r:id="rId13" xr:uid="{94338894-F2ED-CFB3-E237-2867BE145AC2}"/>
    <hyperlink ref="H35" r:id="rId14" xr:uid="{13617984-8253-7A4F-6C37-43E1E5F6164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A5A1C-F092-2A71-E85E-31CF45FCF3CA}" mc:Ignorable="x14ac xr xr2 xr3">
  <sheetPr>
    <tabColor theme="6" tint="0.4"/>
  </sheetPr>
  <dimension ref="A1:AG327"/>
  <sheetViews>
    <sheetView topLeftCell="A1" showGridLines="0" zoomScale="90" workbookViewId="0">
      <selection activeCell="A274" sqref="A274:XFD275"/>
    </sheetView>
  </sheetViews>
  <sheetFormatPr defaultColWidth="10.57421875" customHeight="1" defaultRowHeight="14.25"/>
  <cols>
    <col min="1" max="2" style="6768" width="25.140625" hidden="1" customWidth="1"/>
    <col min="3" max="3" style="6292" width="9.140625" hidden="1" customWidth="1"/>
    <col min="4" max="4" style="3409" width="3.7109375" customWidth="1"/>
    <col min="5" max="5" style="6839" width="6.28125" customWidth="1"/>
    <col min="6" max="6" style="6839" width="46.7109375" customWidth="1"/>
    <col min="7" max="7" style="6839" width="35.7109375" customWidth="1"/>
    <col min="8" max="8" style="6839" width="3.7109375" customWidth="1"/>
    <col min="9" max="10" style="6839" width="11.7109375" customWidth="1"/>
    <col min="11" max="12" style="6839" width="35.7109375" customWidth="1"/>
    <col min="13" max="13" style="6839" width="84.8515625" customWidth="1"/>
    <col min="14" max="14" style="6839" width="10.57421875"/>
    <col min="15" max="16" style="6719" width="10.57421875"/>
    <col min="17" max="33" style="6839" width="10.57421875"/>
  </cols>
  <sheetData>
    <row s="2992"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92" customFormat="1" customHeight="1" ht="18.75" hidden="1">
      <c r="A2" s="1821" t="s">
        <v>171</v>
      </c>
      <c r="B2" s="1821" t="s">
        <v>172</v>
      </c>
      <c r="C2" s="369"/>
      <c r="D2" s="340"/>
      <c r="E2" s="1038"/>
      <c r="F2" s="1038"/>
      <c r="G2" s="2266" t="str">
        <f>INDEX(PT_DIFFERENTIATION_NTAR,MATCH(B2,PT_DIFFERENTIATION_NTAR_ID,0))</f>
        <v/>
      </c>
      <c r="H2" s="1907"/>
      <c r="I2" s="1779"/>
      <c r="J2" s="1814"/>
      <c r="K2" s="1908"/>
      <c r="L2" s="1907" t="s">
        <v>351</v>
      </c>
      <c r="M2" s="1918"/>
      <c r="N2" s="330"/>
      <c r="O2" s="1664"/>
      <c r="P2" s="1664"/>
    </row>
    <row s="2992" customFormat="1" customHeight="1" ht="18.75" hidden="1">
      <c r="A3" s="1821"/>
      <c r="B3" s="1821"/>
      <c r="C3" s="369" t="s">
        <v>1122</v>
      </c>
      <c r="D3" s="340"/>
      <c r="E3" s="1038"/>
      <c r="F3" s="1038"/>
      <c r="G3" s="2266"/>
      <c r="H3" s="1530"/>
      <c r="I3" s="657" t="s">
        <v>1123</v>
      </c>
      <c r="J3" s="577"/>
      <c r="K3" s="1530"/>
      <c r="L3" s="200"/>
      <c r="M3" s="1918"/>
      <c r="N3" s="330"/>
      <c r="O3" s="1664"/>
      <c r="P3" s="1664"/>
    </row>
    <row s="2992"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92" customFormat="1" customHeight="1" ht="18.75" hidden="1">
      <c r="A5" s="1821" t="s">
        <v>171</v>
      </c>
      <c r="B5" s="1821" t="s">
        <v>172</v>
      </c>
      <c r="C5" s="369"/>
      <c r="D5" s="340"/>
      <c r="E5" s="1038"/>
      <c r="F5" s="1038"/>
      <c r="G5" s="2266" t="str">
        <f>INDEX(PT_DIFFERENTIATION_NTAR,MATCH(B5,PT_DIFFERENTIATION_NTAR_ID,0))</f>
        <v/>
      </c>
      <c r="H5" s="1907"/>
      <c r="I5" s="1779"/>
      <c r="J5" s="1814"/>
      <c r="K5" s="1819"/>
      <c r="L5" s="1907" t="s">
        <v>351</v>
      </c>
      <c r="M5" s="1918"/>
      <c r="N5" s="330"/>
      <c r="O5" s="1664"/>
      <c r="P5" s="1664"/>
    </row>
    <row s="2992" customFormat="1" customHeight="1" ht="18.75" hidden="1">
      <c r="A6" s="1821"/>
      <c r="B6" s="1821"/>
      <c r="C6" s="369" t="s">
        <v>1124</v>
      </c>
      <c r="D6" s="340"/>
      <c r="E6" s="1038"/>
      <c r="F6" s="1038"/>
      <c r="G6" s="2266"/>
      <c r="H6" s="1530"/>
      <c r="I6" s="657" t="s">
        <v>1123</v>
      </c>
      <c r="J6" s="577"/>
      <c r="K6" s="1530"/>
      <c r="L6" s="200"/>
      <c r="M6" s="1918"/>
      <c r="N6" s="330"/>
      <c r="O6" s="1664"/>
      <c r="P6" s="1664"/>
    </row>
    <row s="2992"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92" customFormat="1" customHeight="1" ht="56.25" hidden="1">
      <c r="A8" s="1821"/>
      <c r="B8" s="1821"/>
      <c r="C8" s="369"/>
      <c r="D8" s="340"/>
      <c r="E8" s="1038"/>
      <c r="F8" s="1038"/>
      <c r="G8" s="1038"/>
      <c r="H8" s="1812"/>
      <c r="I8" s="1779"/>
      <c r="J8" s="1814"/>
      <c r="K8" s="1908"/>
      <c r="L8" s="1812" t="s">
        <v>351</v>
      </c>
      <c r="M8" s="1918"/>
      <c r="N8" s="330"/>
      <c r="O8" s="1664"/>
      <c r="P8" s="1664"/>
    </row>
    <row customHeight="1" ht="14.25" hidden="1">
      <c r="T9" s="403"/>
      <c r="AG9" s="241"/>
    </row>
    <row s="2992" customFormat="1" customHeight="1" ht="56.25" hidden="1">
      <c r="A10" s="1821"/>
      <c r="B10" s="1821"/>
      <c r="C10" s="369"/>
      <c r="D10" s="340"/>
      <c r="E10" s="1038"/>
      <c r="F10" s="1038"/>
      <c r="G10" s="1038"/>
      <c r="H10" s="1811"/>
      <c r="I10" s="1779"/>
      <c r="J10" s="1814"/>
      <c r="K10" s="1819"/>
      <c r="L10" s="1812" t="s">
        <v>351</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45280</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51/11</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345</v>
      </c>
      <c r="F19" s="2062"/>
      <c r="G19" s="2062"/>
      <c r="H19" s="2062"/>
      <c r="I19" s="2062"/>
      <c r="J19" s="2062"/>
      <c r="K19" s="2062"/>
      <c r="L19" s="2062"/>
      <c r="M19" s="2302" t="s">
        <v>346</v>
      </c>
    </row>
    <row customHeight="1" ht="21">
      <c r="D20" s="377"/>
      <c r="E20" s="2129" t="s">
        <v>87</v>
      </c>
      <c r="F20" s="2073" t="s">
        <v>139</v>
      </c>
      <c r="G20" s="2073" t="s">
        <v>140</v>
      </c>
      <c r="H20" s="2270" t="s">
        <v>1125</v>
      </c>
      <c r="I20" s="2274"/>
      <c r="J20" s="2271"/>
      <c r="K20" s="2073" t="s">
        <v>348</v>
      </c>
      <c r="L20" s="2073" t="s">
        <v>437</v>
      </c>
      <c r="M20" s="2302"/>
    </row>
    <row customHeight="1" ht="21">
      <c r="D21" s="377"/>
      <c r="E21" s="2131"/>
      <c r="F21" s="2074"/>
      <c r="G21" s="2074"/>
      <c r="H21" s="2068" t="s">
        <v>1126</v>
      </c>
      <c r="I21" s="2084"/>
      <c r="J21" s="94" t="s">
        <v>1127</v>
      </c>
      <c r="K21" s="2074"/>
      <c r="L21" s="2074"/>
      <c r="M21" s="2302"/>
    </row>
    <row customHeight="1" ht="12">
      <c r="D22" s="377"/>
      <c r="E22" s="269"/>
      <c r="F22" s="269"/>
      <c r="G22" s="269"/>
      <c r="H22" s="2307"/>
      <c r="I22" s="2307"/>
      <c r="J22" s="269"/>
      <c r="K22" s="269"/>
      <c r="L22" s="269"/>
      <c r="M22" s="269"/>
    </row>
    <row customHeight="1" ht="18.75">
      <c r="A23" s="1821"/>
      <c r="B23" s="1821"/>
      <c r="D23" s="377"/>
      <c r="E23" s="1909" t="s">
        <v>128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351</v>
      </c>
      <c r="L23" s="2304"/>
      <c r="M23" s="1810"/>
      <c r="N23" s="330"/>
    </row>
    <row customHeight="1" ht="60.75" hidden="1">
      <c r="A24" s="1821" t="s">
        <v>171</v>
      </c>
      <c r="B24" s="1821" t="s">
        <v>172</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351</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92" customFormat="1" customHeight="1" ht="18.75" hidden="1">
      <c r="A25" s="1821"/>
      <c r="B25" s="1821"/>
      <c r="C25" s="369" t="s">
        <v>1122</v>
      </c>
      <c r="D25" s="2306"/>
      <c r="E25" s="2056"/>
      <c r="F25" s="2310"/>
      <c r="G25" s="2266"/>
      <c r="H25" s="1530"/>
      <c r="I25" s="657" t="s">
        <v>1123</v>
      </c>
      <c r="J25" s="577"/>
      <c r="K25" s="1530"/>
      <c r="L25" s="200"/>
      <c r="M25" s="2016"/>
      <c r="N25" s="330"/>
      <c r="O25" s="1664"/>
      <c r="P25" s="1664"/>
    </row>
    <row customHeight="1" ht="0.75" hidden="1">
      <c r="A26" s="1821"/>
      <c r="B26" s="1821"/>
      <c r="C26" s="369" t="s">
        <v>1128</v>
      </c>
      <c r="D26" s="2306"/>
      <c r="E26" s="2056"/>
      <c r="F26" s="2220"/>
      <c r="G26" s="406"/>
      <c r="H26" s="1530"/>
      <c r="I26" s="401"/>
      <c r="J26" s="345"/>
      <c r="K26" s="1530"/>
      <c r="L26" s="187"/>
      <c r="M26" s="2016"/>
      <c r="N26" s="330"/>
    </row>
    <row s="2992" customFormat="1" customHeight="1" ht="45" hidden="1">
      <c r="A27" s="1821" t="s">
        <v>177</v>
      </c>
      <c r="B27" s="1821" t="s">
        <v>178</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351</v>
      </c>
      <c r="M27" s="2016"/>
      <c r="N27" s="330"/>
      <c r="O27" s="1664"/>
      <c r="P27" s="1664"/>
    </row>
    <row s="2992" customFormat="1" customHeight="1" ht="18.75" hidden="1">
      <c r="A28" s="1821"/>
      <c r="B28" s="1821"/>
      <c r="C28" s="369" t="s">
        <v>1122</v>
      </c>
      <c r="D28" s="2311"/>
      <c r="E28" s="2312"/>
      <c r="F28" s="2313"/>
      <c r="G28" s="2266"/>
      <c r="H28" s="1530"/>
      <c r="I28" s="657" t="s">
        <v>1123</v>
      </c>
      <c r="J28" s="577"/>
      <c r="K28" s="1530"/>
      <c r="L28" s="200"/>
      <c r="M28" s="2016"/>
      <c r="N28" s="330"/>
      <c r="O28" s="1664"/>
      <c r="P28" s="1664"/>
    </row>
    <row s="2992" customFormat="1" customHeight="1" ht="0.75" hidden="1">
      <c r="A29" s="1821"/>
      <c r="B29" s="1821"/>
      <c r="C29" s="369" t="s">
        <v>1128</v>
      </c>
      <c r="D29" s="2311"/>
      <c r="E29" s="2056"/>
      <c r="F29" s="2220"/>
      <c r="G29" s="406"/>
      <c r="H29" s="1530"/>
      <c r="I29" s="657"/>
      <c r="J29" s="577"/>
      <c r="K29" s="1530"/>
      <c r="L29" s="200"/>
      <c r="M29" s="2016"/>
      <c r="N29" s="330"/>
      <c r="O29" s="1664"/>
      <c r="P29" s="1664"/>
    </row>
    <row s="2992" customFormat="1" customHeight="1" ht="45" hidden="1">
      <c r="A30" s="1821" t="s">
        <v>186</v>
      </c>
      <c r="B30" s="1821" t="s">
        <v>187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Тариф на теплоноситель, поставляемый потребителям</v>
      </c>
      <c r="H30" s="1905"/>
      <c r="I30" s="1779"/>
      <c r="J30" s="1814"/>
      <c r="K30" s="1908"/>
      <c r="L30" s="1905" t="s">
        <v>351</v>
      </c>
      <c r="M30" s="2016"/>
      <c r="N30" s="330"/>
      <c r="O30" s="1664"/>
      <c r="P30" s="1664"/>
    </row>
    <row s="2992" customFormat="1" customHeight="1" ht="18.75" hidden="1">
      <c r="A31" s="1821"/>
      <c r="B31" s="1821"/>
      <c r="C31" s="369" t="s">
        <v>1122</v>
      </c>
      <c r="D31" s="2311"/>
      <c r="E31" s="2056"/>
      <c r="F31" s="2220"/>
      <c r="G31" s="2266"/>
      <c r="H31" s="1530"/>
      <c r="I31" s="657" t="s">
        <v>1123</v>
      </c>
      <c r="J31" s="577"/>
      <c r="K31" s="1530"/>
      <c r="L31" s="200"/>
      <c r="M31" s="2016"/>
      <c r="N31" s="330"/>
      <c r="O31" s="1664"/>
      <c r="P31" s="1664"/>
    </row>
    <row s="3429" customFormat="1" customHeight="1" ht="18.75">
      <c r="A32" s="4004" t="s">
        <v>186</v>
      </c>
      <c r="B32" s="4004" t="s">
        <v>213</v>
      </c>
      <c r="C32" s="6798"/>
      <c r="D32" s="6799"/>
      <c r="E32" s="6800"/>
      <c r="F32" s="6800"/>
      <c r="G32" s="6801" t="str">
        <f>INDEX(PT_DIFFERENTIATION_NTAR,MATCH(B32,PT_DIFFERENTIATION_NTAR_ID,0))</f>
        <v>Тарифы на теплоноситель, поставляемый группе потребителей "население"</v>
      </c>
      <c r="H32" s="3628"/>
      <c r="I32" s="6802"/>
      <c r="J32" s="6803"/>
      <c r="K32" s="6804"/>
      <c r="L32" s="3628" t="s">
        <v>351</v>
      </c>
      <c r="M32" s="6805"/>
      <c r="N32" s="6806"/>
      <c r="O32" s="3790"/>
      <c r="P32" s="3790"/>
      <c r="Q32" s="3429"/>
      <c r="R32" s="3429"/>
      <c r="S32" s="3429"/>
      <c r="T32" s="3429"/>
      <c r="U32" s="3429"/>
      <c r="V32" s="3429"/>
      <c r="W32" s="3429"/>
      <c r="X32" s="3429"/>
      <c r="Y32" s="3429"/>
      <c r="Z32" s="3429"/>
      <c r="AA32" s="3429"/>
      <c r="AB32" s="3429"/>
      <c r="AC32" s="3429"/>
      <c r="AD32" s="3429"/>
      <c r="AE32" s="3429"/>
      <c r="AF32" s="3429"/>
      <c r="AG32" s="3429"/>
    </row>
    <row s="3429" customFormat="1" customHeight="1" ht="18.75">
      <c r="A33" s="4004"/>
      <c r="B33" s="4004"/>
      <c r="C33" s="6798" t="s">
        <v>1122</v>
      </c>
      <c r="D33" s="6799"/>
      <c r="E33" s="6800"/>
      <c r="F33" s="6800"/>
      <c r="G33" s="6801"/>
      <c r="H33" s="6807"/>
      <c r="I33" s="6808" t="s">
        <v>1123</v>
      </c>
      <c r="J33" s="6809"/>
      <c r="K33" s="6810"/>
      <c r="L33" s="6811"/>
      <c r="M33" s="6805"/>
      <c r="N33" s="6806"/>
      <c r="O33" s="3790"/>
      <c r="P33" s="3790"/>
      <c r="Q33" s="3429"/>
      <c r="R33" s="3429"/>
      <c r="S33" s="3429"/>
      <c r="T33" s="3429"/>
      <c r="U33" s="3429"/>
      <c r="V33" s="3429"/>
      <c r="W33" s="3429"/>
      <c r="X33" s="3429"/>
      <c r="Y33" s="3429"/>
      <c r="Z33" s="3429"/>
      <c r="AA33" s="3429"/>
      <c r="AB33" s="3429"/>
      <c r="AC33" s="3429"/>
      <c r="AD33" s="3429"/>
      <c r="AE33" s="3429"/>
      <c r="AF33" s="3429"/>
      <c r="AG33" s="3429"/>
    </row>
    <row s="2992" customFormat="1" customHeight="1" ht="0.75" hidden="1">
      <c r="A34" s="1821"/>
      <c r="B34" s="1821"/>
      <c r="C34" s="369" t="s">
        <v>1128</v>
      </c>
      <c r="D34" s="2311"/>
      <c r="E34" s="2056"/>
      <c r="F34" s="2220"/>
      <c r="G34" s="406"/>
      <c r="H34" s="1530"/>
      <c r="I34" s="657"/>
      <c r="J34" s="577"/>
      <c r="K34" s="1530"/>
      <c r="L34" s="200"/>
      <c r="M34" s="2016"/>
      <c r="N34" s="330"/>
      <c r="O34" s="1664"/>
      <c r="P34" s="1664"/>
    </row>
    <row s="2992" customFormat="1" customHeight="1" ht="45" hidden="1">
      <c r="A35" s="1821" t="s">
        <v>232</v>
      </c>
      <c r="B35" s="1821" t="s">
        <v>233</v>
      </c>
      <c r="C35" s="369"/>
      <c r="D35" s="2311"/>
      <c r="E35" s="2056"/>
      <c r="F35" s="2220"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266" t="str">
        <f>INDEX(PT_DIFFERENTIATION_NTAR,MATCH(B35,PT_DIFFERENTIATION_NTAR_ID,0))</f>
        <v/>
      </c>
      <c r="H35" s="1905"/>
      <c r="I35" s="1779"/>
      <c r="J35" s="1814"/>
      <c r="K35" s="1908"/>
      <c r="L35" s="1905" t="s">
        <v>351</v>
      </c>
      <c r="M35" s="2016"/>
      <c r="N35" s="330"/>
      <c r="O35" s="1664"/>
      <c r="P35" s="1664"/>
    </row>
    <row s="2992" customFormat="1" customHeight="1" ht="18.75" hidden="1">
      <c r="A36" s="1821"/>
      <c r="B36" s="1821"/>
      <c r="C36" s="369" t="s">
        <v>1122</v>
      </c>
      <c r="D36" s="2311"/>
      <c r="E36" s="2056"/>
      <c r="F36" s="2220"/>
      <c r="G36" s="2266"/>
      <c r="H36" s="1530"/>
      <c r="I36" s="657" t="s">
        <v>1123</v>
      </c>
      <c r="J36" s="577"/>
      <c r="K36" s="1530"/>
      <c r="L36" s="200"/>
      <c r="M36" s="2016"/>
      <c r="N36" s="330"/>
      <c r="O36" s="1664"/>
      <c r="P36" s="1664"/>
    </row>
    <row s="2992" customFormat="1" customHeight="1" ht="0.75" hidden="1">
      <c r="A37" s="1821"/>
      <c r="B37" s="1821"/>
      <c r="C37" s="369" t="s">
        <v>1128</v>
      </c>
      <c r="D37" s="2311"/>
      <c r="E37" s="2056"/>
      <c r="F37" s="2220"/>
      <c r="G37" s="406"/>
      <c r="H37" s="1530"/>
      <c r="I37" s="657"/>
      <c r="J37" s="577"/>
      <c r="K37" s="1530"/>
      <c r="L37" s="200"/>
      <c r="M37" s="2016"/>
      <c r="N37" s="330"/>
      <c r="O37" s="1664"/>
      <c r="P37" s="1664"/>
    </row>
    <row s="2992" customFormat="1" customHeight="1" ht="18.75" hidden="1">
      <c r="A38" s="1821" t="s">
        <v>238</v>
      </c>
      <c r="B38" s="1821" t="s">
        <v>239</v>
      </c>
      <c r="C38" s="369"/>
      <c r="D38" s="2311"/>
      <c r="E38" s="2056"/>
      <c r="F38" s="2220" t="str">
        <f>INDEX(PT_DIFFERENTIATION_VTAR,MATCH(A38,PT_DIFFERENTIATION_VTAR_ID,0))</f>
        <v>Тарифы на услуги по передаче тепловой энергии</v>
      </c>
      <c r="G38" s="2266" t="str">
        <f>INDEX(PT_DIFFERENTIATION_NTAR,MATCH(B38,PT_DIFFERENTIATION_NTAR_ID,0))</f>
        <v/>
      </c>
      <c r="H38" s="1905"/>
      <c r="I38" s="1779"/>
      <c r="J38" s="1814"/>
      <c r="K38" s="1908"/>
      <c r="L38" s="1905" t="s">
        <v>351</v>
      </c>
      <c r="M38" s="2016"/>
      <c r="N38" s="330"/>
      <c r="O38" s="1664"/>
      <c r="P38" s="1664"/>
    </row>
    <row s="2992" customFormat="1" customHeight="1" ht="18.75" hidden="1">
      <c r="A39" s="1821"/>
      <c r="B39" s="1821"/>
      <c r="C39" s="369" t="s">
        <v>1122</v>
      </c>
      <c r="D39" s="2311"/>
      <c r="E39" s="2056"/>
      <c r="F39" s="2220"/>
      <c r="G39" s="2266"/>
      <c r="H39" s="1530"/>
      <c r="I39" s="657" t="s">
        <v>1123</v>
      </c>
      <c r="J39" s="577"/>
      <c r="K39" s="1530"/>
      <c r="L39" s="200"/>
      <c r="M39" s="2016"/>
      <c r="N39" s="330"/>
      <c r="O39" s="1664"/>
      <c r="P39" s="1664"/>
    </row>
    <row s="2992" customFormat="1" customHeight="1" ht="0.75" hidden="1">
      <c r="A40" s="1821"/>
      <c r="B40" s="1821"/>
      <c r="C40" s="369" t="s">
        <v>1128</v>
      </c>
      <c r="D40" s="2311"/>
      <c r="E40" s="2056"/>
      <c r="F40" s="2220"/>
      <c r="G40" s="406"/>
      <c r="H40" s="1530"/>
      <c r="I40" s="657"/>
      <c r="J40" s="577"/>
      <c r="K40" s="1530"/>
      <c r="L40" s="200"/>
      <c r="M40" s="2016"/>
      <c r="N40" s="330"/>
      <c r="O40" s="1664"/>
      <c r="P40" s="1664"/>
    </row>
    <row s="2992" customFormat="1" customHeight="1" ht="18.75" hidden="1">
      <c r="A41" s="1821" t="s">
        <v>244</v>
      </c>
      <c r="B41" s="1821" t="s">
        <v>245</v>
      </c>
      <c r="C41" s="369"/>
      <c r="D41" s="2311"/>
      <c r="E41" s="2056"/>
      <c r="F41" s="2220" t="str">
        <f>INDEX(PT_DIFFERENTIATION_VTAR,MATCH(A41,PT_DIFFERENTIATION_VTAR_ID,0))</f>
        <v>Тарифы на услуги по передаче теплоносителя</v>
      </c>
      <c r="G41" s="2266" t="str">
        <f>INDEX(PT_DIFFERENTIATION_NTAR,MATCH(B41,PT_DIFFERENTIATION_NTAR_ID,0))</f>
        <v/>
      </c>
      <c r="H41" s="1905"/>
      <c r="I41" s="1779"/>
      <c r="J41" s="1814"/>
      <c r="K41" s="1908"/>
      <c r="L41" s="1905" t="s">
        <v>351</v>
      </c>
      <c r="M41" s="2016"/>
      <c r="N41" s="330"/>
      <c r="O41" s="1664"/>
      <c r="P41" s="1664"/>
    </row>
    <row s="2992" customFormat="1" customHeight="1" ht="18.75" hidden="1">
      <c r="A42" s="1821"/>
      <c r="B42" s="1821"/>
      <c r="C42" s="369" t="s">
        <v>1122</v>
      </c>
      <c r="D42" s="2311"/>
      <c r="E42" s="2056"/>
      <c r="F42" s="2220"/>
      <c r="G42" s="2266"/>
      <c r="H42" s="1530"/>
      <c r="I42" s="657" t="s">
        <v>1123</v>
      </c>
      <c r="J42" s="577"/>
      <c r="K42" s="1530"/>
      <c r="L42" s="200"/>
      <c r="M42" s="2016"/>
      <c r="N42" s="330"/>
      <c r="O42" s="1664"/>
      <c r="P42" s="1664"/>
    </row>
    <row s="2992" customFormat="1" customHeight="1" ht="0.75" hidden="1">
      <c r="A43" s="1821"/>
      <c r="B43" s="1821"/>
      <c r="C43" s="369" t="s">
        <v>1128</v>
      </c>
      <c r="D43" s="2311"/>
      <c r="E43" s="2056"/>
      <c r="F43" s="2220"/>
      <c r="G43" s="406"/>
      <c r="H43" s="1530"/>
      <c r="I43" s="657"/>
      <c r="J43" s="577"/>
      <c r="K43" s="1530"/>
      <c r="L43" s="200"/>
      <c r="M43" s="2016"/>
      <c r="N43" s="330"/>
      <c r="O43" s="1664"/>
      <c r="P43" s="1664"/>
    </row>
    <row s="2992" customFormat="1" customHeight="1" ht="18.75" hidden="1">
      <c r="A44" s="1821" t="s">
        <v>250</v>
      </c>
      <c r="B44" s="1821" t="s">
        <v>251</v>
      </c>
      <c r="C44" s="369"/>
      <c r="D44" s="2311"/>
      <c r="E44" s="2056"/>
      <c r="F44" s="2220" t="str">
        <f>INDEX(PT_DIFFERENTIATION_VTAR,MATCH(A44,PT_DIFFERENTIATION_VTAR_ID,0))</f>
        <v>Плата за услуги по поддержанию резервной тепловой мощности при отсутствии потребления тепловой энергии</v>
      </c>
      <c r="G44" s="2266" t="str">
        <f>INDEX(PT_DIFFERENTIATION_NTAR,MATCH(B44,PT_DIFFERENTIATION_NTAR_ID,0))</f>
        <v/>
      </c>
      <c r="H44" s="1905"/>
      <c r="I44" s="1779"/>
      <c r="J44" s="1814"/>
      <c r="K44" s="1908"/>
      <c r="L44" s="1905" t="s">
        <v>351</v>
      </c>
      <c r="M44" s="2016"/>
      <c r="N44" s="330"/>
      <c r="O44" s="1664"/>
      <c r="P44" s="1664"/>
    </row>
    <row s="2992" customFormat="1" customHeight="1" ht="18.75" hidden="1">
      <c r="A45" s="1821"/>
      <c r="B45" s="1821"/>
      <c r="C45" s="369" t="s">
        <v>1122</v>
      </c>
      <c r="D45" s="2311"/>
      <c r="E45" s="2056"/>
      <c r="F45" s="2220"/>
      <c r="G45" s="2266"/>
      <c r="H45" s="1530"/>
      <c r="I45" s="657" t="s">
        <v>1123</v>
      </c>
      <c r="J45" s="577"/>
      <c r="K45" s="1530"/>
      <c r="L45" s="200"/>
      <c r="M45" s="2016"/>
      <c r="N45" s="330"/>
      <c r="O45" s="1664"/>
      <c r="P45" s="1664"/>
    </row>
    <row s="2992" customFormat="1" customHeight="1" ht="0.75" hidden="1">
      <c r="A46" s="1821"/>
      <c r="B46" s="1821"/>
      <c r="C46" s="369" t="s">
        <v>1128</v>
      </c>
      <c r="D46" s="2311"/>
      <c r="E46" s="2056"/>
      <c r="F46" s="2220"/>
      <c r="G46" s="406"/>
      <c r="H46" s="1530"/>
      <c r="I46" s="657"/>
      <c r="J46" s="577"/>
      <c r="K46" s="1530"/>
      <c r="L46" s="200"/>
      <c r="M46" s="2016"/>
      <c r="N46" s="330"/>
      <c r="O46" s="1664"/>
      <c r="P46" s="1664"/>
    </row>
    <row s="2992" customFormat="1" customHeight="1" ht="18.75" hidden="1">
      <c r="A47" s="1821" t="s">
        <v>256</v>
      </c>
      <c r="B47" s="1821" t="s">
        <v>257</v>
      </c>
      <c r="C47" s="369"/>
      <c r="D47" s="2311"/>
      <c r="E47" s="2056"/>
      <c r="F47" s="2220" t="str">
        <f>INDEX(PT_DIFFERENTIATION_VTAR,MATCH(A47,PT_DIFFERENTIATION_VTAR_ID,0))</f>
        <v>Плата за подключение (технологическое присоединение) к системе теплоснабжения</v>
      </c>
      <c r="G47" s="2266" t="str">
        <f>INDEX(PT_DIFFERENTIATION_NTAR,MATCH(B47,PT_DIFFERENTIATION_NTAR_ID,0))</f>
        <v/>
      </c>
      <c r="H47" s="1905"/>
      <c r="I47" s="1779"/>
      <c r="J47" s="1814"/>
      <c r="K47" s="1908"/>
      <c r="L47" s="1905" t="s">
        <v>351</v>
      </c>
      <c r="M47" s="2016"/>
      <c r="N47" s="330"/>
      <c r="O47" s="1664"/>
      <c r="P47" s="1664"/>
    </row>
    <row s="2992" customFormat="1" customHeight="1" ht="18.75" hidden="1">
      <c r="A48" s="1821"/>
      <c r="B48" s="1821"/>
      <c r="C48" s="369" t="s">
        <v>1122</v>
      </c>
      <c r="D48" s="2311"/>
      <c r="E48" s="2056"/>
      <c r="F48" s="2220"/>
      <c r="G48" s="2266"/>
      <c r="H48" s="1530"/>
      <c r="I48" s="657" t="s">
        <v>1123</v>
      </c>
      <c r="J48" s="577"/>
      <c r="K48" s="1530"/>
      <c r="L48" s="200"/>
      <c r="M48" s="2016"/>
      <c r="N48" s="330"/>
      <c r="O48" s="1664"/>
      <c r="P48" s="1664"/>
    </row>
    <row s="2992" customFormat="1" customHeight="1" ht="0.75" hidden="1">
      <c r="A49" s="1821"/>
      <c r="B49" s="1821"/>
      <c r="C49" s="369" t="s">
        <v>1128</v>
      </c>
      <c r="D49" s="2311"/>
      <c r="E49" s="2056"/>
      <c r="F49" s="2220"/>
      <c r="G49" s="406"/>
      <c r="H49" s="1530"/>
      <c r="I49" s="657"/>
      <c r="J49" s="577"/>
      <c r="K49" s="1530"/>
      <c r="L49" s="200"/>
      <c r="M49" s="2016"/>
      <c r="N49" s="330"/>
      <c r="O49" s="1664"/>
      <c r="P49" s="1664"/>
    </row>
    <row s="2992" customFormat="1" customHeight="1" ht="18.75" hidden="1">
      <c r="A50" s="1821" t="s">
        <v>270</v>
      </c>
      <c r="B50" s="1821" t="s">
        <v>271</v>
      </c>
      <c r="C50" s="369"/>
      <c r="D50" s="2311"/>
      <c r="E50" s="2056"/>
      <c r="F50" s="2220" t="str">
        <f>INDEX(PT_DIFFERENTIATION_VTAR,MATCH(A50,PT_DIFFERENTIATION_VTAR_ID,0))</f>
        <v>Тариф на питьевую воду (питьевое водоснабжение)</v>
      </c>
      <c r="G50" s="2266" t="str">
        <f>INDEX(PT_DIFFERENTIATION_NTAR,MATCH(B50,PT_DIFFERENTIATION_NTAR_ID,0))</f>
        <v/>
      </c>
      <c r="H50" s="1905"/>
      <c r="I50" s="1779"/>
      <c r="J50" s="1814"/>
      <c r="K50" s="1908"/>
      <c r="L50" s="1905" t="s">
        <v>351</v>
      </c>
      <c r="M50" s="2016"/>
      <c r="N50" s="330"/>
      <c r="O50" s="1664"/>
      <c r="P50" s="1664"/>
    </row>
    <row s="2992" customFormat="1" customHeight="1" ht="18.75" hidden="1">
      <c r="A51" s="1821"/>
      <c r="B51" s="1821"/>
      <c r="C51" s="369" t="s">
        <v>1122</v>
      </c>
      <c r="D51" s="2311"/>
      <c r="E51" s="2056"/>
      <c r="F51" s="2220"/>
      <c r="G51" s="2266"/>
      <c r="H51" s="1530"/>
      <c r="I51" s="657" t="s">
        <v>1123</v>
      </c>
      <c r="J51" s="577"/>
      <c r="K51" s="1530"/>
      <c r="L51" s="200"/>
      <c r="M51" s="2016"/>
      <c r="N51" s="330"/>
      <c r="O51" s="1664"/>
      <c r="P51" s="1664"/>
    </row>
    <row s="2992" customFormat="1" customHeight="1" ht="0.75" hidden="1">
      <c r="A52" s="1821"/>
      <c r="B52" s="1821"/>
      <c r="C52" s="369" t="s">
        <v>1128</v>
      </c>
      <c r="D52" s="2311"/>
      <c r="E52" s="2056"/>
      <c r="F52" s="2220"/>
      <c r="G52" s="406"/>
      <c r="H52" s="1530"/>
      <c r="I52" s="657"/>
      <c r="J52" s="577"/>
      <c r="K52" s="1530"/>
      <c r="L52" s="200"/>
      <c r="M52" s="2016"/>
      <c r="N52" s="330"/>
      <c r="O52" s="1664"/>
      <c r="P52" s="1664"/>
    </row>
    <row s="2992" customFormat="1" customHeight="1" ht="18.75" hidden="1">
      <c r="A53" s="1821" t="s">
        <v>275</v>
      </c>
      <c r="B53" s="1821" t="s">
        <v>276</v>
      </c>
      <c r="C53" s="369"/>
      <c r="D53" s="2311"/>
      <c r="E53" s="2056"/>
      <c r="F53" s="2220" t="str">
        <f>INDEX(PT_DIFFERENTIATION_VTAR,MATCH(A53,PT_DIFFERENTIATION_VTAR_ID,0))</f>
        <v>Тариф на техническую воду</v>
      </c>
      <c r="G53" s="2266" t="str">
        <f>INDEX(PT_DIFFERENTIATION_NTAR,MATCH(B53,PT_DIFFERENTIATION_NTAR_ID,0))</f>
        <v/>
      </c>
      <c r="H53" s="1905"/>
      <c r="I53" s="1779"/>
      <c r="J53" s="1814"/>
      <c r="K53" s="1908"/>
      <c r="L53" s="1905" t="s">
        <v>351</v>
      </c>
      <c r="M53" s="2016"/>
      <c r="N53" s="330"/>
      <c r="O53" s="1664"/>
      <c r="P53" s="1664"/>
    </row>
    <row s="2992" customFormat="1" customHeight="1" ht="18.75" hidden="1">
      <c r="A54" s="1821"/>
      <c r="B54" s="1821"/>
      <c r="C54" s="369" t="s">
        <v>1122</v>
      </c>
      <c r="D54" s="2311"/>
      <c r="E54" s="2056"/>
      <c r="F54" s="2220"/>
      <c r="G54" s="2266"/>
      <c r="H54" s="1530"/>
      <c r="I54" s="657" t="s">
        <v>1123</v>
      </c>
      <c r="J54" s="577"/>
      <c r="K54" s="1530"/>
      <c r="L54" s="200"/>
      <c r="M54" s="2016"/>
      <c r="N54" s="330"/>
      <c r="O54" s="1664"/>
      <c r="P54" s="1664"/>
    </row>
    <row s="2992" customFormat="1" customHeight="1" ht="0.75" hidden="1">
      <c r="A55" s="1821"/>
      <c r="B55" s="1821"/>
      <c r="C55" s="369" t="s">
        <v>1128</v>
      </c>
      <c r="D55" s="2311"/>
      <c r="E55" s="2056"/>
      <c r="F55" s="2220"/>
      <c r="G55" s="406"/>
      <c r="H55" s="1530"/>
      <c r="I55" s="657"/>
      <c r="J55" s="577"/>
      <c r="K55" s="1530"/>
      <c r="L55" s="200"/>
      <c r="M55" s="2016"/>
      <c r="N55" s="330"/>
      <c r="O55" s="1664"/>
      <c r="P55" s="1664"/>
    </row>
    <row s="2992" customFormat="1" customHeight="1" ht="18.75" hidden="1">
      <c r="A56" s="1821" t="s">
        <v>280</v>
      </c>
      <c r="B56" s="1821" t="s">
        <v>281</v>
      </c>
      <c r="C56" s="369"/>
      <c r="D56" s="2311"/>
      <c r="E56" s="2056"/>
      <c r="F56" s="2220" t="str">
        <f>INDEX(PT_DIFFERENTIATION_VTAR,MATCH(A56,PT_DIFFERENTIATION_VTAR_ID,0))</f>
        <v>Тариф на транспортировку воды</v>
      </c>
      <c r="G56" s="2266" t="str">
        <f>INDEX(PT_DIFFERENTIATION_NTAR,MATCH(B56,PT_DIFFERENTIATION_NTAR_ID,0))</f>
        <v/>
      </c>
      <c r="H56" s="1905"/>
      <c r="I56" s="1779"/>
      <c r="J56" s="1814"/>
      <c r="K56" s="1908"/>
      <c r="L56" s="1905" t="s">
        <v>351</v>
      </c>
      <c r="M56" s="2016"/>
      <c r="N56" s="330"/>
      <c r="O56" s="1664"/>
      <c r="P56" s="1664"/>
    </row>
    <row s="2992" customFormat="1" customHeight="1" ht="18.75" hidden="1">
      <c r="A57" s="1821"/>
      <c r="B57" s="1821"/>
      <c r="C57" s="369" t="s">
        <v>1122</v>
      </c>
      <c r="D57" s="2311"/>
      <c r="E57" s="2056"/>
      <c r="F57" s="2220"/>
      <c r="G57" s="2266"/>
      <c r="H57" s="1530"/>
      <c r="I57" s="657" t="s">
        <v>1123</v>
      </c>
      <c r="J57" s="577"/>
      <c r="K57" s="1530"/>
      <c r="L57" s="200"/>
      <c r="M57" s="2016"/>
      <c r="N57" s="330"/>
      <c r="O57" s="1664"/>
      <c r="P57" s="1664"/>
    </row>
    <row s="2992" customFormat="1" customHeight="1" ht="0.75" hidden="1">
      <c r="A58" s="1821"/>
      <c r="B58" s="1821"/>
      <c r="C58" s="369" t="s">
        <v>1128</v>
      </c>
      <c r="D58" s="2311"/>
      <c r="E58" s="2056"/>
      <c r="F58" s="2220"/>
      <c r="G58" s="406"/>
      <c r="H58" s="1530"/>
      <c r="I58" s="657"/>
      <c r="J58" s="577"/>
      <c r="K58" s="1530"/>
      <c r="L58" s="200"/>
      <c r="M58" s="2016"/>
      <c r="N58" s="330"/>
      <c r="O58" s="1664"/>
      <c r="P58" s="1664"/>
    </row>
    <row s="2992" customFormat="1" customHeight="1" ht="18.75" hidden="1">
      <c r="A59" s="1821" t="s">
        <v>285</v>
      </c>
      <c r="B59" s="1821" t="s">
        <v>286</v>
      </c>
      <c r="C59" s="369"/>
      <c r="D59" s="2311"/>
      <c r="E59" s="2056"/>
      <c r="F59" s="2220" t="str">
        <f>INDEX(PT_DIFFERENTIATION_VTAR,MATCH(A59,PT_DIFFERENTIATION_VTAR_ID,0))</f>
        <v>Тариф на подвоз воды</v>
      </c>
      <c r="G59" s="2266" t="str">
        <f>INDEX(PT_DIFFERENTIATION_NTAR,MATCH(B59,PT_DIFFERENTIATION_NTAR_ID,0))</f>
        <v/>
      </c>
      <c r="H59" s="1905"/>
      <c r="I59" s="1779"/>
      <c r="J59" s="1814"/>
      <c r="K59" s="1908"/>
      <c r="L59" s="1905" t="s">
        <v>351</v>
      </c>
      <c r="M59" s="2016"/>
      <c r="N59" s="330"/>
      <c r="O59" s="1664"/>
      <c r="P59" s="1664"/>
    </row>
    <row s="2992" customFormat="1" customHeight="1" ht="18.75" hidden="1">
      <c r="A60" s="1821"/>
      <c r="B60" s="1821"/>
      <c r="C60" s="369" t="s">
        <v>1122</v>
      </c>
      <c r="D60" s="2311"/>
      <c r="E60" s="2056"/>
      <c r="F60" s="2220"/>
      <c r="G60" s="2266"/>
      <c r="H60" s="1530"/>
      <c r="I60" s="657" t="s">
        <v>1123</v>
      </c>
      <c r="J60" s="577"/>
      <c r="K60" s="1530"/>
      <c r="L60" s="200"/>
      <c r="M60" s="2016"/>
      <c r="N60" s="330"/>
      <c r="O60" s="1664"/>
      <c r="P60" s="1664"/>
    </row>
    <row s="2992" customFormat="1" customHeight="1" ht="0.75" hidden="1">
      <c r="A61" s="1821"/>
      <c r="B61" s="1821"/>
      <c r="C61" s="369" t="s">
        <v>1128</v>
      </c>
      <c r="D61" s="2311"/>
      <c r="E61" s="2056"/>
      <c r="F61" s="2220"/>
      <c r="G61" s="406"/>
      <c r="H61" s="1530"/>
      <c r="I61" s="657"/>
      <c r="J61" s="577"/>
      <c r="K61" s="1530"/>
      <c r="L61" s="200"/>
      <c r="M61" s="2016"/>
      <c r="N61" s="330"/>
      <c r="O61" s="1664"/>
      <c r="P61" s="1664"/>
    </row>
    <row s="2992" customFormat="1" customHeight="1" ht="18.75" hidden="1">
      <c r="A62" s="1821" t="s">
        <v>290</v>
      </c>
      <c r="B62" s="1821" t="s">
        <v>291</v>
      </c>
      <c r="C62" s="369"/>
      <c r="D62" s="2311"/>
      <c r="E62" s="2056"/>
      <c r="F62" s="2220" t="str">
        <f>INDEX(PT_DIFFERENTIATION_VTAR,MATCH(A62,PT_DIFFERENTIATION_VTAR_ID,0))</f>
        <v>Тариф на подключение (технологическое присоединение) к централизованной системе холодного водоснабжения</v>
      </c>
      <c r="G62" s="2266" t="str">
        <f>INDEX(PT_DIFFERENTIATION_NTAR,MATCH(B62,PT_DIFFERENTIATION_NTAR_ID,0))</f>
        <v/>
      </c>
      <c r="H62" s="1905"/>
      <c r="I62" s="1779"/>
      <c r="J62" s="1814"/>
      <c r="K62" s="1908"/>
      <c r="L62" s="1905" t="s">
        <v>351</v>
      </c>
      <c r="M62" s="2016"/>
      <c r="N62" s="330"/>
      <c r="O62" s="1664"/>
      <c r="P62" s="1664"/>
    </row>
    <row s="2992" customFormat="1" customHeight="1" ht="18.75" hidden="1">
      <c r="A63" s="1821"/>
      <c r="B63" s="1821"/>
      <c r="C63" s="369" t="s">
        <v>1122</v>
      </c>
      <c r="D63" s="2311"/>
      <c r="E63" s="2056"/>
      <c r="F63" s="2220"/>
      <c r="G63" s="2266"/>
      <c r="H63" s="1530"/>
      <c r="I63" s="657" t="s">
        <v>1123</v>
      </c>
      <c r="J63" s="577"/>
      <c r="K63" s="1530"/>
      <c r="L63" s="200"/>
      <c r="M63" s="2016"/>
      <c r="N63" s="330"/>
      <c r="O63" s="1664"/>
      <c r="P63" s="1664"/>
    </row>
    <row s="2992" customFormat="1" customHeight="1" ht="0.75" hidden="1">
      <c r="A64" s="1821"/>
      <c r="B64" s="1821"/>
      <c r="C64" s="369" t="s">
        <v>1128</v>
      </c>
      <c r="D64" s="2311"/>
      <c r="E64" s="2056"/>
      <c r="F64" s="2220"/>
      <c r="G64" s="406"/>
      <c r="H64" s="1530"/>
      <c r="I64" s="657"/>
      <c r="J64" s="577"/>
      <c r="K64" s="1530"/>
      <c r="L64" s="200"/>
      <c r="M64" s="2016"/>
      <c r="N64" s="330"/>
      <c r="O64" s="1664"/>
      <c r="P64" s="1664"/>
    </row>
    <row s="2992" customFormat="1" customHeight="1" ht="18.75" hidden="1">
      <c r="A65" s="1821" t="s">
        <v>295</v>
      </c>
      <c r="B65" s="1821" t="s">
        <v>296</v>
      </c>
      <c r="C65" s="369"/>
      <c r="D65" s="2311"/>
      <c r="E65" s="2056"/>
      <c r="F65" s="2220" t="str">
        <f>INDEX(PT_DIFFERENTIATION_VTAR,MATCH(A65,PT_DIFFERENTIATION_VTAR_ID,0))</f>
        <v>Тариф на горячую воду (горячее водоснабжение)</v>
      </c>
      <c r="G65" s="2266" t="str">
        <f>INDEX(PT_DIFFERENTIATION_NTAR,MATCH(B65,PT_DIFFERENTIATION_NTAR_ID,0))</f>
        <v/>
      </c>
      <c r="H65" s="1905"/>
      <c r="I65" s="1779"/>
      <c r="J65" s="1814"/>
      <c r="K65" s="1908"/>
      <c r="L65" s="1905" t="s">
        <v>351</v>
      </c>
      <c r="M65" s="2016"/>
      <c r="N65" s="330"/>
      <c r="O65" s="1664"/>
      <c r="P65" s="1664"/>
    </row>
    <row s="2992" customFormat="1" customHeight="1" ht="18.75" hidden="1">
      <c r="A66" s="1821"/>
      <c r="B66" s="1821"/>
      <c r="C66" s="369" t="s">
        <v>1122</v>
      </c>
      <c r="D66" s="2311"/>
      <c r="E66" s="2056"/>
      <c r="F66" s="2220"/>
      <c r="G66" s="2266"/>
      <c r="H66" s="1530"/>
      <c r="I66" s="657" t="s">
        <v>1123</v>
      </c>
      <c r="J66" s="577"/>
      <c r="K66" s="1530"/>
      <c r="L66" s="200"/>
      <c r="M66" s="2016"/>
      <c r="N66" s="330"/>
      <c r="O66" s="1664"/>
      <c r="P66" s="1664"/>
    </row>
    <row s="2992" customFormat="1" customHeight="1" ht="0.75" hidden="1">
      <c r="A67" s="1821"/>
      <c r="B67" s="1821"/>
      <c r="C67" s="369" t="s">
        <v>1128</v>
      </c>
      <c r="D67" s="2311"/>
      <c r="E67" s="2056"/>
      <c r="F67" s="2220"/>
      <c r="G67" s="406"/>
      <c r="H67" s="1530"/>
      <c r="I67" s="657"/>
      <c r="J67" s="577"/>
      <c r="K67" s="1530"/>
      <c r="L67" s="200"/>
      <c r="M67" s="2016"/>
      <c r="N67" s="330"/>
      <c r="O67" s="1664"/>
      <c r="P67" s="1664"/>
    </row>
    <row s="2992" customFormat="1" customHeight="1" ht="18.75" hidden="1">
      <c r="A68" s="1821" t="s">
        <v>300</v>
      </c>
      <c r="B68" s="1821" t="s">
        <v>301</v>
      </c>
      <c r="C68" s="369"/>
      <c r="D68" s="2311"/>
      <c r="E68" s="2056"/>
      <c r="F68" s="2220" t="str">
        <f>INDEX(PT_DIFFERENTIATION_VTAR,MATCH(A68,PT_DIFFERENTIATION_VTAR_ID,0))</f>
        <v>Тариф на транспортировку горячей воды</v>
      </c>
      <c r="G68" s="2266" t="str">
        <f>INDEX(PT_DIFFERENTIATION_NTAR,MATCH(B68,PT_DIFFERENTIATION_NTAR_ID,0))</f>
        <v/>
      </c>
      <c r="H68" s="1905"/>
      <c r="I68" s="1779"/>
      <c r="J68" s="1814"/>
      <c r="K68" s="1908"/>
      <c r="L68" s="1905" t="s">
        <v>351</v>
      </c>
      <c r="M68" s="2016"/>
      <c r="N68" s="330"/>
      <c r="O68" s="1664"/>
      <c r="P68" s="1664"/>
    </row>
    <row s="2992" customFormat="1" customHeight="1" ht="18.75" hidden="1">
      <c r="A69" s="1821"/>
      <c r="B69" s="1821"/>
      <c r="C69" s="369" t="s">
        <v>1122</v>
      </c>
      <c r="D69" s="2311"/>
      <c r="E69" s="2056"/>
      <c r="F69" s="2220"/>
      <c r="G69" s="2266"/>
      <c r="H69" s="1530"/>
      <c r="I69" s="657" t="s">
        <v>1123</v>
      </c>
      <c r="J69" s="577"/>
      <c r="K69" s="1530"/>
      <c r="L69" s="200"/>
      <c r="M69" s="2016"/>
      <c r="N69" s="330"/>
      <c r="O69" s="1664"/>
      <c r="P69" s="1664"/>
    </row>
    <row s="2992" customFormat="1" customHeight="1" ht="0.75" hidden="1">
      <c r="A70" s="1821"/>
      <c r="B70" s="1821"/>
      <c r="C70" s="369" t="s">
        <v>1128</v>
      </c>
      <c r="D70" s="2311"/>
      <c r="E70" s="2056"/>
      <c r="F70" s="2220"/>
      <c r="G70" s="406"/>
      <c r="H70" s="1530"/>
      <c r="I70" s="657"/>
      <c r="J70" s="577"/>
      <c r="K70" s="1530"/>
      <c r="L70" s="200"/>
      <c r="M70" s="2016"/>
      <c r="N70" s="330"/>
      <c r="O70" s="1664"/>
      <c r="P70" s="1664"/>
    </row>
    <row s="2992" customFormat="1" customHeight="1" ht="18.75" hidden="1">
      <c r="A71" s="1821" t="s">
        <v>305</v>
      </c>
      <c r="B71" s="1821" t="s">
        <v>306</v>
      </c>
      <c r="C71" s="369"/>
      <c r="D71" s="2311"/>
      <c r="E71" s="2056"/>
      <c r="F71" s="2220" t="str">
        <f>INDEX(PT_DIFFERENTIATION_VTAR,MATCH(A71,PT_DIFFERENTIATION_VTAR_ID,0))</f>
        <v>Тариф на подключение (технологическое присоединение) к централизованной системе горячего водоснабжения</v>
      </c>
      <c r="G71" s="2266" t="str">
        <f>INDEX(PT_DIFFERENTIATION_NTAR,MATCH(B71,PT_DIFFERENTIATION_NTAR_ID,0))</f>
        <v/>
      </c>
      <c r="H71" s="1905"/>
      <c r="I71" s="1779"/>
      <c r="J71" s="1814"/>
      <c r="K71" s="1908"/>
      <c r="L71" s="1905" t="s">
        <v>351</v>
      </c>
      <c r="M71" s="2016"/>
      <c r="N71" s="330"/>
      <c r="O71" s="1664"/>
      <c r="P71" s="1664"/>
    </row>
    <row s="2992" customFormat="1" customHeight="1" ht="18.75" hidden="1">
      <c r="A72" s="1821"/>
      <c r="B72" s="1821"/>
      <c r="C72" s="369" t="s">
        <v>1122</v>
      </c>
      <c r="D72" s="2311"/>
      <c r="E72" s="2056"/>
      <c r="F72" s="2220"/>
      <c r="G72" s="2266"/>
      <c r="H72" s="1530"/>
      <c r="I72" s="657" t="s">
        <v>1123</v>
      </c>
      <c r="J72" s="577"/>
      <c r="K72" s="1530"/>
      <c r="L72" s="200"/>
      <c r="M72" s="2016"/>
      <c r="N72" s="330"/>
      <c r="O72" s="1664"/>
      <c r="P72" s="1664"/>
    </row>
    <row s="2992" customFormat="1" customHeight="1" ht="0.75" hidden="1">
      <c r="A73" s="1821"/>
      <c r="B73" s="1821"/>
      <c r="C73" s="369" t="s">
        <v>1128</v>
      </c>
      <c r="D73" s="2311"/>
      <c r="E73" s="2056"/>
      <c r="F73" s="2220"/>
      <c r="G73" s="406"/>
      <c r="H73" s="1530"/>
      <c r="I73" s="657"/>
      <c r="J73" s="577"/>
      <c r="K73" s="1530"/>
      <c r="L73" s="200"/>
      <c r="M73" s="2016"/>
      <c r="N73" s="330"/>
      <c r="O73" s="1664"/>
      <c r="P73" s="1664"/>
    </row>
    <row s="2992" customFormat="1" customHeight="1" ht="18.75" hidden="1">
      <c r="A74" s="1821" t="s">
        <v>310</v>
      </c>
      <c r="B74" s="1821" t="s">
        <v>311</v>
      </c>
      <c r="C74" s="369"/>
      <c r="D74" s="2311"/>
      <c r="E74" s="2056"/>
      <c r="F74" s="2220" t="str">
        <f>INDEX(PT_DIFFERENTIATION_VTAR,MATCH(A74,PT_DIFFERENTIATION_VTAR_ID,0))</f>
        <v>Тариф на водоотведение</v>
      </c>
      <c r="G74" s="2266" t="str">
        <f>INDEX(PT_DIFFERENTIATION_NTAR,MATCH(B74,PT_DIFFERENTIATION_NTAR_ID,0))</f>
        <v/>
      </c>
      <c r="H74" s="1905"/>
      <c r="I74" s="1779"/>
      <c r="J74" s="1814"/>
      <c r="K74" s="1908"/>
      <c r="L74" s="1905" t="s">
        <v>351</v>
      </c>
      <c r="M74" s="2016"/>
      <c r="N74" s="330"/>
      <c r="O74" s="1664"/>
      <c r="P74" s="1664"/>
    </row>
    <row s="2992" customFormat="1" customHeight="1" ht="18.75" hidden="1">
      <c r="A75" s="1821"/>
      <c r="B75" s="1821"/>
      <c r="C75" s="369" t="s">
        <v>1122</v>
      </c>
      <c r="D75" s="2311"/>
      <c r="E75" s="2056"/>
      <c r="F75" s="2220"/>
      <c r="G75" s="2266"/>
      <c r="H75" s="1530"/>
      <c r="I75" s="657" t="s">
        <v>1123</v>
      </c>
      <c r="J75" s="577"/>
      <c r="K75" s="1530"/>
      <c r="L75" s="200"/>
      <c r="M75" s="2016"/>
      <c r="N75" s="330"/>
      <c r="O75" s="1664"/>
      <c r="P75" s="1664"/>
    </row>
    <row s="2992" customFormat="1" customHeight="1" ht="0.75" hidden="1">
      <c r="A76" s="1821"/>
      <c r="B76" s="1821"/>
      <c r="C76" s="369" t="s">
        <v>1128</v>
      </c>
      <c r="D76" s="2311"/>
      <c r="E76" s="2056"/>
      <c r="F76" s="2220"/>
      <c r="G76" s="406"/>
      <c r="H76" s="1530"/>
      <c r="I76" s="657"/>
      <c r="J76" s="577"/>
      <c r="K76" s="1530"/>
      <c r="L76" s="200"/>
      <c r="M76" s="2016"/>
      <c r="N76" s="330"/>
      <c r="O76" s="1664"/>
      <c r="P76" s="1664"/>
    </row>
    <row s="2992" customFormat="1" customHeight="1" ht="18.75" hidden="1">
      <c r="A77" s="1821" t="s">
        <v>315</v>
      </c>
      <c r="B77" s="1821" t="s">
        <v>316</v>
      </c>
      <c r="C77" s="369"/>
      <c r="D77" s="2311"/>
      <c r="E77" s="2056"/>
      <c r="F77" s="2220" t="str">
        <f>INDEX(PT_DIFFERENTIATION_VTAR,MATCH(A77,PT_DIFFERENTIATION_VTAR_ID,0))</f>
        <v>Тариф на транспортировку сточных вод</v>
      </c>
      <c r="G77" s="2266" t="str">
        <f>INDEX(PT_DIFFERENTIATION_NTAR,MATCH(B77,PT_DIFFERENTIATION_NTAR_ID,0))</f>
        <v/>
      </c>
      <c r="H77" s="1905"/>
      <c r="I77" s="1779"/>
      <c r="J77" s="1814"/>
      <c r="K77" s="1908"/>
      <c r="L77" s="1905" t="s">
        <v>351</v>
      </c>
      <c r="M77" s="2016"/>
      <c r="N77" s="330"/>
      <c r="O77" s="1664"/>
      <c r="P77" s="1664"/>
    </row>
    <row s="2992" customFormat="1" customHeight="1" ht="18.75" hidden="1">
      <c r="A78" s="1821"/>
      <c r="B78" s="1821"/>
      <c r="C78" s="369" t="s">
        <v>1122</v>
      </c>
      <c r="D78" s="2311"/>
      <c r="E78" s="2056"/>
      <c r="F78" s="2220"/>
      <c r="G78" s="2266"/>
      <c r="H78" s="1530"/>
      <c r="I78" s="657" t="s">
        <v>1123</v>
      </c>
      <c r="J78" s="577"/>
      <c r="K78" s="1530"/>
      <c r="L78" s="200"/>
      <c r="M78" s="2016"/>
      <c r="N78" s="330"/>
      <c r="O78" s="1664"/>
      <c r="P78" s="1664"/>
    </row>
    <row s="2992" customFormat="1" customHeight="1" ht="0.75" hidden="1">
      <c r="A79" s="1821"/>
      <c r="B79" s="1821"/>
      <c r="C79" s="369" t="s">
        <v>1128</v>
      </c>
      <c r="D79" s="2311"/>
      <c r="E79" s="2056"/>
      <c r="F79" s="2220"/>
      <c r="G79" s="406"/>
      <c r="H79" s="1530"/>
      <c r="I79" s="657"/>
      <c r="J79" s="577"/>
      <c r="K79" s="1530"/>
      <c r="L79" s="200"/>
      <c r="M79" s="2016"/>
      <c r="N79" s="330"/>
      <c r="O79" s="1664"/>
      <c r="P79" s="1664"/>
    </row>
    <row s="2992" customFormat="1" customHeight="1" ht="18.75" hidden="1">
      <c r="A80" s="1821" t="s">
        <v>320</v>
      </c>
      <c r="B80" s="1821" t="s">
        <v>321</v>
      </c>
      <c r="C80" s="369"/>
      <c r="D80" s="2311"/>
      <c r="E80" s="2056"/>
      <c r="F80" s="2220" t="str">
        <f>INDEX(PT_DIFFERENTIATION_VTAR,MATCH(A80,PT_DIFFERENTIATION_VTAR_ID,0))</f>
        <v>Тариф на подключение (технологическое присоединение) к централизованной системе водоотведения</v>
      </c>
      <c r="G80" s="2266" t="str">
        <f>INDEX(PT_DIFFERENTIATION_NTAR,MATCH(B80,PT_DIFFERENTIATION_NTAR_ID,0))</f>
        <v/>
      </c>
      <c r="H80" s="1905"/>
      <c r="I80" s="1779"/>
      <c r="J80" s="1814"/>
      <c r="K80" s="1908"/>
      <c r="L80" s="1905" t="s">
        <v>351</v>
      </c>
      <c r="M80" s="2016"/>
      <c r="N80" s="330"/>
      <c r="O80" s="1664"/>
      <c r="P80" s="1664"/>
    </row>
    <row s="2992" customFormat="1" customHeight="1" ht="18.75" hidden="1">
      <c r="A81" s="1821"/>
      <c r="B81" s="1821"/>
      <c r="C81" s="369" t="s">
        <v>1122</v>
      </c>
      <c r="D81" s="2311"/>
      <c r="E81" s="2056"/>
      <c r="F81" s="2220"/>
      <c r="G81" s="2266"/>
      <c r="H81" s="1530"/>
      <c r="I81" s="657" t="s">
        <v>1123</v>
      </c>
      <c r="J81" s="577"/>
      <c r="K81" s="1530"/>
      <c r="L81" s="200"/>
      <c r="M81" s="2016"/>
      <c r="N81" s="330"/>
      <c r="O81" s="1664"/>
      <c r="P81" s="1664"/>
    </row>
    <row s="2992" customFormat="1" customHeight="1" ht="0.75">
      <c r="A82" s="1821"/>
      <c r="B82" s="1821"/>
      <c r="C82" s="369" t="s">
        <v>1128</v>
      </c>
      <c r="D82" s="2311"/>
      <c r="E82" s="2056"/>
      <c r="F82" s="2220"/>
      <c r="G82" s="406"/>
      <c r="H82" s="1530"/>
      <c r="I82" s="657"/>
      <c r="J82" s="577"/>
      <c r="K82" s="1530"/>
      <c r="L82" s="200"/>
      <c r="M82" s="2016"/>
      <c r="N82" s="330"/>
      <c r="O82" s="1664"/>
      <c r="P82" s="1664"/>
    </row>
    <row customHeight="1" ht="18.75">
      <c r="A83" s="1821"/>
      <c r="B83" s="1821"/>
      <c r="D83" s="377"/>
      <c r="E83" s="133" t="s">
        <v>102</v>
      </c>
      <c r="F83"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3" s="2303"/>
      <c r="H83" s="2303"/>
      <c r="I83" s="2303"/>
      <c r="J83" s="2303"/>
      <c r="K83" s="2303"/>
      <c r="L83" s="2303"/>
      <c r="M83" s="285"/>
      <c r="N83" s="330"/>
    </row>
    <row customHeight="1" ht="33.75">
      <c r="A84" s="1821"/>
      <c r="B84" s="1821"/>
      <c r="D84" s="377"/>
      <c r="E84" s="405"/>
      <c r="F84" s="184" t="s">
        <v>351</v>
      </c>
      <c r="G84" s="184" t="s">
        <v>351</v>
      </c>
      <c r="H84" s="2068" t="s">
        <v>351</v>
      </c>
      <c r="I84" s="2084"/>
      <c r="J84" s="184" t="s">
        <v>351</v>
      </c>
      <c r="K84" s="184" t="s">
        <v>351</v>
      </c>
      <c r="L84" s="407"/>
      <c r="M84" s="341" t="s">
        <v>1129</v>
      </c>
      <c r="N84" s="330"/>
    </row>
    <row customHeight="1" ht="18.75">
      <c r="A85" s="1821"/>
      <c r="B85" s="1821"/>
      <c r="D85" s="377"/>
      <c r="E85" s="133" t="s">
        <v>89</v>
      </c>
      <c r="F85" s="2303" t="s">
        <v>1130</v>
      </c>
      <c r="G85" s="2303"/>
      <c r="H85" s="2303"/>
      <c r="I85" s="2303"/>
      <c r="J85" s="2303"/>
      <c r="K85" s="2303"/>
      <c r="L85" s="2303"/>
      <c r="M85" s="285"/>
      <c r="N85" s="330"/>
    </row>
    <row s="2992" customFormat="1" customHeight="1" ht="60.75" hidden="1">
      <c r="A86" s="1821" t="s">
        <v>171</v>
      </c>
      <c r="B86" s="1821" t="s">
        <v>172</v>
      </c>
      <c r="C86" s="369"/>
      <c r="D86" s="2311"/>
      <c r="E86" s="2056"/>
      <c r="F86" s="2220"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266" t="str">
        <f>INDEX(PT_DIFFERENTIATION_NTAR,MATCH(B86,PT_DIFFERENTIATION_NTAR_ID,0))</f>
        <v/>
      </c>
      <c r="H86" s="1905"/>
      <c r="I86" s="1779"/>
      <c r="J86" s="1814"/>
      <c r="K86" s="1819"/>
      <c r="L86" s="1905" t="s">
        <v>351</v>
      </c>
      <c r="M8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330"/>
      <c r="O86" s="1664"/>
      <c r="P86" s="1664"/>
    </row>
    <row s="2992" customFormat="1" customHeight="1" ht="18.75" hidden="1">
      <c r="A87" s="1821"/>
      <c r="B87" s="1821"/>
      <c r="C87" s="369" t="s">
        <v>1124</v>
      </c>
      <c r="D87" s="2311"/>
      <c r="E87" s="2056"/>
      <c r="F87" s="2220"/>
      <c r="G87" s="2266"/>
      <c r="H87" s="1530"/>
      <c r="I87" s="657" t="s">
        <v>1123</v>
      </c>
      <c r="J87" s="577"/>
      <c r="K87" s="1530"/>
      <c r="L87" s="200"/>
      <c r="M87" s="2016"/>
      <c r="N87" s="330"/>
      <c r="O87" s="1664"/>
      <c r="P87" s="1664"/>
    </row>
    <row s="2992" customFormat="1" customHeight="1" ht="0.75" hidden="1">
      <c r="A88" s="1821"/>
      <c r="B88" s="1821"/>
      <c r="C88" s="369" t="s">
        <v>1131</v>
      </c>
      <c r="D88" s="2311"/>
      <c r="E88" s="2056"/>
      <c r="F88" s="2220"/>
      <c r="G88" s="406"/>
      <c r="H88" s="1530"/>
      <c r="I88" s="657"/>
      <c r="J88" s="577"/>
      <c r="K88" s="1530"/>
      <c r="L88" s="200"/>
      <c r="M88" s="2016"/>
      <c r="N88" s="330"/>
      <c r="O88" s="1664"/>
      <c r="P88" s="1664"/>
    </row>
    <row s="2992" customFormat="1" customHeight="1" ht="45" hidden="1">
      <c r="A89" s="1821" t="s">
        <v>177</v>
      </c>
      <c r="B89" s="1821" t="s">
        <v>178</v>
      </c>
      <c r="C89" s="369"/>
      <c r="D89" s="2311"/>
      <c r="E89" s="2056"/>
      <c r="F89" s="2220"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266" t="str">
        <f>INDEX(PT_DIFFERENTIATION_NTAR,MATCH(B89,PT_DIFFERENTIATION_NTAR_ID,0))</f>
        <v/>
      </c>
      <c r="H89" s="1905"/>
      <c r="I89" s="1779"/>
      <c r="J89" s="1814"/>
      <c r="K89" s="1819"/>
      <c r="L89" s="1905" t="s">
        <v>351</v>
      </c>
      <c r="M89" s="2017"/>
      <c r="N89" s="330"/>
      <c r="O89" s="1664"/>
      <c r="P89" s="1664"/>
    </row>
    <row s="2992" customFormat="1" customHeight="1" ht="18.75" hidden="1">
      <c r="A90" s="1821"/>
      <c r="B90" s="1821"/>
      <c r="C90" s="369" t="s">
        <v>1124</v>
      </c>
      <c r="D90" s="2311"/>
      <c r="E90" s="2056"/>
      <c r="F90" s="2220"/>
      <c r="G90" s="2266"/>
      <c r="H90" s="1530"/>
      <c r="I90" s="657" t="s">
        <v>1123</v>
      </c>
      <c r="J90" s="577"/>
      <c r="K90" s="1530"/>
      <c r="L90" s="200"/>
      <c r="M90" s="1904"/>
      <c r="N90" s="330"/>
      <c r="O90" s="1664"/>
      <c r="P90" s="1664"/>
    </row>
    <row s="2992" customFormat="1" customHeight="1" ht="0.75" hidden="1">
      <c r="A91" s="1821"/>
      <c r="B91" s="1821"/>
      <c r="C91" s="369" t="s">
        <v>1131</v>
      </c>
      <c r="D91" s="2311"/>
      <c r="E91" s="2056"/>
      <c r="F91" s="2220"/>
      <c r="G91" s="406"/>
      <c r="H91" s="1530"/>
      <c r="I91" s="657"/>
      <c r="J91" s="577"/>
      <c r="K91" s="1530"/>
      <c r="L91" s="200"/>
      <c r="M91" s="337"/>
      <c r="N91" s="330"/>
      <c r="O91" s="1664"/>
      <c r="P91" s="1664"/>
    </row>
    <row s="2992" customFormat="1" customHeight="1" ht="45" hidden="1">
      <c r="A92" s="1821" t="s">
        <v>186</v>
      </c>
      <c r="B92" s="1821" t="s">
        <v>187</v>
      </c>
      <c r="C92" s="369"/>
      <c r="D92" s="2311"/>
      <c r="E92" s="2056"/>
      <c r="F92" s="2220"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266" t="str">
        <f>INDEX(PT_DIFFERENTIATION_NTAR,MATCH(B92,PT_DIFFERENTIATION_NTAR_ID,0))</f>
        <v>Тариф на теплоноситель, поставляемый потребителям</v>
      </c>
      <c r="H92" s="1905"/>
      <c r="I92" s="1779"/>
      <c r="J92" s="1814"/>
      <c r="K92" s="1819"/>
      <c r="L92" s="1905" t="s">
        <v>351</v>
      </c>
      <c r="M92" s="337"/>
      <c r="N92" s="330"/>
      <c r="O92" s="1664"/>
      <c r="P92" s="1664"/>
    </row>
    <row s="2992" customFormat="1" customHeight="1" ht="18.75" hidden="1">
      <c r="A93" s="1821"/>
      <c r="B93" s="1821"/>
      <c r="C93" s="369" t="s">
        <v>1124</v>
      </c>
      <c r="D93" s="2311"/>
      <c r="E93" s="2056"/>
      <c r="F93" s="2220"/>
      <c r="G93" s="2266"/>
      <c r="H93" s="1530"/>
      <c r="I93" s="657" t="s">
        <v>1123</v>
      </c>
      <c r="J93" s="577"/>
      <c r="K93" s="1530"/>
      <c r="L93" s="200"/>
      <c r="M93" s="337"/>
      <c r="N93" s="330"/>
      <c r="O93" s="1664"/>
      <c r="P93" s="1664"/>
    </row>
    <row s="3429" customFormat="1" customHeight="1" ht="18.75">
      <c r="A94" s="4004" t="s">
        <v>186</v>
      </c>
      <c r="B94" s="4004" t="s">
        <v>213</v>
      </c>
      <c r="C94" s="6798"/>
      <c r="D94" s="6799"/>
      <c r="E94" s="6800"/>
      <c r="F94" s="6800"/>
      <c r="G94" s="6801" t="str">
        <f>INDEX(PT_DIFFERENTIATION_NTAR,MATCH(B94,PT_DIFFERENTIATION_NTAR_ID,0))</f>
        <v>Тарифы на теплоноситель, поставляемый группе потребителей "население"</v>
      </c>
      <c r="H94" s="3628"/>
      <c r="I94" s="6802"/>
      <c r="J94" s="6803"/>
      <c r="K94" s="6815"/>
      <c r="L94" s="3628" t="s">
        <v>351</v>
      </c>
      <c r="M94" s="6805"/>
      <c r="N94" s="6806"/>
      <c r="O94" s="3790"/>
      <c r="P94" s="3790"/>
      <c r="Q94" s="3429"/>
      <c r="R94" s="3429"/>
      <c r="S94" s="3429"/>
      <c r="T94" s="3429"/>
      <c r="U94" s="3429"/>
      <c r="V94" s="3429"/>
      <c r="W94" s="3429"/>
      <c r="X94" s="3429"/>
      <c r="Y94" s="3429"/>
      <c r="Z94" s="3429"/>
      <c r="AA94" s="3429"/>
      <c r="AB94" s="3429"/>
      <c r="AC94" s="3429"/>
      <c r="AD94" s="3429"/>
      <c r="AE94" s="3429"/>
      <c r="AF94" s="3429"/>
      <c r="AG94" s="3429"/>
    </row>
    <row s="3429" customFormat="1" customHeight="1" ht="18.75">
      <c r="A95" s="4004"/>
      <c r="B95" s="4004"/>
      <c r="C95" s="6798" t="s">
        <v>1124</v>
      </c>
      <c r="D95" s="6799"/>
      <c r="E95" s="6800"/>
      <c r="F95" s="6800"/>
      <c r="G95" s="6801"/>
      <c r="H95" s="6816"/>
      <c r="I95" s="6817" t="s">
        <v>1123</v>
      </c>
      <c r="J95" s="6818"/>
      <c r="K95" s="6819"/>
      <c r="L95" s="6820"/>
      <c r="M95" s="6805"/>
      <c r="N95" s="6806"/>
      <c r="O95" s="3790"/>
      <c r="P95" s="3790"/>
      <c r="Q95" s="3429"/>
      <c r="R95" s="3429"/>
      <c r="S95" s="3429"/>
      <c r="T95" s="3429"/>
      <c r="U95" s="3429"/>
      <c r="V95" s="3429"/>
      <c r="W95" s="3429"/>
      <c r="X95" s="3429"/>
      <c r="Y95" s="3429"/>
      <c r="Z95" s="3429"/>
      <c r="AA95" s="3429"/>
      <c r="AB95" s="3429"/>
      <c r="AC95" s="3429"/>
      <c r="AD95" s="3429"/>
      <c r="AE95" s="3429"/>
      <c r="AF95" s="3429"/>
      <c r="AG95" s="3429"/>
    </row>
    <row s="2992" customFormat="1" customHeight="1" ht="0.75" hidden="1">
      <c r="A96" s="1821"/>
      <c r="B96" s="1821"/>
      <c r="C96" s="369" t="s">
        <v>1131</v>
      </c>
      <c r="D96" s="2311"/>
      <c r="E96" s="2056"/>
      <c r="F96" s="2220"/>
      <c r="G96" s="406"/>
      <c r="H96" s="1530"/>
      <c r="I96" s="657"/>
      <c r="J96" s="577"/>
      <c r="K96" s="1530"/>
      <c r="L96" s="200"/>
      <c r="M96" s="337"/>
      <c r="N96" s="330"/>
      <c r="O96" s="1664"/>
      <c r="P96" s="1664"/>
    </row>
    <row s="2992" customFormat="1" customHeight="1" ht="45" hidden="1">
      <c r="A97" s="1821" t="s">
        <v>232</v>
      </c>
      <c r="B97" s="1821" t="s">
        <v>233</v>
      </c>
      <c r="C97" s="369"/>
      <c r="D97" s="2311"/>
      <c r="E97" s="2056"/>
      <c r="F97" s="2220"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266" t="str">
        <f>INDEX(PT_DIFFERENTIATION_NTAR,MATCH(B97,PT_DIFFERENTIATION_NTAR_ID,0))</f>
        <v/>
      </c>
      <c r="H97" s="1905"/>
      <c r="I97" s="1779"/>
      <c r="J97" s="1814"/>
      <c r="K97" s="1819"/>
      <c r="L97" s="1905" t="s">
        <v>351</v>
      </c>
      <c r="M97" s="337"/>
      <c r="N97" s="330"/>
      <c r="O97" s="1664"/>
      <c r="P97" s="1664"/>
    </row>
    <row s="2992" customFormat="1" customHeight="1" ht="18.75" hidden="1">
      <c r="A98" s="1821"/>
      <c r="B98" s="1821"/>
      <c r="C98" s="369" t="s">
        <v>1124</v>
      </c>
      <c r="D98" s="2311"/>
      <c r="E98" s="2056"/>
      <c r="F98" s="2220"/>
      <c r="G98" s="2266"/>
      <c r="H98" s="1530"/>
      <c r="I98" s="657" t="s">
        <v>1123</v>
      </c>
      <c r="J98" s="577"/>
      <c r="K98" s="1530"/>
      <c r="L98" s="200"/>
      <c r="M98" s="337"/>
      <c r="N98" s="330"/>
      <c r="O98" s="1664"/>
      <c r="P98" s="1664"/>
    </row>
    <row s="2992" customFormat="1" customHeight="1" ht="0.75" hidden="1">
      <c r="A99" s="1821"/>
      <c r="B99" s="1821"/>
      <c r="C99" s="369" t="s">
        <v>1131</v>
      </c>
      <c r="D99" s="2311"/>
      <c r="E99" s="2056"/>
      <c r="F99" s="2220"/>
      <c r="G99" s="406"/>
      <c r="H99" s="1530"/>
      <c r="I99" s="657"/>
      <c r="J99" s="577"/>
      <c r="K99" s="1530"/>
      <c r="L99" s="200"/>
      <c r="M99" s="337"/>
      <c r="N99" s="330"/>
      <c r="O99" s="1664"/>
      <c r="P99" s="1664"/>
    </row>
    <row s="2992" customFormat="1" customHeight="1" ht="18.75" hidden="1">
      <c r="A100" s="1821" t="s">
        <v>238</v>
      </c>
      <c r="B100" s="1821" t="s">
        <v>239</v>
      </c>
      <c r="C100" s="369"/>
      <c r="D100" s="2311"/>
      <c r="E100" s="2056"/>
      <c r="F100" s="2220" t="str">
        <f>INDEX(PT_DIFFERENTIATION_VTAR,MATCH(A100,PT_DIFFERENTIATION_VTAR_ID,0))</f>
        <v>Тарифы на услуги по передаче тепловой энергии</v>
      </c>
      <c r="G100" s="2266" t="str">
        <f>INDEX(PT_DIFFERENTIATION_NTAR,MATCH(B100,PT_DIFFERENTIATION_NTAR_ID,0))</f>
        <v/>
      </c>
      <c r="H100" s="1905"/>
      <c r="I100" s="1779"/>
      <c r="J100" s="1814"/>
      <c r="K100" s="1819"/>
      <c r="L100" s="1905" t="s">
        <v>351</v>
      </c>
      <c r="M100" s="337"/>
      <c r="N100" s="330"/>
      <c r="O100" s="1664"/>
      <c r="P100" s="1664"/>
    </row>
    <row s="2992" customFormat="1" customHeight="1" ht="18.75" hidden="1">
      <c r="A101" s="1821"/>
      <c r="B101" s="1821"/>
      <c r="C101" s="369" t="s">
        <v>1124</v>
      </c>
      <c r="D101" s="2311"/>
      <c r="E101" s="2056"/>
      <c r="F101" s="2220"/>
      <c r="G101" s="2266"/>
      <c r="H101" s="1530"/>
      <c r="I101" s="657" t="s">
        <v>1123</v>
      </c>
      <c r="J101" s="577"/>
      <c r="K101" s="1530"/>
      <c r="L101" s="200"/>
      <c r="M101" s="337"/>
      <c r="N101" s="330"/>
      <c r="O101" s="1664"/>
      <c r="P101" s="1664"/>
    </row>
    <row s="2992" customFormat="1" customHeight="1" ht="0.75" hidden="1">
      <c r="A102" s="1821"/>
      <c r="B102" s="1821"/>
      <c r="C102" s="369" t="s">
        <v>1131</v>
      </c>
      <c r="D102" s="2311"/>
      <c r="E102" s="2056"/>
      <c r="F102" s="2220"/>
      <c r="G102" s="406"/>
      <c r="H102" s="1530"/>
      <c r="I102" s="657"/>
      <c r="J102" s="577"/>
      <c r="K102" s="1530"/>
      <c r="L102" s="200"/>
      <c r="M102" s="337"/>
      <c r="N102" s="330"/>
      <c r="O102" s="1664"/>
      <c r="P102" s="1664"/>
    </row>
    <row s="2992" customFormat="1" customHeight="1" ht="18.75" hidden="1">
      <c r="A103" s="1821" t="s">
        <v>244</v>
      </c>
      <c r="B103" s="1821" t="s">
        <v>245</v>
      </c>
      <c r="C103" s="369"/>
      <c r="D103" s="2311"/>
      <c r="E103" s="2056"/>
      <c r="F103" s="2220" t="str">
        <f>INDEX(PT_DIFFERENTIATION_VTAR,MATCH(A103,PT_DIFFERENTIATION_VTAR_ID,0))</f>
        <v>Тарифы на услуги по передаче теплоносителя</v>
      </c>
      <c r="G103" s="2266" t="str">
        <f>INDEX(PT_DIFFERENTIATION_NTAR,MATCH(B103,PT_DIFFERENTIATION_NTAR_ID,0))</f>
        <v/>
      </c>
      <c r="H103" s="1905"/>
      <c r="I103" s="1779"/>
      <c r="J103" s="1814"/>
      <c r="K103" s="1819"/>
      <c r="L103" s="1905" t="s">
        <v>351</v>
      </c>
      <c r="M103" s="337"/>
      <c r="N103" s="330"/>
      <c r="O103" s="1664"/>
      <c r="P103" s="1664"/>
    </row>
    <row s="2992" customFormat="1" customHeight="1" ht="18.75" hidden="1">
      <c r="A104" s="1821"/>
      <c r="B104" s="1821"/>
      <c r="C104" s="369" t="s">
        <v>1124</v>
      </c>
      <c r="D104" s="2311"/>
      <c r="E104" s="2056"/>
      <c r="F104" s="2220"/>
      <c r="G104" s="2266"/>
      <c r="H104" s="1530"/>
      <c r="I104" s="657" t="s">
        <v>1123</v>
      </c>
      <c r="J104" s="577"/>
      <c r="K104" s="1530"/>
      <c r="L104" s="200"/>
      <c r="M104" s="337"/>
      <c r="N104" s="330"/>
      <c r="O104" s="1664"/>
      <c r="P104" s="1664"/>
    </row>
    <row s="2992" customFormat="1" customHeight="1" ht="0.75" hidden="1">
      <c r="A105" s="1821"/>
      <c r="B105" s="1821"/>
      <c r="C105" s="369" t="s">
        <v>1131</v>
      </c>
      <c r="D105" s="2311"/>
      <c r="E105" s="2056"/>
      <c r="F105" s="2220"/>
      <c r="G105" s="406"/>
      <c r="H105" s="1530"/>
      <c r="I105" s="657"/>
      <c r="J105" s="577"/>
      <c r="K105" s="1530"/>
      <c r="L105" s="200"/>
      <c r="M105" s="337"/>
      <c r="N105" s="330"/>
      <c r="O105" s="1664"/>
      <c r="P105" s="1664"/>
    </row>
    <row s="2992" customFormat="1" customHeight="1" ht="18.75" hidden="1">
      <c r="A106" s="1821" t="s">
        <v>250</v>
      </c>
      <c r="B106" s="1821" t="s">
        <v>251</v>
      </c>
      <c r="C106" s="369"/>
      <c r="D106" s="2311"/>
      <c r="E106" s="2056"/>
      <c r="F106" s="2220"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266" t="str">
        <f>INDEX(PT_DIFFERENTIATION_NTAR,MATCH(B106,PT_DIFFERENTIATION_NTAR_ID,0))</f>
        <v/>
      </c>
      <c r="H106" s="1905"/>
      <c r="I106" s="1779"/>
      <c r="J106" s="1814"/>
      <c r="K106" s="1819"/>
      <c r="L106" s="1905" t="s">
        <v>351</v>
      </c>
      <c r="M106" s="337"/>
      <c r="N106" s="330"/>
      <c r="O106" s="1664"/>
      <c r="P106" s="1664"/>
    </row>
    <row s="2992" customFormat="1" customHeight="1" ht="18.75" hidden="1">
      <c r="A107" s="1821"/>
      <c r="B107" s="1821"/>
      <c r="C107" s="369" t="s">
        <v>1124</v>
      </c>
      <c r="D107" s="2311"/>
      <c r="E107" s="2056"/>
      <c r="F107" s="2220"/>
      <c r="G107" s="2266"/>
      <c r="H107" s="1530"/>
      <c r="I107" s="657" t="s">
        <v>1123</v>
      </c>
      <c r="J107" s="577"/>
      <c r="K107" s="1530"/>
      <c r="L107" s="200"/>
      <c r="M107" s="337"/>
      <c r="N107" s="330"/>
      <c r="O107" s="1664"/>
      <c r="P107" s="1664"/>
    </row>
    <row s="2992" customFormat="1" customHeight="1" ht="0.75" hidden="1">
      <c r="A108" s="1821"/>
      <c r="B108" s="1821"/>
      <c r="C108" s="369" t="s">
        <v>1131</v>
      </c>
      <c r="D108" s="2311"/>
      <c r="E108" s="2056"/>
      <c r="F108" s="2220"/>
      <c r="G108" s="406"/>
      <c r="H108" s="1530"/>
      <c r="I108" s="657"/>
      <c r="J108" s="577"/>
      <c r="K108" s="1530"/>
      <c r="L108" s="200"/>
      <c r="M108" s="337"/>
      <c r="N108" s="330"/>
      <c r="O108" s="1664"/>
      <c r="P108" s="1664"/>
    </row>
    <row s="2992" customFormat="1" customHeight="1" ht="18.75" hidden="1">
      <c r="A109" s="1821" t="s">
        <v>256</v>
      </c>
      <c r="B109" s="1821" t="s">
        <v>257</v>
      </c>
      <c r="C109" s="369"/>
      <c r="D109" s="2311"/>
      <c r="E109" s="2056"/>
      <c r="F109" s="2220" t="str">
        <f>INDEX(PT_DIFFERENTIATION_VTAR,MATCH(A109,PT_DIFFERENTIATION_VTAR_ID,0))</f>
        <v>Плата за подключение (технологическое присоединение) к системе теплоснабжения</v>
      </c>
      <c r="G109" s="2266" t="str">
        <f>INDEX(PT_DIFFERENTIATION_NTAR,MATCH(B109,PT_DIFFERENTIATION_NTAR_ID,0))</f>
        <v/>
      </c>
      <c r="H109" s="1905"/>
      <c r="I109" s="1779"/>
      <c r="J109" s="1814"/>
      <c r="K109" s="1819"/>
      <c r="L109" s="1905" t="s">
        <v>351</v>
      </c>
      <c r="M109" s="337"/>
      <c r="N109" s="330"/>
      <c r="O109" s="1664"/>
      <c r="P109" s="1664"/>
    </row>
    <row s="2992" customFormat="1" customHeight="1" ht="18.75" hidden="1">
      <c r="A110" s="1821"/>
      <c r="B110" s="1821"/>
      <c r="C110" s="369" t="s">
        <v>1124</v>
      </c>
      <c r="D110" s="2311"/>
      <c r="E110" s="2056"/>
      <c r="F110" s="2220"/>
      <c r="G110" s="2266"/>
      <c r="H110" s="1530"/>
      <c r="I110" s="657" t="s">
        <v>1123</v>
      </c>
      <c r="J110" s="577"/>
      <c r="K110" s="1530"/>
      <c r="L110" s="200"/>
      <c r="M110" s="337"/>
      <c r="N110" s="330"/>
      <c r="O110" s="1664"/>
      <c r="P110" s="1664"/>
    </row>
    <row s="2992" customFormat="1" customHeight="1" ht="0.75" hidden="1">
      <c r="A111" s="1821"/>
      <c r="B111" s="1821"/>
      <c r="C111" s="369" t="s">
        <v>1131</v>
      </c>
      <c r="D111" s="2311"/>
      <c r="E111" s="2056"/>
      <c r="F111" s="2220"/>
      <c r="G111" s="406"/>
      <c r="H111" s="1530"/>
      <c r="I111" s="657"/>
      <c r="J111" s="577"/>
      <c r="K111" s="1530"/>
      <c r="L111" s="200"/>
      <c r="M111" s="337"/>
      <c r="N111" s="330"/>
      <c r="O111" s="1664"/>
      <c r="P111" s="1664"/>
    </row>
    <row s="2992" customFormat="1" customHeight="1" ht="18.75" hidden="1">
      <c r="A112" s="1821" t="s">
        <v>270</v>
      </c>
      <c r="B112" s="1821" t="s">
        <v>271</v>
      </c>
      <c r="C112" s="369"/>
      <c r="D112" s="2311"/>
      <c r="E112" s="2056"/>
      <c r="F112" s="2220" t="str">
        <f>INDEX(PT_DIFFERENTIATION_VTAR,MATCH(A112,PT_DIFFERENTIATION_VTAR_ID,0))</f>
        <v>Тариф на питьевую воду (питьевое водоснабжение)</v>
      </c>
      <c r="G112" s="2266" t="str">
        <f>INDEX(PT_DIFFERENTIATION_NTAR,MATCH(B112,PT_DIFFERENTIATION_NTAR_ID,0))</f>
        <v/>
      </c>
      <c r="H112" s="1905"/>
      <c r="I112" s="1779"/>
      <c r="J112" s="1814"/>
      <c r="K112" s="1819"/>
      <c r="L112" s="1905" t="s">
        <v>351</v>
      </c>
      <c r="M112" s="337"/>
      <c r="N112" s="330"/>
      <c r="O112" s="1664"/>
      <c r="P112" s="1664"/>
    </row>
    <row s="2992" customFormat="1" customHeight="1" ht="18.75" hidden="1">
      <c r="A113" s="1821"/>
      <c r="B113" s="1821"/>
      <c r="C113" s="369" t="s">
        <v>1124</v>
      </c>
      <c r="D113" s="2311"/>
      <c r="E113" s="2056"/>
      <c r="F113" s="2220"/>
      <c r="G113" s="2266"/>
      <c r="H113" s="1530"/>
      <c r="I113" s="657" t="s">
        <v>1123</v>
      </c>
      <c r="J113" s="577"/>
      <c r="K113" s="1530"/>
      <c r="L113" s="200"/>
      <c r="M113" s="337"/>
      <c r="N113" s="330"/>
      <c r="O113" s="1664"/>
      <c r="P113" s="1664"/>
    </row>
    <row s="2992" customFormat="1" customHeight="1" ht="0.75" hidden="1">
      <c r="A114" s="1821"/>
      <c r="B114" s="1821"/>
      <c r="C114" s="369" t="s">
        <v>1131</v>
      </c>
      <c r="D114" s="2311"/>
      <c r="E114" s="2056"/>
      <c r="F114" s="2220"/>
      <c r="G114" s="406"/>
      <c r="H114" s="1530"/>
      <c r="I114" s="657"/>
      <c r="J114" s="577"/>
      <c r="K114" s="1530"/>
      <c r="L114" s="200"/>
      <c r="M114" s="337"/>
      <c r="N114" s="330"/>
      <c r="O114" s="1664"/>
      <c r="P114" s="1664"/>
    </row>
    <row s="2992" customFormat="1" customHeight="1" ht="18.75" hidden="1">
      <c r="A115" s="1821" t="s">
        <v>275</v>
      </c>
      <c r="B115" s="1821" t="s">
        <v>276</v>
      </c>
      <c r="C115" s="369"/>
      <c r="D115" s="2311"/>
      <c r="E115" s="2056"/>
      <c r="F115" s="2220" t="str">
        <f>INDEX(PT_DIFFERENTIATION_VTAR,MATCH(A115,PT_DIFFERENTIATION_VTAR_ID,0))</f>
        <v>Тариф на техническую воду</v>
      </c>
      <c r="G115" s="2266" t="str">
        <f>INDEX(PT_DIFFERENTIATION_NTAR,MATCH(B115,PT_DIFFERENTIATION_NTAR_ID,0))</f>
        <v/>
      </c>
      <c r="H115" s="1905"/>
      <c r="I115" s="1779"/>
      <c r="J115" s="1814"/>
      <c r="K115" s="1819"/>
      <c r="L115" s="1905" t="s">
        <v>351</v>
      </c>
      <c r="M115" s="337"/>
      <c r="N115" s="330"/>
      <c r="O115" s="1664"/>
      <c r="P115" s="1664"/>
    </row>
    <row s="2992" customFormat="1" customHeight="1" ht="18.75" hidden="1">
      <c r="A116" s="1821"/>
      <c r="B116" s="1821"/>
      <c r="C116" s="369" t="s">
        <v>1124</v>
      </c>
      <c r="D116" s="2311"/>
      <c r="E116" s="2056"/>
      <c r="F116" s="2220"/>
      <c r="G116" s="2266"/>
      <c r="H116" s="1530"/>
      <c r="I116" s="657" t="s">
        <v>1123</v>
      </c>
      <c r="J116" s="577"/>
      <c r="K116" s="1530"/>
      <c r="L116" s="200"/>
      <c r="M116" s="337"/>
      <c r="N116" s="330"/>
      <c r="O116" s="1664"/>
      <c r="P116" s="1664"/>
    </row>
    <row s="2992" customFormat="1" customHeight="1" ht="0.75" hidden="1">
      <c r="A117" s="1821"/>
      <c r="B117" s="1821"/>
      <c r="C117" s="369" t="s">
        <v>1131</v>
      </c>
      <c r="D117" s="2311"/>
      <c r="E117" s="2056"/>
      <c r="F117" s="2220"/>
      <c r="G117" s="406"/>
      <c r="H117" s="1530"/>
      <c r="I117" s="657"/>
      <c r="J117" s="577"/>
      <c r="K117" s="1530"/>
      <c r="L117" s="200"/>
      <c r="M117" s="337"/>
      <c r="N117" s="330"/>
      <c r="O117" s="1664"/>
      <c r="P117" s="1664"/>
    </row>
    <row s="2992" customFormat="1" customHeight="1" ht="18.75" hidden="1">
      <c r="A118" s="1821" t="s">
        <v>280</v>
      </c>
      <c r="B118" s="1821" t="s">
        <v>281</v>
      </c>
      <c r="C118" s="369"/>
      <c r="D118" s="2311"/>
      <c r="E118" s="2056"/>
      <c r="F118" s="2220" t="str">
        <f>INDEX(PT_DIFFERENTIATION_VTAR,MATCH(A118,PT_DIFFERENTIATION_VTAR_ID,0))</f>
        <v>Тариф на транспортировку воды</v>
      </c>
      <c r="G118" s="2266" t="str">
        <f>INDEX(PT_DIFFERENTIATION_NTAR,MATCH(B118,PT_DIFFERENTIATION_NTAR_ID,0))</f>
        <v/>
      </c>
      <c r="H118" s="1905"/>
      <c r="I118" s="1779"/>
      <c r="J118" s="1814"/>
      <c r="K118" s="1819"/>
      <c r="L118" s="1905" t="s">
        <v>351</v>
      </c>
      <c r="M118" s="337"/>
      <c r="N118" s="330"/>
      <c r="O118" s="1664"/>
      <c r="P118" s="1664"/>
    </row>
    <row s="2992" customFormat="1" customHeight="1" ht="18.75" hidden="1">
      <c r="A119" s="1821"/>
      <c r="B119" s="1821"/>
      <c r="C119" s="369" t="s">
        <v>1124</v>
      </c>
      <c r="D119" s="2311"/>
      <c r="E119" s="2056"/>
      <c r="F119" s="2220"/>
      <c r="G119" s="2266"/>
      <c r="H119" s="1530"/>
      <c r="I119" s="657" t="s">
        <v>1123</v>
      </c>
      <c r="J119" s="577"/>
      <c r="K119" s="1530"/>
      <c r="L119" s="200"/>
      <c r="M119" s="337"/>
      <c r="N119" s="330"/>
      <c r="O119" s="1664"/>
      <c r="P119" s="1664"/>
    </row>
    <row s="2992" customFormat="1" customHeight="1" ht="0.75" hidden="1">
      <c r="A120" s="1821"/>
      <c r="B120" s="1821"/>
      <c r="C120" s="369" t="s">
        <v>1131</v>
      </c>
      <c r="D120" s="2311"/>
      <c r="E120" s="2056"/>
      <c r="F120" s="2220"/>
      <c r="G120" s="406"/>
      <c r="H120" s="1530"/>
      <c r="I120" s="657"/>
      <c r="J120" s="577"/>
      <c r="K120" s="1530"/>
      <c r="L120" s="200"/>
      <c r="M120" s="337"/>
      <c r="N120" s="330"/>
      <c r="O120" s="1664"/>
      <c r="P120" s="1664"/>
    </row>
    <row s="2992" customFormat="1" customHeight="1" ht="18.75" hidden="1">
      <c r="A121" s="1821" t="s">
        <v>285</v>
      </c>
      <c r="B121" s="1821" t="s">
        <v>286</v>
      </c>
      <c r="C121" s="369"/>
      <c r="D121" s="2311"/>
      <c r="E121" s="2056"/>
      <c r="F121" s="2220" t="str">
        <f>INDEX(PT_DIFFERENTIATION_VTAR,MATCH(A121,PT_DIFFERENTIATION_VTAR_ID,0))</f>
        <v>Тариф на подвоз воды</v>
      </c>
      <c r="G121" s="2266" t="str">
        <f>INDEX(PT_DIFFERENTIATION_NTAR,MATCH(B121,PT_DIFFERENTIATION_NTAR_ID,0))</f>
        <v/>
      </c>
      <c r="H121" s="1905"/>
      <c r="I121" s="1779"/>
      <c r="J121" s="1814"/>
      <c r="K121" s="1819"/>
      <c r="L121" s="1905" t="s">
        <v>351</v>
      </c>
      <c r="M121" s="337"/>
      <c r="N121" s="330"/>
      <c r="O121" s="1664"/>
      <c r="P121" s="1664"/>
    </row>
    <row s="2992" customFormat="1" customHeight="1" ht="18.75" hidden="1">
      <c r="A122" s="1821"/>
      <c r="B122" s="1821"/>
      <c r="C122" s="369" t="s">
        <v>1124</v>
      </c>
      <c r="D122" s="2311"/>
      <c r="E122" s="2056"/>
      <c r="F122" s="2220"/>
      <c r="G122" s="2266"/>
      <c r="H122" s="1530"/>
      <c r="I122" s="657" t="s">
        <v>1123</v>
      </c>
      <c r="J122" s="577"/>
      <c r="K122" s="1530"/>
      <c r="L122" s="200"/>
      <c r="M122" s="337"/>
      <c r="N122" s="330"/>
      <c r="O122" s="1664"/>
      <c r="P122" s="1664"/>
    </row>
    <row s="2992" customFormat="1" customHeight="1" ht="0.75" hidden="1">
      <c r="A123" s="1821"/>
      <c r="B123" s="1821"/>
      <c r="C123" s="369" t="s">
        <v>1131</v>
      </c>
      <c r="D123" s="2311"/>
      <c r="E123" s="2056"/>
      <c r="F123" s="2220"/>
      <c r="G123" s="406"/>
      <c r="H123" s="1530"/>
      <c r="I123" s="657"/>
      <c r="J123" s="577"/>
      <c r="K123" s="1530"/>
      <c r="L123" s="200"/>
      <c r="M123" s="337"/>
      <c r="N123" s="330"/>
      <c r="O123" s="1664"/>
      <c r="P123" s="1664"/>
    </row>
    <row s="2992" customFormat="1" customHeight="1" ht="18.75" hidden="1">
      <c r="A124" s="1821" t="s">
        <v>290</v>
      </c>
      <c r="B124" s="1821" t="s">
        <v>291</v>
      </c>
      <c r="C124" s="369"/>
      <c r="D124" s="2311"/>
      <c r="E124" s="2056"/>
      <c r="F124" s="2220"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66" t="str">
        <f>INDEX(PT_DIFFERENTIATION_NTAR,MATCH(B124,PT_DIFFERENTIATION_NTAR_ID,0))</f>
        <v/>
      </c>
      <c r="H124" s="1905"/>
      <c r="I124" s="1779"/>
      <c r="J124" s="1814"/>
      <c r="K124" s="1819"/>
      <c r="L124" s="1905" t="s">
        <v>351</v>
      </c>
      <c r="M124" s="337"/>
      <c r="N124" s="330"/>
      <c r="O124" s="1664"/>
      <c r="P124" s="1664"/>
    </row>
    <row s="2992" customFormat="1" customHeight="1" ht="18.75" hidden="1">
      <c r="A125" s="1821"/>
      <c r="B125" s="1821"/>
      <c r="C125" s="369" t="s">
        <v>1124</v>
      </c>
      <c r="D125" s="2311"/>
      <c r="E125" s="2056"/>
      <c r="F125" s="2220"/>
      <c r="G125" s="2266"/>
      <c r="H125" s="1530"/>
      <c r="I125" s="657" t="s">
        <v>1123</v>
      </c>
      <c r="J125" s="577"/>
      <c r="K125" s="1530"/>
      <c r="L125" s="200"/>
      <c r="M125" s="337"/>
      <c r="N125" s="330"/>
      <c r="O125" s="1664"/>
      <c r="P125" s="1664"/>
    </row>
    <row s="2992" customFormat="1" customHeight="1" ht="0.75" hidden="1">
      <c r="A126" s="1821"/>
      <c r="B126" s="1821"/>
      <c r="C126" s="369" t="s">
        <v>1131</v>
      </c>
      <c r="D126" s="2311"/>
      <c r="E126" s="2056"/>
      <c r="F126" s="2220"/>
      <c r="G126" s="406"/>
      <c r="H126" s="1530"/>
      <c r="I126" s="657"/>
      <c r="J126" s="577"/>
      <c r="K126" s="1530"/>
      <c r="L126" s="200"/>
      <c r="M126" s="337"/>
      <c r="N126" s="330"/>
      <c r="O126" s="1664"/>
      <c r="P126" s="1664"/>
    </row>
    <row s="2992" customFormat="1" customHeight="1" ht="18.75" hidden="1">
      <c r="A127" s="1821" t="s">
        <v>295</v>
      </c>
      <c r="B127" s="1821" t="s">
        <v>296</v>
      </c>
      <c r="C127" s="369"/>
      <c r="D127" s="2311"/>
      <c r="E127" s="2056"/>
      <c r="F127" s="2220" t="str">
        <f>INDEX(PT_DIFFERENTIATION_VTAR,MATCH(A127,PT_DIFFERENTIATION_VTAR_ID,0))</f>
        <v>Тариф на горячую воду (горячее водоснабжение)</v>
      </c>
      <c r="G127" s="2266" t="str">
        <f>INDEX(PT_DIFFERENTIATION_NTAR,MATCH(B127,PT_DIFFERENTIATION_NTAR_ID,0))</f>
        <v/>
      </c>
      <c r="H127" s="1905"/>
      <c r="I127" s="1779"/>
      <c r="J127" s="1814"/>
      <c r="K127" s="1819"/>
      <c r="L127" s="1905" t="s">
        <v>351</v>
      </c>
      <c r="M127" s="337"/>
      <c r="N127" s="330"/>
      <c r="O127" s="1664"/>
      <c r="P127" s="1664"/>
    </row>
    <row s="2992" customFormat="1" customHeight="1" ht="18.75" hidden="1">
      <c r="A128" s="1821"/>
      <c r="B128" s="1821"/>
      <c r="C128" s="369" t="s">
        <v>1124</v>
      </c>
      <c r="D128" s="2311"/>
      <c r="E128" s="2056"/>
      <c r="F128" s="2220"/>
      <c r="G128" s="2266"/>
      <c r="H128" s="1530"/>
      <c r="I128" s="657" t="s">
        <v>1123</v>
      </c>
      <c r="J128" s="577"/>
      <c r="K128" s="1530"/>
      <c r="L128" s="200"/>
      <c r="M128" s="337"/>
      <c r="N128" s="330"/>
      <c r="O128" s="1664"/>
      <c r="P128" s="1664"/>
    </row>
    <row s="2992" customFormat="1" customHeight="1" ht="0.75" hidden="1">
      <c r="A129" s="1821"/>
      <c r="B129" s="1821"/>
      <c r="C129" s="369" t="s">
        <v>1131</v>
      </c>
      <c r="D129" s="2311"/>
      <c r="E129" s="2056"/>
      <c r="F129" s="2220"/>
      <c r="G129" s="406"/>
      <c r="H129" s="1530"/>
      <c r="I129" s="657"/>
      <c r="J129" s="577"/>
      <c r="K129" s="1530"/>
      <c r="L129" s="200"/>
      <c r="M129" s="337"/>
      <c r="N129" s="330"/>
      <c r="O129" s="1664"/>
      <c r="P129" s="1664"/>
    </row>
    <row s="2992" customFormat="1" customHeight="1" ht="18.75" hidden="1">
      <c r="A130" s="1821" t="s">
        <v>300</v>
      </c>
      <c r="B130" s="1821" t="s">
        <v>301</v>
      </c>
      <c r="C130" s="369"/>
      <c r="D130" s="2311"/>
      <c r="E130" s="2056"/>
      <c r="F130" s="2220" t="str">
        <f>INDEX(PT_DIFFERENTIATION_VTAR,MATCH(A130,PT_DIFFERENTIATION_VTAR_ID,0))</f>
        <v>Тариф на транспортировку горячей воды</v>
      </c>
      <c r="G130" s="2266" t="str">
        <f>INDEX(PT_DIFFERENTIATION_NTAR,MATCH(B130,PT_DIFFERENTIATION_NTAR_ID,0))</f>
        <v/>
      </c>
      <c r="H130" s="1905"/>
      <c r="I130" s="1779"/>
      <c r="J130" s="1814"/>
      <c r="K130" s="1819"/>
      <c r="L130" s="1905" t="s">
        <v>351</v>
      </c>
      <c r="M130" s="337"/>
      <c r="N130" s="330"/>
      <c r="O130" s="1664"/>
      <c r="P130" s="1664"/>
    </row>
    <row s="2992" customFormat="1" customHeight="1" ht="18.75" hidden="1">
      <c r="A131" s="1821"/>
      <c r="B131" s="1821"/>
      <c r="C131" s="369" t="s">
        <v>1124</v>
      </c>
      <c r="D131" s="2311"/>
      <c r="E131" s="2056"/>
      <c r="F131" s="2220"/>
      <c r="G131" s="2266"/>
      <c r="H131" s="1530"/>
      <c r="I131" s="657" t="s">
        <v>1123</v>
      </c>
      <c r="J131" s="577"/>
      <c r="K131" s="1530"/>
      <c r="L131" s="200"/>
      <c r="M131" s="337"/>
      <c r="N131" s="330"/>
      <c r="O131" s="1664"/>
      <c r="P131" s="1664"/>
    </row>
    <row s="2992" customFormat="1" customHeight="1" ht="0.75" hidden="1">
      <c r="A132" s="1821"/>
      <c r="B132" s="1821"/>
      <c r="C132" s="369" t="s">
        <v>1131</v>
      </c>
      <c r="D132" s="2311"/>
      <c r="E132" s="2056"/>
      <c r="F132" s="2220"/>
      <c r="G132" s="406"/>
      <c r="H132" s="1530"/>
      <c r="I132" s="657"/>
      <c r="J132" s="577"/>
      <c r="K132" s="1530"/>
      <c r="L132" s="200"/>
      <c r="M132" s="337"/>
      <c r="N132" s="330"/>
      <c r="O132" s="1664"/>
      <c r="P132" s="1664"/>
    </row>
    <row s="2992" customFormat="1" customHeight="1" ht="18.75" hidden="1">
      <c r="A133" s="1821" t="s">
        <v>305</v>
      </c>
      <c r="B133" s="1821" t="s">
        <v>306</v>
      </c>
      <c r="C133" s="369"/>
      <c r="D133" s="2311"/>
      <c r="E133" s="2056"/>
      <c r="F133" s="2220"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66" t="str">
        <f>INDEX(PT_DIFFERENTIATION_NTAR,MATCH(B133,PT_DIFFERENTIATION_NTAR_ID,0))</f>
        <v/>
      </c>
      <c r="H133" s="1905"/>
      <c r="I133" s="1779"/>
      <c r="J133" s="1814"/>
      <c r="K133" s="1819"/>
      <c r="L133" s="1905" t="s">
        <v>351</v>
      </c>
      <c r="M133" s="337"/>
      <c r="N133" s="330"/>
      <c r="O133" s="1664"/>
      <c r="P133" s="1664"/>
    </row>
    <row s="2992" customFormat="1" customHeight="1" ht="18.75" hidden="1">
      <c r="A134" s="1821"/>
      <c r="B134" s="1821"/>
      <c r="C134" s="369" t="s">
        <v>1124</v>
      </c>
      <c r="D134" s="2311"/>
      <c r="E134" s="2056"/>
      <c r="F134" s="2220"/>
      <c r="G134" s="2266"/>
      <c r="H134" s="1530"/>
      <c r="I134" s="657" t="s">
        <v>1123</v>
      </c>
      <c r="J134" s="577"/>
      <c r="K134" s="1530"/>
      <c r="L134" s="200"/>
      <c r="M134" s="337"/>
      <c r="N134" s="330"/>
      <c r="O134" s="1664"/>
      <c r="P134" s="1664"/>
    </row>
    <row s="2992" customFormat="1" customHeight="1" ht="0.75" hidden="1">
      <c r="A135" s="1821"/>
      <c r="B135" s="1821"/>
      <c r="C135" s="369" t="s">
        <v>1131</v>
      </c>
      <c r="D135" s="2311"/>
      <c r="E135" s="2056"/>
      <c r="F135" s="2220"/>
      <c r="G135" s="406"/>
      <c r="H135" s="1530"/>
      <c r="I135" s="657"/>
      <c r="J135" s="577"/>
      <c r="K135" s="1530"/>
      <c r="L135" s="200"/>
      <c r="M135" s="337"/>
      <c r="N135" s="330"/>
      <c r="O135" s="1664"/>
      <c r="P135" s="1664"/>
    </row>
    <row s="2992" customFormat="1" customHeight="1" ht="18.75" hidden="1">
      <c r="A136" s="1821" t="s">
        <v>310</v>
      </c>
      <c r="B136" s="1821" t="s">
        <v>311</v>
      </c>
      <c r="C136" s="369"/>
      <c r="D136" s="2311"/>
      <c r="E136" s="2056"/>
      <c r="F136" s="2220" t="str">
        <f>INDEX(PT_DIFFERENTIATION_VTAR,MATCH(A136,PT_DIFFERENTIATION_VTAR_ID,0))</f>
        <v>Тариф на водоотведение</v>
      </c>
      <c r="G136" s="2266" t="str">
        <f>INDEX(PT_DIFFERENTIATION_NTAR,MATCH(B136,PT_DIFFERENTIATION_NTAR_ID,0))</f>
        <v/>
      </c>
      <c r="H136" s="1905"/>
      <c r="I136" s="1779"/>
      <c r="J136" s="1814"/>
      <c r="K136" s="1819"/>
      <c r="L136" s="1905" t="s">
        <v>351</v>
      </c>
      <c r="M136" s="337"/>
      <c r="N136" s="330"/>
      <c r="O136" s="1664"/>
      <c r="P136" s="1664"/>
    </row>
    <row s="2992" customFormat="1" customHeight="1" ht="18.75" hidden="1">
      <c r="A137" s="1821"/>
      <c r="B137" s="1821"/>
      <c r="C137" s="369" t="s">
        <v>1124</v>
      </c>
      <c r="D137" s="2311"/>
      <c r="E137" s="2056"/>
      <c r="F137" s="2220"/>
      <c r="G137" s="2266"/>
      <c r="H137" s="1530"/>
      <c r="I137" s="657" t="s">
        <v>1123</v>
      </c>
      <c r="J137" s="577"/>
      <c r="K137" s="1530"/>
      <c r="L137" s="200"/>
      <c r="M137" s="337"/>
      <c r="N137" s="330"/>
      <c r="O137" s="1664"/>
      <c r="P137" s="1664"/>
    </row>
    <row s="2992" customFormat="1" customHeight="1" ht="0.75" hidden="1">
      <c r="A138" s="1821"/>
      <c r="B138" s="1821"/>
      <c r="C138" s="369" t="s">
        <v>1131</v>
      </c>
      <c r="D138" s="2311"/>
      <c r="E138" s="2056"/>
      <c r="F138" s="2220"/>
      <c r="G138" s="406"/>
      <c r="H138" s="1530"/>
      <c r="I138" s="657"/>
      <c r="J138" s="577"/>
      <c r="K138" s="1530"/>
      <c r="L138" s="200"/>
      <c r="M138" s="337"/>
      <c r="N138" s="330"/>
      <c r="O138" s="1664"/>
      <c r="P138" s="1664"/>
    </row>
    <row s="2992" customFormat="1" customHeight="1" ht="18.75" hidden="1">
      <c r="A139" s="1821" t="s">
        <v>315</v>
      </c>
      <c r="B139" s="1821" t="s">
        <v>316</v>
      </c>
      <c r="C139" s="369"/>
      <c r="D139" s="2311"/>
      <c r="E139" s="2056"/>
      <c r="F139" s="2220" t="str">
        <f>INDEX(PT_DIFFERENTIATION_VTAR,MATCH(A139,PT_DIFFERENTIATION_VTAR_ID,0))</f>
        <v>Тариф на транспортировку сточных вод</v>
      </c>
      <c r="G139" s="2266" t="str">
        <f>INDEX(PT_DIFFERENTIATION_NTAR,MATCH(B139,PT_DIFFERENTIATION_NTAR_ID,0))</f>
        <v/>
      </c>
      <c r="H139" s="1905"/>
      <c r="I139" s="1779"/>
      <c r="J139" s="1814"/>
      <c r="K139" s="1819"/>
      <c r="L139" s="1905" t="s">
        <v>351</v>
      </c>
      <c r="M139" s="337"/>
      <c r="N139" s="330"/>
      <c r="O139" s="1664"/>
      <c r="P139" s="1664"/>
    </row>
    <row s="2992" customFormat="1" customHeight="1" ht="18.75" hidden="1">
      <c r="A140" s="1821"/>
      <c r="B140" s="1821"/>
      <c r="C140" s="369" t="s">
        <v>1124</v>
      </c>
      <c r="D140" s="2311"/>
      <c r="E140" s="2056"/>
      <c r="F140" s="2220"/>
      <c r="G140" s="2266"/>
      <c r="H140" s="1530"/>
      <c r="I140" s="657" t="s">
        <v>1123</v>
      </c>
      <c r="J140" s="577"/>
      <c r="K140" s="1530"/>
      <c r="L140" s="200"/>
      <c r="M140" s="337"/>
      <c r="N140" s="330"/>
      <c r="O140" s="1664"/>
      <c r="P140" s="1664"/>
    </row>
    <row s="2992" customFormat="1" customHeight="1" ht="0.75" hidden="1">
      <c r="A141" s="1821"/>
      <c r="B141" s="1821"/>
      <c r="C141" s="369" t="s">
        <v>1131</v>
      </c>
      <c r="D141" s="2311"/>
      <c r="E141" s="2056"/>
      <c r="F141" s="2220"/>
      <c r="G141" s="406"/>
      <c r="H141" s="1530"/>
      <c r="I141" s="657"/>
      <c r="J141" s="577"/>
      <c r="K141" s="1530"/>
      <c r="L141" s="200"/>
      <c r="M141" s="337"/>
      <c r="N141" s="330"/>
      <c r="O141" s="1664"/>
      <c r="P141" s="1664"/>
    </row>
    <row s="2992" customFormat="1" customHeight="1" ht="18.75" hidden="1">
      <c r="A142" s="1821" t="s">
        <v>320</v>
      </c>
      <c r="B142" s="1821" t="s">
        <v>321</v>
      </c>
      <c r="C142" s="369"/>
      <c r="D142" s="2311"/>
      <c r="E142" s="2056"/>
      <c r="F142" s="2220" t="str">
        <f>INDEX(PT_DIFFERENTIATION_VTAR,MATCH(A142,PT_DIFFERENTIATION_VTAR_ID,0))</f>
        <v>Тариф на подключение (технологическое присоединение) к централизованной системе водоотведения</v>
      </c>
      <c r="G142" s="2266" t="str">
        <f>INDEX(PT_DIFFERENTIATION_NTAR,MATCH(B142,PT_DIFFERENTIATION_NTAR_ID,0))</f>
        <v/>
      </c>
      <c r="H142" s="1905"/>
      <c r="I142" s="1779"/>
      <c r="J142" s="1814"/>
      <c r="K142" s="1819"/>
      <c r="L142" s="1905" t="s">
        <v>351</v>
      </c>
      <c r="M142" s="337"/>
      <c r="N142" s="330"/>
      <c r="O142" s="1664"/>
      <c r="P142" s="1664"/>
    </row>
    <row s="2992" customFormat="1" customHeight="1" ht="18.75" hidden="1">
      <c r="A143" s="1821"/>
      <c r="B143" s="1821"/>
      <c r="C143" s="369" t="s">
        <v>1124</v>
      </c>
      <c r="D143" s="2311"/>
      <c r="E143" s="2056"/>
      <c r="F143" s="2220"/>
      <c r="G143" s="2266"/>
      <c r="H143" s="1530"/>
      <c r="I143" s="657" t="s">
        <v>1123</v>
      </c>
      <c r="J143" s="577"/>
      <c r="K143" s="1530"/>
      <c r="L143" s="200"/>
      <c r="M143" s="337"/>
      <c r="N143" s="330"/>
      <c r="O143" s="1664"/>
      <c r="P143" s="1664"/>
    </row>
    <row s="2992" customFormat="1" customHeight="1" ht="0.75">
      <c r="A144" s="1821"/>
      <c r="B144" s="1821"/>
      <c r="C144" s="369" t="s">
        <v>1131</v>
      </c>
      <c r="D144" s="2311"/>
      <c r="E144" s="2056"/>
      <c r="F144" s="2220"/>
      <c r="G144" s="406"/>
      <c r="H144" s="1530"/>
      <c r="I144" s="657"/>
      <c r="J144" s="577"/>
      <c r="K144" s="1530"/>
      <c r="L144" s="200"/>
      <c r="M144" s="337"/>
      <c r="N144" s="330"/>
      <c r="O144" s="1664"/>
      <c r="P144" s="1664"/>
    </row>
    <row customHeight="1" ht="18.75">
      <c r="A145" s="1821"/>
      <c r="B145" s="1821"/>
      <c r="D145" s="377"/>
      <c r="E145" s="133" t="s">
        <v>90</v>
      </c>
      <c r="F145"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5" s="2303"/>
      <c r="H145" s="2303"/>
      <c r="I145" s="2303"/>
      <c r="J145" s="2303"/>
      <c r="K145" s="2303"/>
      <c r="L145" s="2303"/>
      <c r="M145" s="285"/>
      <c r="N145" s="330"/>
    </row>
    <row s="2992" customFormat="1" customHeight="1" ht="60.75" hidden="1">
      <c r="A146" s="1821" t="s">
        <v>171</v>
      </c>
      <c r="B146" s="1821" t="s">
        <v>172</v>
      </c>
      <c r="C146" s="369"/>
      <c r="D146" s="2311"/>
      <c r="E146" s="2056"/>
      <c r="F146" s="2220"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66" t="str">
        <f>INDEX(PT_DIFFERENTIATION_NTAR,MATCH(B146,PT_DIFFERENTIATION_NTAR_ID,0))</f>
        <v/>
      </c>
      <c r="H146" s="1905"/>
      <c r="I146" s="1779"/>
      <c r="J146" s="1814"/>
      <c r="K146" s="1819"/>
      <c r="L146" s="1905" t="s">
        <v>351</v>
      </c>
      <c r="M14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330"/>
      <c r="O146" s="1664"/>
      <c r="P146" s="1664"/>
    </row>
    <row s="2992" customFormat="1" customHeight="1" ht="18.75" hidden="1">
      <c r="A147" s="1821"/>
      <c r="B147" s="1821"/>
      <c r="C147" s="369" t="s">
        <v>1124</v>
      </c>
      <c r="D147" s="2311"/>
      <c r="E147" s="2056"/>
      <c r="F147" s="2220"/>
      <c r="G147" s="2266"/>
      <c r="H147" s="1530"/>
      <c r="I147" s="657" t="s">
        <v>1123</v>
      </c>
      <c r="J147" s="577"/>
      <c r="K147" s="1530"/>
      <c r="L147" s="200"/>
      <c r="M147" s="2016"/>
      <c r="N147" s="330"/>
      <c r="O147" s="1664"/>
      <c r="P147" s="1664"/>
    </row>
    <row s="2992" customFormat="1" customHeight="1" ht="0.75" hidden="1">
      <c r="A148" s="1821"/>
      <c r="B148" s="1821"/>
      <c r="C148" s="369" t="s">
        <v>1131</v>
      </c>
      <c r="D148" s="2311"/>
      <c r="E148" s="2056"/>
      <c r="F148" s="2220"/>
      <c r="G148" s="406"/>
      <c r="H148" s="1530"/>
      <c r="I148" s="657"/>
      <c r="J148" s="577"/>
      <c r="K148" s="1530"/>
      <c r="L148" s="200"/>
      <c r="M148" s="2016"/>
      <c r="N148" s="330"/>
      <c r="O148" s="1664"/>
      <c r="P148" s="1664"/>
    </row>
    <row s="2992" customFormat="1" customHeight="1" ht="45" hidden="1">
      <c r="A149" s="1821" t="s">
        <v>177</v>
      </c>
      <c r="B149" s="1821" t="s">
        <v>178</v>
      </c>
      <c r="C149" s="369"/>
      <c r="D149" s="2311"/>
      <c r="E149" s="2056"/>
      <c r="F149" s="2220"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66" t="str">
        <f>INDEX(PT_DIFFERENTIATION_NTAR,MATCH(B149,PT_DIFFERENTIATION_NTAR_ID,0))</f>
        <v/>
      </c>
      <c r="H149" s="1905"/>
      <c r="I149" s="1779"/>
      <c r="J149" s="1814"/>
      <c r="K149" s="1819"/>
      <c r="L149" s="1905" t="s">
        <v>351</v>
      </c>
      <c r="M149" s="2017"/>
      <c r="N149" s="330"/>
      <c r="O149" s="1664"/>
      <c r="P149" s="1664"/>
    </row>
    <row s="2992" customFormat="1" customHeight="1" ht="18.75" hidden="1">
      <c r="A150" s="1821"/>
      <c r="B150" s="1821"/>
      <c r="C150" s="369" t="s">
        <v>1124</v>
      </c>
      <c r="D150" s="2311"/>
      <c r="E150" s="2056"/>
      <c r="F150" s="2220"/>
      <c r="G150" s="2266"/>
      <c r="H150" s="1530"/>
      <c r="I150" s="657" t="s">
        <v>1123</v>
      </c>
      <c r="J150" s="577"/>
      <c r="K150" s="1530"/>
      <c r="L150" s="200"/>
      <c r="M150" s="1904"/>
      <c r="N150" s="330"/>
      <c r="O150" s="1664"/>
      <c r="P150" s="1664"/>
    </row>
    <row s="2992" customFormat="1" customHeight="1" ht="0.75" hidden="1">
      <c r="A151" s="1821"/>
      <c r="B151" s="1821"/>
      <c r="C151" s="369" t="s">
        <v>1131</v>
      </c>
      <c r="D151" s="2311"/>
      <c r="E151" s="2056"/>
      <c r="F151" s="2220"/>
      <c r="G151" s="406"/>
      <c r="H151" s="1530"/>
      <c r="I151" s="657"/>
      <c r="J151" s="577"/>
      <c r="K151" s="1530"/>
      <c r="L151" s="200"/>
      <c r="M151" s="337"/>
      <c r="N151" s="330"/>
      <c r="O151" s="1664"/>
      <c r="P151" s="1664"/>
    </row>
    <row s="2992" customFormat="1" customHeight="1" ht="45" hidden="1">
      <c r="A152" s="1821" t="s">
        <v>186</v>
      </c>
      <c r="B152" s="1821" t="s">
        <v>187</v>
      </c>
      <c r="C152" s="369"/>
      <c r="D152" s="2311"/>
      <c r="E152" s="2056"/>
      <c r="F152" s="2220"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266" t="str">
        <f>INDEX(PT_DIFFERENTIATION_NTAR,MATCH(B152,PT_DIFFERENTIATION_NTAR_ID,0))</f>
        <v>Тариф на теплоноситель, поставляемый потребителям</v>
      </c>
      <c r="H152" s="1905"/>
      <c r="I152" s="1779"/>
      <c r="J152" s="1814"/>
      <c r="K152" s="1819"/>
      <c r="L152" s="1905" t="s">
        <v>351</v>
      </c>
      <c r="M152" s="337"/>
      <c r="N152" s="330"/>
      <c r="O152" s="1664"/>
      <c r="P152" s="1664"/>
    </row>
    <row s="2992" customFormat="1" customHeight="1" ht="18.75" hidden="1">
      <c r="A153" s="1821"/>
      <c r="B153" s="1821"/>
      <c r="C153" s="369" t="s">
        <v>1124</v>
      </c>
      <c r="D153" s="2311"/>
      <c r="E153" s="2056"/>
      <c r="F153" s="2220"/>
      <c r="G153" s="2266"/>
      <c r="H153" s="1530"/>
      <c r="I153" s="657" t="s">
        <v>1123</v>
      </c>
      <c r="J153" s="577"/>
      <c r="K153" s="1530"/>
      <c r="L153" s="200"/>
      <c r="M153" s="337"/>
      <c r="N153" s="330"/>
      <c r="O153" s="1664"/>
      <c r="P153" s="1664"/>
    </row>
    <row s="3429" customFormat="1" customHeight="1" ht="18.75">
      <c r="A154" s="4004" t="s">
        <v>186</v>
      </c>
      <c r="B154" s="4004" t="s">
        <v>213</v>
      </c>
      <c r="C154" s="6798"/>
      <c r="D154" s="6799"/>
      <c r="E154" s="6800"/>
      <c r="F154" s="6800"/>
      <c r="G154" s="6801" t="str">
        <f>INDEX(PT_DIFFERENTIATION_NTAR,MATCH(B154,PT_DIFFERENTIATION_NTAR_ID,0))</f>
        <v>Тарифы на теплоноситель, поставляемый группе потребителей "население"</v>
      </c>
      <c r="H154" s="3628"/>
      <c r="I154" s="6802"/>
      <c r="J154" s="6803"/>
      <c r="K154" s="6815"/>
      <c r="L154" s="3628" t="s">
        <v>351</v>
      </c>
      <c r="M154" s="6805"/>
      <c r="N154" s="6806"/>
      <c r="O154" s="3790"/>
      <c r="P154" s="3790"/>
      <c r="Q154" s="3429"/>
      <c r="R154" s="3429"/>
      <c r="S154" s="3429"/>
      <c r="T154" s="3429"/>
      <c r="U154" s="3429"/>
      <c r="V154" s="3429"/>
      <c r="W154" s="3429"/>
      <c r="X154" s="3429"/>
      <c r="Y154" s="3429"/>
      <c r="Z154" s="3429"/>
      <c r="AA154" s="3429"/>
      <c r="AB154" s="3429"/>
      <c r="AC154" s="3429"/>
      <c r="AD154" s="3429"/>
      <c r="AE154" s="3429"/>
      <c r="AF154" s="3429"/>
      <c r="AG154" s="3429"/>
    </row>
    <row s="3429" customFormat="1" customHeight="1" ht="18.75">
      <c r="A155" s="4004"/>
      <c r="B155" s="4004"/>
      <c r="C155" s="6798" t="s">
        <v>1124</v>
      </c>
      <c r="D155" s="6799"/>
      <c r="E155" s="6800"/>
      <c r="F155" s="6800"/>
      <c r="G155" s="6801"/>
      <c r="H155" s="6821"/>
      <c r="I155" s="6822" t="s">
        <v>1123</v>
      </c>
      <c r="J155" s="6823"/>
      <c r="K155" s="6824"/>
      <c r="L155" s="6825"/>
      <c r="M155" s="6805"/>
      <c r="N155" s="6806"/>
      <c r="O155" s="3790"/>
      <c r="P155" s="3790"/>
      <c r="Q155" s="3429"/>
      <c r="R155" s="3429"/>
      <c r="S155" s="3429"/>
      <c r="T155" s="3429"/>
      <c r="U155" s="3429"/>
      <c r="V155" s="3429"/>
      <c r="W155" s="3429"/>
      <c r="X155" s="3429"/>
      <c r="Y155" s="3429"/>
      <c r="Z155" s="3429"/>
      <c r="AA155" s="3429"/>
      <c r="AB155" s="3429"/>
      <c r="AC155" s="3429"/>
      <c r="AD155" s="3429"/>
      <c r="AE155" s="3429"/>
      <c r="AF155" s="3429"/>
      <c r="AG155" s="3429"/>
    </row>
    <row s="2992" customFormat="1" customHeight="1" ht="0.75" hidden="1">
      <c r="A156" s="1821"/>
      <c r="B156" s="1821"/>
      <c r="C156" s="369" t="s">
        <v>1131</v>
      </c>
      <c r="D156" s="2311"/>
      <c r="E156" s="2056"/>
      <c r="F156" s="2220"/>
      <c r="G156" s="406"/>
      <c r="H156" s="1530"/>
      <c r="I156" s="657"/>
      <c r="J156" s="577"/>
      <c r="K156" s="1530"/>
      <c r="L156" s="200"/>
      <c r="M156" s="337"/>
      <c r="N156" s="330"/>
      <c r="O156" s="1664"/>
      <c r="P156" s="1664"/>
    </row>
    <row s="2992" customFormat="1" customHeight="1" ht="45" hidden="1">
      <c r="A157" s="1821" t="s">
        <v>232</v>
      </c>
      <c r="B157" s="1821" t="s">
        <v>233</v>
      </c>
      <c r="C157" s="369"/>
      <c r="D157" s="2311"/>
      <c r="E157" s="2056"/>
      <c r="F157" s="222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266" t="str">
        <f>INDEX(PT_DIFFERENTIATION_NTAR,MATCH(B157,PT_DIFFERENTIATION_NTAR_ID,0))</f>
        <v/>
      </c>
      <c r="H157" s="1905"/>
      <c r="I157" s="1779"/>
      <c r="J157" s="1814"/>
      <c r="K157" s="1819"/>
      <c r="L157" s="1905" t="s">
        <v>351</v>
      </c>
      <c r="M157" s="337"/>
      <c r="N157" s="330"/>
      <c r="O157" s="1664"/>
      <c r="P157" s="1664"/>
    </row>
    <row s="2992" customFormat="1" customHeight="1" ht="18.75" hidden="1">
      <c r="A158" s="1821"/>
      <c r="B158" s="1821"/>
      <c r="C158" s="369" t="s">
        <v>1124</v>
      </c>
      <c r="D158" s="2311"/>
      <c r="E158" s="2056"/>
      <c r="F158" s="2220"/>
      <c r="G158" s="2266"/>
      <c r="H158" s="1530"/>
      <c r="I158" s="657" t="s">
        <v>1123</v>
      </c>
      <c r="J158" s="577"/>
      <c r="K158" s="1530"/>
      <c r="L158" s="200"/>
      <c r="M158" s="337"/>
      <c r="N158" s="330"/>
      <c r="O158" s="1664"/>
      <c r="P158" s="1664"/>
    </row>
    <row s="2992" customFormat="1" customHeight="1" ht="0.75" hidden="1">
      <c r="A159" s="1821"/>
      <c r="B159" s="1821"/>
      <c r="C159" s="369" t="s">
        <v>1131</v>
      </c>
      <c r="D159" s="2311"/>
      <c r="E159" s="2056"/>
      <c r="F159" s="2220"/>
      <c r="G159" s="406"/>
      <c r="H159" s="1530"/>
      <c r="I159" s="657"/>
      <c r="J159" s="577"/>
      <c r="K159" s="1530"/>
      <c r="L159" s="200"/>
      <c r="M159" s="337"/>
      <c r="N159" s="330"/>
      <c r="O159" s="1664"/>
      <c r="P159" s="1664"/>
    </row>
    <row s="2992" customFormat="1" customHeight="1" ht="18.75" hidden="1">
      <c r="A160" s="1821" t="s">
        <v>238</v>
      </c>
      <c r="B160" s="1821" t="s">
        <v>239</v>
      </c>
      <c r="C160" s="369"/>
      <c r="D160" s="2311"/>
      <c r="E160" s="2056"/>
      <c r="F160" s="2220" t="str">
        <f>INDEX(PT_DIFFERENTIATION_VTAR,MATCH(A160,PT_DIFFERENTIATION_VTAR_ID,0))</f>
        <v>Тарифы на услуги по передаче тепловой энергии</v>
      </c>
      <c r="G160" s="2266" t="str">
        <f>INDEX(PT_DIFFERENTIATION_NTAR,MATCH(B160,PT_DIFFERENTIATION_NTAR_ID,0))</f>
        <v/>
      </c>
      <c r="H160" s="1905"/>
      <c r="I160" s="1779"/>
      <c r="J160" s="1814"/>
      <c r="K160" s="1819"/>
      <c r="L160" s="1905" t="s">
        <v>351</v>
      </c>
      <c r="M160" s="337"/>
      <c r="N160" s="330"/>
      <c r="O160" s="1664"/>
      <c r="P160" s="1664"/>
    </row>
    <row s="2992" customFormat="1" customHeight="1" ht="18.75" hidden="1">
      <c r="A161" s="1821"/>
      <c r="B161" s="1821"/>
      <c r="C161" s="369" t="s">
        <v>1124</v>
      </c>
      <c r="D161" s="2311"/>
      <c r="E161" s="2056"/>
      <c r="F161" s="2220"/>
      <c r="G161" s="2266"/>
      <c r="H161" s="1530"/>
      <c r="I161" s="657" t="s">
        <v>1123</v>
      </c>
      <c r="J161" s="577"/>
      <c r="K161" s="1530"/>
      <c r="L161" s="200"/>
      <c r="M161" s="337"/>
      <c r="N161" s="330"/>
      <c r="O161" s="1664"/>
      <c r="P161" s="1664"/>
    </row>
    <row s="2992" customFormat="1" customHeight="1" ht="0.75" hidden="1">
      <c r="A162" s="1821"/>
      <c r="B162" s="1821"/>
      <c r="C162" s="369" t="s">
        <v>1131</v>
      </c>
      <c r="D162" s="2311"/>
      <c r="E162" s="2056"/>
      <c r="F162" s="2220"/>
      <c r="G162" s="406"/>
      <c r="H162" s="1530"/>
      <c r="I162" s="657"/>
      <c r="J162" s="577"/>
      <c r="K162" s="1530"/>
      <c r="L162" s="200"/>
      <c r="M162" s="337"/>
      <c r="N162" s="330"/>
      <c r="O162" s="1664"/>
      <c r="P162" s="1664"/>
    </row>
    <row s="2992" customFormat="1" customHeight="1" ht="18.75" hidden="1">
      <c r="A163" s="1821" t="s">
        <v>244</v>
      </c>
      <c r="B163" s="1821" t="s">
        <v>245</v>
      </c>
      <c r="C163" s="369"/>
      <c r="D163" s="2311"/>
      <c r="E163" s="2056"/>
      <c r="F163" s="2220" t="str">
        <f>INDEX(PT_DIFFERENTIATION_VTAR,MATCH(A163,PT_DIFFERENTIATION_VTAR_ID,0))</f>
        <v>Тарифы на услуги по передаче теплоносителя</v>
      </c>
      <c r="G163" s="2266" t="str">
        <f>INDEX(PT_DIFFERENTIATION_NTAR,MATCH(B163,PT_DIFFERENTIATION_NTAR_ID,0))</f>
        <v/>
      </c>
      <c r="H163" s="1905"/>
      <c r="I163" s="1779"/>
      <c r="J163" s="1814"/>
      <c r="K163" s="1819"/>
      <c r="L163" s="1905" t="s">
        <v>351</v>
      </c>
      <c r="M163" s="337"/>
      <c r="N163" s="330"/>
      <c r="O163" s="1664"/>
      <c r="P163" s="1664"/>
    </row>
    <row s="2992" customFormat="1" customHeight="1" ht="18.75" hidden="1">
      <c r="A164" s="1821"/>
      <c r="B164" s="1821"/>
      <c r="C164" s="369" t="s">
        <v>1124</v>
      </c>
      <c r="D164" s="2311"/>
      <c r="E164" s="2056"/>
      <c r="F164" s="2220"/>
      <c r="G164" s="2266"/>
      <c r="H164" s="1530"/>
      <c r="I164" s="657" t="s">
        <v>1123</v>
      </c>
      <c r="J164" s="577"/>
      <c r="K164" s="1530"/>
      <c r="L164" s="200"/>
      <c r="M164" s="337"/>
      <c r="N164" s="330"/>
      <c r="O164" s="1664"/>
      <c r="P164" s="1664"/>
    </row>
    <row s="2992" customFormat="1" customHeight="1" ht="0.75" hidden="1">
      <c r="A165" s="1821"/>
      <c r="B165" s="1821"/>
      <c r="C165" s="369" t="s">
        <v>1131</v>
      </c>
      <c r="D165" s="2311"/>
      <c r="E165" s="2056"/>
      <c r="F165" s="2220"/>
      <c r="G165" s="406"/>
      <c r="H165" s="1530"/>
      <c r="I165" s="657"/>
      <c r="J165" s="577"/>
      <c r="K165" s="1530"/>
      <c r="L165" s="200"/>
      <c r="M165" s="337"/>
      <c r="N165" s="330"/>
      <c r="O165" s="1664"/>
      <c r="P165" s="1664"/>
    </row>
    <row s="2992" customFormat="1" customHeight="1" ht="18.75" hidden="1">
      <c r="A166" s="1821" t="s">
        <v>250</v>
      </c>
      <c r="B166" s="1821" t="s">
        <v>251</v>
      </c>
      <c r="C166" s="369"/>
      <c r="D166" s="2311"/>
      <c r="E166" s="2056"/>
      <c r="F166" s="222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266" t="str">
        <f>INDEX(PT_DIFFERENTIATION_NTAR,MATCH(B166,PT_DIFFERENTIATION_NTAR_ID,0))</f>
        <v/>
      </c>
      <c r="H166" s="1905"/>
      <c r="I166" s="1779"/>
      <c r="J166" s="1814"/>
      <c r="K166" s="1819"/>
      <c r="L166" s="1905" t="s">
        <v>351</v>
      </c>
      <c r="M166" s="337"/>
      <c r="N166" s="330"/>
      <c r="O166" s="1664"/>
      <c r="P166" s="1664"/>
    </row>
    <row s="2992" customFormat="1" customHeight="1" ht="18.75" hidden="1">
      <c r="A167" s="1821"/>
      <c r="B167" s="1821"/>
      <c r="C167" s="369" t="s">
        <v>1124</v>
      </c>
      <c r="D167" s="2311"/>
      <c r="E167" s="2056"/>
      <c r="F167" s="2220"/>
      <c r="G167" s="2266"/>
      <c r="H167" s="1530"/>
      <c r="I167" s="657" t="s">
        <v>1123</v>
      </c>
      <c r="J167" s="577"/>
      <c r="K167" s="1530"/>
      <c r="L167" s="200"/>
      <c r="M167" s="337"/>
      <c r="N167" s="330"/>
      <c r="O167" s="1664"/>
      <c r="P167" s="1664"/>
    </row>
    <row s="2992" customFormat="1" customHeight="1" ht="0.75" hidden="1">
      <c r="A168" s="1821"/>
      <c r="B168" s="1821"/>
      <c r="C168" s="369" t="s">
        <v>1131</v>
      </c>
      <c r="D168" s="2311"/>
      <c r="E168" s="2056"/>
      <c r="F168" s="2220"/>
      <c r="G168" s="406"/>
      <c r="H168" s="1530"/>
      <c r="I168" s="657"/>
      <c r="J168" s="577"/>
      <c r="K168" s="1530"/>
      <c r="L168" s="200"/>
      <c r="M168" s="337"/>
      <c r="N168" s="330"/>
      <c r="O168" s="1664"/>
      <c r="P168" s="1664"/>
    </row>
    <row s="2992" customFormat="1" customHeight="1" ht="18.75" hidden="1">
      <c r="A169" s="1821" t="s">
        <v>256</v>
      </c>
      <c r="B169" s="1821" t="s">
        <v>257</v>
      </c>
      <c r="C169" s="369"/>
      <c r="D169" s="2311"/>
      <c r="E169" s="2056"/>
      <c r="F169" s="2220" t="str">
        <f>INDEX(PT_DIFFERENTIATION_VTAR,MATCH(A169,PT_DIFFERENTIATION_VTAR_ID,0))</f>
        <v>Плата за подключение (технологическое присоединение) к системе теплоснабжения</v>
      </c>
      <c r="G169" s="2266" t="str">
        <f>INDEX(PT_DIFFERENTIATION_NTAR,MATCH(B169,PT_DIFFERENTIATION_NTAR_ID,0))</f>
        <v/>
      </c>
      <c r="H169" s="1905"/>
      <c r="I169" s="1779"/>
      <c r="J169" s="1814"/>
      <c r="K169" s="1819"/>
      <c r="L169" s="1905" t="s">
        <v>351</v>
      </c>
      <c r="M169" s="337"/>
      <c r="N169" s="330"/>
      <c r="O169" s="1664"/>
      <c r="P169" s="1664"/>
    </row>
    <row s="2992" customFormat="1" customHeight="1" ht="18.75" hidden="1">
      <c r="A170" s="1821"/>
      <c r="B170" s="1821"/>
      <c r="C170" s="369" t="s">
        <v>1124</v>
      </c>
      <c r="D170" s="2311"/>
      <c r="E170" s="2056"/>
      <c r="F170" s="2220"/>
      <c r="G170" s="2266"/>
      <c r="H170" s="1530"/>
      <c r="I170" s="657" t="s">
        <v>1123</v>
      </c>
      <c r="J170" s="577"/>
      <c r="K170" s="1530"/>
      <c r="L170" s="200"/>
      <c r="M170" s="337"/>
      <c r="N170" s="330"/>
      <c r="O170" s="1664"/>
      <c r="P170" s="1664"/>
    </row>
    <row s="2992" customFormat="1" customHeight="1" ht="0.75" hidden="1">
      <c r="A171" s="1821"/>
      <c r="B171" s="1821"/>
      <c r="C171" s="369" t="s">
        <v>1131</v>
      </c>
      <c r="D171" s="2311"/>
      <c r="E171" s="2056"/>
      <c r="F171" s="2220"/>
      <c r="G171" s="406"/>
      <c r="H171" s="1530"/>
      <c r="I171" s="657"/>
      <c r="J171" s="577"/>
      <c r="K171" s="1530"/>
      <c r="L171" s="200"/>
      <c r="M171" s="337"/>
      <c r="N171" s="330"/>
      <c r="O171" s="1664"/>
      <c r="P171" s="1664"/>
    </row>
    <row s="2992" customFormat="1" customHeight="1" ht="18.75" hidden="1">
      <c r="A172" s="1821" t="s">
        <v>270</v>
      </c>
      <c r="B172" s="1821" t="s">
        <v>271</v>
      </c>
      <c r="C172" s="369"/>
      <c r="D172" s="2311"/>
      <c r="E172" s="2056"/>
      <c r="F172" s="2220" t="str">
        <f>INDEX(PT_DIFFERENTIATION_VTAR,MATCH(A172,PT_DIFFERENTIATION_VTAR_ID,0))</f>
        <v>Тариф на питьевую воду (питьевое водоснабжение)</v>
      </c>
      <c r="G172" s="2266" t="str">
        <f>INDEX(PT_DIFFERENTIATION_NTAR,MATCH(B172,PT_DIFFERENTIATION_NTAR_ID,0))</f>
        <v/>
      </c>
      <c r="H172" s="1905"/>
      <c r="I172" s="1779"/>
      <c r="J172" s="1814"/>
      <c r="K172" s="1819"/>
      <c r="L172" s="1905" t="s">
        <v>351</v>
      </c>
      <c r="M172" s="337"/>
      <c r="N172" s="330"/>
      <c r="O172" s="1664"/>
      <c r="P172" s="1664"/>
    </row>
    <row s="2992" customFormat="1" customHeight="1" ht="18.75" hidden="1">
      <c r="A173" s="1821"/>
      <c r="B173" s="1821"/>
      <c r="C173" s="369" t="s">
        <v>1124</v>
      </c>
      <c r="D173" s="2311"/>
      <c r="E173" s="2056"/>
      <c r="F173" s="2220"/>
      <c r="G173" s="2266"/>
      <c r="H173" s="1530"/>
      <c r="I173" s="657" t="s">
        <v>1123</v>
      </c>
      <c r="J173" s="577"/>
      <c r="K173" s="1530"/>
      <c r="L173" s="200"/>
      <c r="M173" s="337"/>
      <c r="N173" s="330"/>
      <c r="O173" s="1664"/>
      <c r="P173" s="1664"/>
    </row>
    <row s="2992" customFormat="1" customHeight="1" ht="0.75" hidden="1">
      <c r="A174" s="1821"/>
      <c r="B174" s="1821"/>
      <c r="C174" s="369" t="s">
        <v>1131</v>
      </c>
      <c r="D174" s="2311"/>
      <c r="E174" s="2056"/>
      <c r="F174" s="2220"/>
      <c r="G174" s="406"/>
      <c r="H174" s="1530"/>
      <c r="I174" s="657"/>
      <c r="J174" s="577"/>
      <c r="K174" s="1530"/>
      <c r="L174" s="200"/>
      <c r="M174" s="337"/>
      <c r="N174" s="330"/>
      <c r="O174" s="1664"/>
      <c r="P174" s="1664"/>
    </row>
    <row s="2992" customFormat="1" customHeight="1" ht="18.75" hidden="1">
      <c r="A175" s="1821" t="s">
        <v>275</v>
      </c>
      <c r="B175" s="1821" t="s">
        <v>276</v>
      </c>
      <c r="C175" s="369"/>
      <c r="D175" s="2311"/>
      <c r="E175" s="2056"/>
      <c r="F175" s="2220" t="str">
        <f>INDEX(PT_DIFFERENTIATION_VTAR,MATCH(A175,PT_DIFFERENTIATION_VTAR_ID,0))</f>
        <v>Тариф на техническую воду</v>
      </c>
      <c r="G175" s="2266" t="str">
        <f>INDEX(PT_DIFFERENTIATION_NTAR,MATCH(B175,PT_DIFFERENTIATION_NTAR_ID,0))</f>
        <v/>
      </c>
      <c r="H175" s="1905"/>
      <c r="I175" s="1779"/>
      <c r="J175" s="1814"/>
      <c r="K175" s="1819"/>
      <c r="L175" s="1905" t="s">
        <v>351</v>
      </c>
      <c r="M175" s="337"/>
      <c r="N175" s="330"/>
      <c r="O175" s="1664"/>
      <c r="P175" s="1664"/>
    </row>
    <row s="2992" customFormat="1" customHeight="1" ht="18.75" hidden="1">
      <c r="A176" s="1821"/>
      <c r="B176" s="1821"/>
      <c r="C176" s="369" t="s">
        <v>1124</v>
      </c>
      <c r="D176" s="2311"/>
      <c r="E176" s="2056"/>
      <c r="F176" s="2220"/>
      <c r="G176" s="2266"/>
      <c r="H176" s="1530"/>
      <c r="I176" s="657" t="s">
        <v>1123</v>
      </c>
      <c r="J176" s="577"/>
      <c r="K176" s="1530"/>
      <c r="L176" s="200"/>
      <c r="M176" s="337"/>
      <c r="N176" s="330"/>
      <c r="O176" s="1664"/>
      <c r="P176" s="1664"/>
    </row>
    <row s="2992" customFormat="1" customHeight="1" ht="0.75" hidden="1">
      <c r="A177" s="1821"/>
      <c r="B177" s="1821"/>
      <c r="C177" s="369" t="s">
        <v>1131</v>
      </c>
      <c r="D177" s="2311"/>
      <c r="E177" s="2056"/>
      <c r="F177" s="2220"/>
      <c r="G177" s="406"/>
      <c r="H177" s="1530"/>
      <c r="I177" s="657"/>
      <c r="J177" s="577"/>
      <c r="K177" s="1530"/>
      <c r="L177" s="200"/>
      <c r="M177" s="337"/>
      <c r="N177" s="330"/>
      <c r="O177" s="1664"/>
      <c r="P177" s="1664"/>
    </row>
    <row s="2992" customFormat="1" customHeight="1" ht="18.75" hidden="1">
      <c r="A178" s="1821" t="s">
        <v>280</v>
      </c>
      <c r="B178" s="1821" t="s">
        <v>281</v>
      </c>
      <c r="C178" s="369"/>
      <c r="D178" s="2311"/>
      <c r="E178" s="2056"/>
      <c r="F178" s="2220" t="str">
        <f>INDEX(PT_DIFFERENTIATION_VTAR,MATCH(A178,PT_DIFFERENTIATION_VTAR_ID,0))</f>
        <v>Тариф на транспортировку воды</v>
      </c>
      <c r="G178" s="2266" t="str">
        <f>INDEX(PT_DIFFERENTIATION_NTAR,MATCH(B178,PT_DIFFERENTIATION_NTAR_ID,0))</f>
        <v/>
      </c>
      <c r="H178" s="1905"/>
      <c r="I178" s="1779"/>
      <c r="J178" s="1814"/>
      <c r="K178" s="1819"/>
      <c r="L178" s="1905" t="s">
        <v>351</v>
      </c>
      <c r="M178" s="337"/>
      <c r="N178" s="330"/>
      <c r="O178" s="1664"/>
      <c r="P178" s="1664"/>
    </row>
    <row s="2992" customFormat="1" customHeight="1" ht="18.75" hidden="1">
      <c r="A179" s="1821"/>
      <c r="B179" s="1821"/>
      <c r="C179" s="369" t="s">
        <v>1124</v>
      </c>
      <c r="D179" s="2311"/>
      <c r="E179" s="2056"/>
      <c r="F179" s="2220"/>
      <c r="G179" s="2266"/>
      <c r="H179" s="1530"/>
      <c r="I179" s="657" t="s">
        <v>1123</v>
      </c>
      <c r="J179" s="577"/>
      <c r="K179" s="1530"/>
      <c r="L179" s="200"/>
      <c r="M179" s="337"/>
      <c r="N179" s="330"/>
      <c r="O179" s="1664"/>
      <c r="P179" s="1664"/>
    </row>
    <row s="2992" customFormat="1" customHeight="1" ht="0.75" hidden="1">
      <c r="A180" s="1821"/>
      <c r="B180" s="1821"/>
      <c r="C180" s="369" t="s">
        <v>1131</v>
      </c>
      <c r="D180" s="2311"/>
      <c r="E180" s="2056"/>
      <c r="F180" s="2220"/>
      <c r="G180" s="406"/>
      <c r="H180" s="1530"/>
      <c r="I180" s="657"/>
      <c r="J180" s="577"/>
      <c r="K180" s="1530"/>
      <c r="L180" s="200"/>
      <c r="M180" s="337"/>
      <c r="N180" s="330"/>
      <c r="O180" s="1664"/>
      <c r="P180" s="1664"/>
    </row>
    <row s="2992" customFormat="1" customHeight="1" ht="18.75" hidden="1">
      <c r="A181" s="1821" t="s">
        <v>285</v>
      </c>
      <c r="B181" s="1821" t="s">
        <v>286</v>
      </c>
      <c r="C181" s="369"/>
      <c r="D181" s="2311"/>
      <c r="E181" s="2056"/>
      <c r="F181" s="2220" t="str">
        <f>INDEX(PT_DIFFERENTIATION_VTAR,MATCH(A181,PT_DIFFERENTIATION_VTAR_ID,0))</f>
        <v>Тариф на подвоз воды</v>
      </c>
      <c r="G181" s="2266" t="str">
        <f>INDEX(PT_DIFFERENTIATION_NTAR,MATCH(B181,PT_DIFFERENTIATION_NTAR_ID,0))</f>
        <v/>
      </c>
      <c r="H181" s="1905"/>
      <c r="I181" s="1779"/>
      <c r="J181" s="1814"/>
      <c r="K181" s="1819"/>
      <c r="L181" s="1905" t="s">
        <v>351</v>
      </c>
      <c r="M181" s="337"/>
      <c r="N181" s="330"/>
      <c r="O181" s="1664"/>
      <c r="P181" s="1664"/>
    </row>
    <row s="2992" customFormat="1" customHeight="1" ht="18.75" hidden="1">
      <c r="A182" s="1821"/>
      <c r="B182" s="1821"/>
      <c r="C182" s="369" t="s">
        <v>1124</v>
      </c>
      <c r="D182" s="2311"/>
      <c r="E182" s="2056"/>
      <c r="F182" s="2220"/>
      <c r="G182" s="2266"/>
      <c r="H182" s="1530"/>
      <c r="I182" s="657" t="s">
        <v>1123</v>
      </c>
      <c r="J182" s="577"/>
      <c r="K182" s="1530"/>
      <c r="L182" s="200"/>
      <c r="M182" s="337"/>
      <c r="N182" s="330"/>
      <c r="O182" s="1664"/>
      <c r="P182" s="1664"/>
    </row>
    <row s="2992" customFormat="1" customHeight="1" ht="0.75" hidden="1">
      <c r="A183" s="1821"/>
      <c r="B183" s="1821"/>
      <c r="C183" s="369" t="s">
        <v>1131</v>
      </c>
      <c r="D183" s="2311"/>
      <c r="E183" s="2056"/>
      <c r="F183" s="2220"/>
      <c r="G183" s="406"/>
      <c r="H183" s="1530"/>
      <c r="I183" s="657"/>
      <c r="J183" s="577"/>
      <c r="K183" s="1530"/>
      <c r="L183" s="200"/>
      <c r="M183" s="337"/>
      <c r="N183" s="330"/>
      <c r="O183" s="1664"/>
      <c r="P183" s="1664"/>
    </row>
    <row s="2992" customFormat="1" customHeight="1" ht="18.75" hidden="1">
      <c r="A184" s="1821" t="s">
        <v>290</v>
      </c>
      <c r="B184" s="1821" t="s">
        <v>291</v>
      </c>
      <c r="C184" s="369"/>
      <c r="D184" s="2311"/>
      <c r="E184" s="2056"/>
      <c r="F184" s="2220" t="str">
        <f>INDEX(PT_DIFFERENTIATION_VTAR,MATCH(A184,PT_DIFFERENTIATION_VTAR_ID,0))</f>
        <v>Тариф на подключение (технологическое присоединение) к централизованной системе холодного водоснабжения</v>
      </c>
      <c r="G184" s="2266" t="str">
        <f>INDEX(PT_DIFFERENTIATION_NTAR,MATCH(B184,PT_DIFFERENTIATION_NTAR_ID,0))</f>
        <v/>
      </c>
      <c r="H184" s="1905"/>
      <c r="I184" s="1779"/>
      <c r="J184" s="1814"/>
      <c r="K184" s="1819"/>
      <c r="L184" s="1905" t="s">
        <v>351</v>
      </c>
      <c r="M184" s="337"/>
      <c r="N184" s="330"/>
      <c r="O184" s="1664"/>
      <c r="P184" s="1664"/>
    </row>
    <row s="2992" customFormat="1" customHeight="1" ht="18.75" hidden="1">
      <c r="A185" s="1821"/>
      <c r="B185" s="1821"/>
      <c r="C185" s="369" t="s">
        <v>1124</v>
      </c>
      <c r="D185" s="2311"/>
      <c r="E185" s="2056"/>
      <c r="F185" s="2220"/>
      <c r="G185" s="2266"/>
      <c r="H185" s="1530"/>
      <c r="I185" s="657" t="s">
        <v>1123</v>
      </c>
      <c r="J185" s="577"/>
      <c r="K185" s="1530"/>
      <c r="L185" s="200"/>
      <c r="M185" s="337"/>
      <c r="N185" s="330"/>
      <c r="O185" s="1664"/>
      <c r="P185" s="1664"/>
    </row>
    <row s="2992" customFormat="1" customHeight="1" ht="0.75" hidden="1">
      <c r="A186" s="1821"/>
      <c r="B186" s="1821"/>
      <c r="C186" s="369" t="s">
        <v>1131</v>
      </c>
      <c r="D186" s="2311"/>
      <c r="E186" s="2056"/>
      <c r="F186" s="2220"/>
      <c r="G186" s="406"/>
      <c r="H186" s="1530"/>
      <c r="I186" s="657"/>
      <c r="J186" s="577"/>
      <c r="K186" s="1530"/>
      <c r="L186" s="200"/>
      <c r="M186" s="337"/>
      <c r="N186" s="330"/>
      <c r="O186" s="1664"/>
      <c r="P186" s="1664"/>
    </row>
    <row s="2992" customFormat="1" customHeight="1" ht="18.75" hidden="1">
      <c r="A187" s="1821" t="s">
        <v>295</v>
      </c>
      <c r="B187" s="1821" t="s">
        <v>296</v>
      </c>
      <c r="C187" s="369"/>
      <c r="D187" s="2311"/>
      <c r="E187" s="2056"/>
      <c r="F187" s="2220" t="str">
        <f>INDEX(PT_DIFFERENTIATION_VTAR,MATCH(A187,PT_DIFFERENTIATION_VTAR_ID,0))</f>
        <v>Тариф на горячую воду (горячее водоснабжение)</v>
      </c>
      <c r="G187" s="2266" t="str">
        <f>INDEX(PT_DIFFERENTIATION_NTAR,MATCH(B187,PT_DIFFERENTIATION_NTAR_ID,0))</f>
        <v/>
      </c>
      <c r="H187" s="1905"/>
      <c r="I187" s="1779"/>
      <c r="J187" s="1814"/>
      <c r="K187" s="1819"/>
      <c r="L187" s="1905" t="s">
        <v>351</v>
      </c>
      <c r="M187" s="337"/>
      <c r="N187" s="330"/>
      <c r="O187" s="1664"/>
      <c r="P187" s="1664"/>
    </row>
    <row s="2992" customFormat="1" customHeight="1" ht="18.75" hidden="1">
      <c r="A188" s="1821"/>
      <c r="B188" s="1821"/>
      <c r="C188" s="369" t="s">
        <v>1124</v>
      </c>
      <c r="D188" s="2311"/>
      <c r="E188" s="2056"/>
      <c r="F188" s="2220"/>
      <c r="G188" s="2266"/>
      <c r="H188" s="1530"/>
      <c r="I188" s="657" t="s">
        <v>1123</v>
      </c>
      <c r="J188" s="577"/>
      <c r="K188" s="1530"/>
      <c r="L188" s="200"/>
      <c r="M188" s="337"/>
      <c r="N188" s="330"/>
      <c r="O188" s="1664"/>
      <c r="P188" s="1664"/>
    </row>
    <row s="2992" customFormat="1" customHeight="1" ht="0.75" hidden="1">
      <c r="A189" s="1821"/>
      <c r="B189" s="1821"/>
      <c r="C189" s="369" t="s">
        <v>1131</v>
      </c>
      <c r="D189" s="2311"/>
      <c r="E189" s="2056"/>
      <c r="F189" s="2220"/>
      <c r="G189" s="406"/>
      <c r="H189" s="1530"/>
      <c r="I189" s="657"/>
      <c r="J189" s="577"/>
      <c r="K189" s="1530"/>
      <c r="L189" s="200"/>
      <c r="M189" s="337"/>
      <c r="N189" s="330"/>
      <c r="O189" s="1664"/>
      <c r="P189" s="1664"/>
    </row>
    <row s="2992" customFormat="1" customHeight="1" ht="18.75" hidden="1">
      <c r="A190" s="1821" t="s">
        <v>300</v>
      </c>
      <c r="B190" s="1821" t="s">
        <v>301</v>
      </c>
      <c r="C190" s="369"/>
      <c r="D190" s="2311"/>
      <c r="E190" s="2056"/>
      <c r="F190" s="2220" t="str">
        <f>INDEX(PT_DIFFERENTIATION_VTAR,MATCH(A190,PT_DIFFERENTIATION_VTAR_ID,0))</f>
        <v>Тариф на транспортировку горячей воды</v>
      </c>
      <c r="G190" s="2266" t="str">
        <f>INDEX(PT_DIFFERENTIATION_NTAR,MATCH(B190,PT_DIFFERENTIATION_NTAR_ID,0))</f>
        <v/>
      </c>
      <c r="H190" s="1905"/>
      <c r="I190" s="1779"/>
      <c r="J190" s="1814"/>
      <c r="K190" s="1819"/>
      <c r="L190" s="1905" t="s">
        <v>351</v>
      </c>
      <c r="M190" s="337"/>
      <c r="N190" s="330"/>
      <c r="O190" s="1664"/>
      <c r="P190" s="1664"/>
    </row>
    <row s="2992" customFormat="1" customHeight="1" ht="18.75" hidden="1">
      <c r="A191" s="1821"/>
      <c r="B191" s="1821"/>
      <c r="C191" s="369" t="s">
        <v>1124</v>
      </c>
      <c r="D191" s="2311"/>
      <c r="E191" s="2056"/>
      <c r="F191" s="2220"/>
      <c r="G191" s="2266"/>
      <c r="H191" s="1530"/>
      <c r="I191" s="657" t="s">
        <v>1123</v>
      </c>
      <c r="J191" s="577"/>
      <c r="K191" s="1530"/>
      <c r="L191" s="200"/>
      <c r="M191" s="337"/>
      <c r="N191" s="330"/>
      <c r="O191" s="1664"/>
      <c r="P191" s="1664"/>
    </row>
    <row s="2992" customFormat="1" customHeight="1" ht="0.75" hidden="1">
      <c r="A192" s="1821"/>
      <c r="B192" s="1821"/>
      <c r="C192" s="369" t="s">
        <v>1131</v>
      </c>
      <c r="D192" s="2311"/>
      <c r="E192" s="2056"/>
      <c r="F192" s="2220"/>
      <c r="G192" s="406"/>
      <c r="H192" s="1530"/>
      <c r="I192" s="657"/>
      <c r="J192" s="577"/>
      <c r="K192" s="1530"/>
      <c r="L192" s="200"/>
      <c r="M192" s="337"/>
      <c r="N192" s="330"/>
      <c r="O192" s="1664"/>
      <c r="P192" s="1664"/>
    </row>
    <row s="2992" customFormat="1" customHeight="1" ht="18.75" hidden="1">
      <c r="A193" s="1821" t="s">
        <v>305</v>
      </c>
      <c r="B193" s="1821" t="s">
        <v>306</v>
      </c>
      <c r="C193" s="369"/>
      <c r="D193" s="2311"/>
      <c r="E193" s="2056"/>
      <c r="F193" s="2220" t="str">
        <f>INDEX(PT_DIFFERENTIATION_VTAR,MATCH(A193,PT_DIFFERENTIATION_VTAR_ID,0))</f>
        <v>Тариф на подключение (технологическое присоединение) к централизованной системе горячего водоснабжения</v>
      </c>
      <c r="G193" s="2266" t="str">
        <f>INDEX(PT_DIFFERENTIATION_NTAR,MATCH(B193,PT_DIFFERENTIATION_NTAR_ID,0))</f>
        <v/>
      </c>
      <c r="H193" s="1905"/>
      <c r="I193" s="1779"/>
      <c r="J193" s="1814"/>
      <c r="K193" s="1819"/>
      <c r="L193" s="1905" t="s">
        <v>351</v>
      </c>
      <c r="M193" s="337"/>
      <c r="N193" s="330"/>
      <c r="O193" s="1664"/>
      <c r="P193" s="1664"/>
    </row>
    <row s="2992" customFormat="1" customHeight="1" ht="18.75" hidden="1">
      <c r="A194" s="1821"/>
      <c r="B194" s="1821"/>
      <c r="C194" s="369" t="s">
        <v>1124</v>
      </c>
      <c r="D194" s="2311"/>
      <c r="E194" s="2056"/>
      <c r="F194" s="2220"/>
      <c r="G194" s="2266"/>
      <c r="H194" s="1530"/>
      <c r="I194" s="657" t="s">
        <v>1123</v>
      </c>
      <c r="J194" s="577"/>
      <c r="K194" s="1530"/>
      <c r="L194" s="200"/>
      <c r="M194" s="337"/>
      <c r="N194" s="330"/>
      <c r="O194" s="1664"/>
      <c r="P194" s="1664"/>
    </row>
    <row s="2992" customFormat="1" customHeight="1" ht="0.75" hidden="1">
      <c r="A195" s="1821"/>
      <c r="B195" s="1821"/>
      <c r="C195" s="369" t="s">
        <v>1131</v>
      </c>
      <c r="D195" s="2311"/>
      <c r="E195" s="2056"/>
      <c r="F195" s="2220"/>
      <c r="G195" s="406"/>
      <c r="H195" s="1530"/>
      <c r="I195" s="657"/>
      <c r="J195" s="577"/>
      <c r="K195" s="1530"/>
      <c r="L195" s="200"/>
      <c r="M195" s="337"/>
      <c r="N195" s="330"/>
      <c r="O195" s="1664"/>
      <c r="P195" s="1664"/>
    </row>
    <row s="2992" customFormat="1" customHeight="1" ht="18.75" hidden="1">
      <c r="A196" s="1821" t="s">
        <v>310</v>
      </c>
      <c r="B196" s="1821" t="s">
        <v>311</v>
      </c>
      <c r="C196" s="369"/>
      <c r="D196" s="2311"/>
      <c r="E196" s="2056"/>
      <c r="F196" s="2220" t="str">
        <f>INDEX(PT_DIFFERENTIATION_VTAR,MATCH(A196,PT_DIFFERENTIATION_VTAR_ID,0))</f>
        <v>Тариф на водоотведение</v>
      </c>
      <c r="G196" s="2266" t="str">
        <f>INDEX(PT_DIFFERENTIATION_NTAR,MATCH(B196,PT_DIFFERENTIATION_NTAR_ID,0))</f>
        <v/>
      </c>
      <c r="H196" s="1905"/>
      <c r="I196" s="1779"/>
      <c r="J196" s="1814"/>
      <c r="K196" s="1819"/>
      <c r="L196" s="1905" t="s">
        <v>351</v>
      </c>
      <c r="M196" s="337"/>
      <c r="N196" s="330"/>
      <c r="O196" s="1664"/>
      <c r="P196" s="1664"/>
    </row>
    <row s="2992" customFormat="1" customHeight="1" ht="18.75" hidden="1">
      <c r="A197" s="1821"/>
      <c r="B197" s="1821"/>
      <c r="C197" s="369" t="s">
        <v>1124</v>
      </c>
      <c r="D197" s="2311"/>
      <c r="E197" s="2056"/>
      <c r="F197" s="2220"/>
      <c r="G197" s="2266"/>
      <c r="H197" s="1530"/>
      <c r="I197" s="657" t="s">
        <v>1123</v>
      </c>
      <c r="J197" s="577"/>
      <c r="K197" s="1530"/>
      <c r="L197" s="200"/>
      <c r="M197" s="337"/>
      <c r="N197" s="330"/>
      <c r="O197" s="1664"/>
      <c r="P197" s="1664"/>
    </row>
    <row s="2992" customFormat="1" customHeight="1" ht="0.75" hidden="1">
      <c r="A198" s="1821"/>
      <c r="B198" s="1821"/>
      <c r="C198" s="369" t="s">
        <v>1131</v>
      </c>
      <c r="D198" s="2311"/>
      <c r="E198" s="2056"/>
      <c r="F198" s="2220"/>
      <c r="G198" s="406"/>
      <c r="H198" s="1530"/>
      <c r="I198" s="657"/>
      <c r="J198" s="577"/>
      <c r="K198" s="1530"/>
      <c r="L198" s="200"/>
      <c r="M198" s="337"/>
      <c r="N198" s="330"/>
      <c r="O198" s="1664"/>
      <c r="P198" s="1664"/>
    </row>
    <row s="2992" customFormat="1" customHeight="1" ht="18.75" hidden="1">
      <c r="A199" s="1821" t="s">
        <v>315</v>
      </c>
      <c r="B199" s="1821" t="s">
        <v>316</v>
      </c>
      <c r="C199" s="369"/>
      <c r="D199" s="2311"/>
      <c r="E199" s="2056"/>
      <c r="F199" s="2220" t="str">
        <f>INDEX(PT_DIFFERENTIATION_VTAR,MATCH(A199,PT_DIFFERENTIATION_VTAR_ID,0))</f>
        <v>Тариф на транспортировку сточных вод</v>
      </c>
      <c r="G199" s="2266" t="str">
        <f>INDEX(PT_DIFFERENTIATION_NTAR,MATCH(B199,PT_DIFFERENTIATION_NTAR_ID,0))</f>
        <v/>
      </c>
      <c r="H199" s="1905"/>
      <c r="I199" s="1779"/>
      <c r="J199" s="1814"/>
      <c r="K199" s="1819"/>
      <c r="L199" s="1905" t="s">
        <v>351</v>
      </c>
      <c r="M199" s="337"/>
      <c r="N199" s="330"/>
      <c r="O199" s="1664"/>
      <c r="P199" s="1664"/>
    </row>
    <row s="2992" customFormat="1" customHeight="1" ht="18.75" hidden="1">
      <c r="A200" s="1821"/>
      <c r="B200" s="1821"/>
      <c r="C200" s="369" t="s">
        <v>1124</v>
      </c>
      <c r="D200" s="2311"/>
      <c r="E200" s="2056"/>
      <c r="F200" s="2220"/>
      <c r="G200" s="2266"/>
      <c r="H200" s="1530"/>
      <c r="I200" s="657" t="s">
        <v>1123</v>
      </c>
      <c r="J200" s="577"/>
      <c r="K200" s="1530"/>
      <c r="L200" s="200"/>
      <c r="M200" s="337"/>
      <c r="N200" s="330"/>
      <c r="O200" s="1664"/>
      <c r="P200" s="1664"/>
    </row>
    <row s="2992" customFormat="1" customHeight="1" ht="0.75" hidden="1">
      <c r="A201" s="1821"/>
      <c r="B201" s="1821"/>
      <c r="C201" s="369" t="s">
        <v>1131</v>
      </c>
      <c r="D201" s="2311"/>
      <c r="E201" s="2056"/>
      <c r="F201" s="2220"/>
      <c r="G201" s="406"/>
      <c r="H201" s="1530"/>
      <c r="I201" s="657"/>
      <c r="J201" s="577"/>
      <c r="K201" s="1530"/>
      <c r="L201" s="200"/>
      <c r="M201" s="337"/>
      <c r="N201" s="330"/>
      <c r="O201" s="1664"/>
      <c r="P201" s="1664"/>
    </row>
    <row s="2992" customFormat="1" customHeight="1" ht="18.75" hidden="1">
      <c r="A202" s="1821" t="s">
        <v>320</v>
      </c>
      <c r="B202" s="1821" t="s">
        <v>321</v>
      </c>
      <c r="C202" s="369"/>
      <c r="D202" s="2311"/>
      <c r="E202" s="2056"/>
      <c r="F202" s="2220" t="str">
        <f>INDEX(PT_DIFFERENTIATION_VTAR,MATCH(A202,PT_DIFFERENTIATION_VTAR_ID,0))</f>
        <v>Тариф на подключение (технологическое присоединение) к централизованной системе водоотведения</v>
      </c>
      <c r="G202" s="2266" t="str">
        <f>INDEX(PT_DIFFERENTIATION_NTAR,MATCH(B202,PT_DIFFERENTIATION_NTAR_ID,0))</f>
        <v/>
      </c>
      <c r="H202" s="1905"/>
      <c r="I202" s="1779"/>
      <c r="J202" s="1814"/>
      <c r="K202" s="1819"/>
      <c r="L202" s="1905" t="s">
        <v>351</v>
      </c>
      <c r="M202" s="337"/>
      <c r="N202" s="330"/>
      <c r="O202" s="1664"/>
      <c r="P202" s="1664"/>
    </row>
    <row s="2992" customFormat="1" customHeight="1" ht="18.75" hidden="1">
      <c r="A203" s="1821"/>
      <c r="B203" s="1821"/>
      <c r="C203" s="369" t="s">
        <v>1124</v>
      </c>
      <c r="D203" s="2311"/>
      <c r="E203" s="2056"/>
      <c r="F203" s="2220"/>
      <c r="G203" s="2266"/>
      <c r="H203" s="1530"/>
      <c r="I203" s="657" t="s">
        <v>1123</v>
      </c>
      <c r="J203" s="577"/>
      <c r="K203" s="1530"/>
      <c r="L203" s="200"/>
      <c r="M203" s="337"/>
      <c r="N203" s="330"/>
      <c r="O203" s="1664"/>
      <c r="P203" s="1664"/>
    </row>
    <row s="2992" customFormat="1" customHeight="1" ht="0.75">
      <c r="A204" s="1821"/>
      <c r="B204" s="1821"/>
      <c r="C204" s="369" t="s">
        <v>1131</v>
      </c>
      <c r="D204" s="2311"/>
      <c r="E204" s="2056"/>
      <c r="F204" s="2220"/>
      <c r="G204" s="406"/>
      <c r="H204" s="1530"/>
      <c r="I204" s="657"/>
      <c r="J204" s="577"/>
      <c r="K204" s="1530"/>
      <c r="L204" s="200"/>
      <c r="M204" s="337"/>
      <c r="N204" s="330"/>
      <c r="O204" s="1664"/>
      <c r="P204" s="1664"/>
    </row>
    <row customHeight="1" ht="26.25">
      <c r="A205" s="1821"/>
      <c r="B205" s="1821"/>
      <c r="D205" s="377"/>
      <c r="E205" s="133" t="s">
        <v>116</v>
      </c>
      <c r="F205"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5" s="2303"/>
      <c r="H205" s="2303"/>
      <c r="I205" s="2303"/>
      <c r="J205" s="2303"/>
      <c r="K205" s="2303"/>
      <c r="L205" s="2303"/>
      <c r="M205" s="285"/>
      <c r="N205" s="330"/>
    </row>
    <row s="2992" customFormat="1" customHeight="1" ht="60.75" hidden="1">
      <c r="A206" s="1821" t="s">
        <v>171</v>
      </c>
      <c r="B206" s="1821" t="s">
        <v>172</v>
      </c>
      <c r="C206" s="369"/>
      <c r="D206" s="2311"/>
      <c r="E206" s="2056"/>
      <c r="F206" s="2220"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266" t="str">
        <f>INDEX(PT_DIFFERENTIATION_NTAR,MATCH(B206,PT_DIFFERENTIATION_NTAR_ID,0))</f>
        <v/>
      </c>
      <c r="H206" s="1905"/>
      <c r="I206" s="1779"/>
      <c r="J206" s="1814"/>
      <c r="K206" s="1819"/>
      <c r="L206" s="1905" t="s">
        <v>351</v>
      </c>
      <c r="M20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6" s="330"/>
      <c r="O206" s="1664"/>
      <c r="P206" s="1664"/>
    </row>
    <row s="2992" customFormat="1" customHeight="1" ht="18.75" hidden="1">
      <c r="A207" s="1821"/>
      <c r="B207" s="1821"/>
      <c r="C207" s="369" t="s">
        <v>1124</v>
      </c>
      <c r="D207" s="2311"/>
      <c r="E207" s="2056"/>
      <c r="F207" s="2220"/>
      <c r="G207" s="2266"/>
      <c r="H207" s="1530"/>
      <c r="I207" s="657" t="s">
        <v>1123</v>
      </c>
      <c r="J207" s="577"/>
      <c r="K207" s="1530"/>
      <c r="L207" s="200"/>
      <c r="M207" s="2016"/>
      <c r="N207" s="330"/>
      <c r="O207" s="1664"/>
      <c r="P207" s="1664"/>
    </row>
    <row s="2992" customFormat="1" customHeight="1" ht="0.75" hidden="1">
      <c r="A208" s="1821"/>
      <c r="B208" s="1821"/>
      <c r="C208" s="369" t="s">
        <v>1131</v>
      </c>
      <c r="D208" s="2311"/>
      <c r="E208" s="2056"/>
      <c r="F208" s="2220"/>
      <c r="G208" s="406"/>
      <c r="H208" s="1530"/>
      <c r="I208" s="657"/>
      <c r="J208" s="577"/>
      <c r="K208" s="1530"/>
      <c r="L208" s="200"/>
      <c r="M208" s="2016"/>
      <c r="N208" s="330"/>
      <c r="O208" s="1664"/>
      <c r="P208" s="1664"/>
    </row>
    <row s="2992" customFormat="1" customHeight="1" ht="45" hidden="1">
      <c r="A209" s="1821" t="s">
        <v>177</v>
      </c>
      <c r="B209" s="1821" t="s">
        <v>178</v>
      </c>
      <c r="C209" s="369"/>
      <c r="D209" s="2311"/>
      <c r="E209" s="2056"/>
      <c r="F209" s="2220"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266" t="str">
        <f>INDEX(PT_DIFFERENTIATION_NTAR,MATCH(B209,PT_DIFFERENTIATION_NTAR_ID,0))</f>
        <v/>
      </c>
      <c r="H209" s="1905"/>
      <c r="I209" s="1779"/>
      <c r="J209" s="1814"/>
      <c r="K209" s="1819"/>
      <c r="L209" s="1905" t="s">
        <v>351</v>
      </c>
      <c r="M209" s="2017"/>
      <c r="N209" s="330"/>
      <c r="O209" s="1664"/>
      <c r="P209" s="1664"/>
    </row>
    <row s="2992" customFormat="1" customHeight="1" ht="18.75" hidden="1">
      <c r="A210" s="1821"/>
      <c r="B210" s="1821"/>
      <c r="C210" s="369" t="s">
        <v>1124</v>
      </c>
      <c r="D210" s="2311"/>
      <c r="E210" s="2056"/>
      <c r="F210" s="2220"/>
      <c r="G210" s="2266"/>
      <c r="H210" s="1530"/>
      <c r="I210" s="657" t="s">
        <v>1123</v>
      </c>
      <c r="J210" s="577"/>
      <c r="K210" s="1530"/>
      <c r="L210" s="200"/>
      <c r="M210" s="1904"/>
      <c r="N210" s="330"/>
      <c r="O210" s="1664"/>
      <c r="P210" s="1664"/>
    </row>
    <row s="2992" customFormat="1" customHeight="1" ht="0.75" hidden="1">
      <c r="A211" s="1821"/>
      <c r="B211" s="1821"/>
      <c r="C211" s="369" t="s">
        <v>1131</v>
      </c>
      <c r="D211" s="2311"/>
      <c r="E211" s="2056"/>
      <c r="F211" s="2220"/>
      <c r="G211" s="406"/>
      <c r="H211" s="1530"/>
      <c r="I211" s="657"/>
      <c r="J211" s="577"/>
      <c r="K211" s="1530"/>
      <c r="L211" s="200"/>
      <c r="M211" s="337"/>
      <c r="N211" s="330"/>
      <c r="O211" s="1664"/>
      <c r="P211" s="1664"/>
    </row>
    <row s="2992" customFormat="1" customHeight="1" ht="45" hidden="1">
      <c r="A212" s="1821" t="s">
        <v>186</v>
      </c>
      <c r="B212" s="1821" t="s">
        <v>187</v>
      </c>
      <c r="C212" s="369"/>
      <c r="D212" s="2311"/>
      <c r="E212" s="2056"/>
      <c r="F212" s="2220" t="str">
        <f>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2266" t="str">
        <f>INDEX(PT_DIFFERENTIATION_NTAR,MATCH(B212,PT_DIFFERENTIATION_NTAR_ID,0))</f>
        <v>Тариф на теплоноситель, поставляемый потребителям</v>
      </c>
      <c r="H212" s="1905"/>
      <c r="I212" s="1779"/>
      <c r="J212" s="1814"/>
      <c r="K212" s="1819"/>
      <c r="L212" s="1905" t="s">
        <v>351</v>
      </c>
      <c r="M212" s="337"/>
      <c r="N212" s="330"/>
      <c r="O212" s="1664"/>
      <c r="P212" s="1664"/>
    </row>
    <row s="2992" customFormat="1" customHeight="1" ht="18.75" hidden="1">
      <c r="A213" s="1821"/>
      <c r="B213" s="1821"/>
      <c r="C213" s="369" t="s">
        <v>1124</v>
      </c>
      <c r="D213" s="2311"/>
      <c r="E213" s="2056"/>
      <c r="F213" s="2220"/>
      <c r="G213" s="2266"/>
      <c r="H213" s="1530"/>
      <c r="I213" s="657" t="s">
        <v>1123</v>
      </c>
      <c r="J213" s="577"/>
      <c r="K213" s="1530"/>
      <c r="L213" s="200"/>
      <c r="M213" s="337"/>
      <c r="N213" s="330"/>
      <c r="O213" s="1664"/>
      <c r="P213" s="1664"/>
    </row>
    <row s="3429" customFormat="1" customHeight="1" ht="18.75">
      <c r="A214" s="4004" t="s">
        <v>186</v>
      </c>
      <c r="B214" s="4004" t="s">
        <v>213</v>
      </c>
      <c r="C214" s="6798"/>
      <c r="D214" s="6799"/>
      <c r="E214" s="6800"/>
      <c r="F214" s="6800"/>
      <c r="G214" s="6801" t="str">
        <f>INDEX(PT_DIFFERENTIATION_NTAR,MATCH(B214,PT_DIFFERENTIATION_NTAR_ID,0))</f>
        <v>Тарифы на теплоноситель, поставляемый группе потребителей "население"</v>
      </c>
      <c r="H214" s="3628"/>
      <c r="I214" s="6802"/>
      <c r="J214" s="6803"/>
      <c r="K214" s="6815"/>
      <c r="L214" s="3628" t="s">
        <v>351</v>
      </c>
      <c r="M214" s="6805"/>
      <c r="N214" s="6806"/>
      <c r="O214" s="3790"/>
      <c r="P214" s="3790"/>
      <c r="Q214" s="3429"/>
      <c r="R214" s="3429"/>
      <c r="S214" s="3429"/>
      <c r="T214" s="3429"/>
      <c r="U214" s="3429"/>
      <c r="V214" s="3429"/>
      <c r="W214" s="3429"/>
      <c r="X214" s="3429"/>
      <c r="Y214" s="3429"/>
      <c r="Z214" s="3429"/>
      <c r="AA214" s="3429"/>
      <c r="AB214" s="3429"/>
      <c r="AC214" s="3429"/>
      <c r="AD214" s="3429"/>
      <c r="AE214" s="3429"/>
      <c r="AF214" s="3429"/>
      <c r="AG214" s="3429"/>
    </row>
    <row s="3429" customFormat="1" customHeight="1" ht="18.75">
      <c r="A215" s="4004"/>
      <c r="B215" s="4004"/>
      <c r="C215" s="6798" t="s">
        <v>1124</v>
      </c>
      <c r="D215" s="6799"/>
      <c r="E215" s="6800"/>
      <c r="F215" s="6800"/>
      <c r="G215" s="6801"/>
      <c r="H215" s="6826"/>
      <c r="I215" s="6827" t="s">
        <v>1123</v>
      </c>
      <c r="J215" s="6828"/>
      <c r="K215" s="6829"/>
      <c r="L215" s="6830"/>
      <c r="M215" s="6805"/>
      <c r="N215" s="6806"/>
      <c r="O215" s="3790"/>
      <c r="P215" s="3790"/>
      <c r="Q215" s="3429"/>
      <c r="R215" s="3429"/>
      <c r="S215" s="3429"/>
      <c r="T215" s="3429"/>
      <c r="U215" s="3429"/>
      <c r="V215" s="3429"/>
      <c r="W215" s="3429"/>
      <c r="X215" s="3429"/>
      <c r="Y215" s="3429"/>
      <c r="Z215" s="3429"/>
      <c r="AA215" s="3429"/>
      <c r="AB215" s="3429"/>
      <c r="AC215" s="3429"/>
      <c r="AD215" s="3429"/>
      <c r="AE215" s="3429"/>
      <c r="AF215" s="3429"/>
      <c r="AG215" s="3429"/>
    </row>
    <row s="2992" customFormat="1" customHeight="1" ht="0.75" hidden="1">
      <c r="A216" s="1821"/>
      <c r="B216" s="1821"/>
      <c r="C216" s="369" t="s">
        <v>1131</v>
      </c>
      <c r="D216" s="2311"/>
      <c r="E216" s="2056"/>
      <c r="F216" s="2220"/>
      <c r="G216" s="406"/>
      <c r="H216" s="1530"/>
      <c r="I216" s="657"/>
      <c r="J216" s="577"/>
      <c r="K216" s="1530"/>
      <c r="L216" s="200"/>
      <c r="M216" s="337"/>
      <c r="N216" s="330"/>
      <c r="O216" s="1664"/>
      <c r="P216" s="1664"/>
    </row>
    <row s="2992" customFormat="1" customHeight="1" ht="45" hidden="1">
      <c r="A217" s="1821" t="s">
        <v>232</v>
      </c>
      <c r="B217" s="1821" t="s">
        <v>233</v>
      </c>
      <c r="C217" s="369"/>
      <c r="D217" s="2311"/>
      <c r="E217" s="2056"/>
      <c r="F217" s="2220" t="str">
        <f>INDEX(PT_DIFFERENTIATION_VTAR,MATCH(A217,PT_DIFFERENTIATION_VTAR_ID,0))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7" s="2266" t="str">
        <f>INDEX(PT_DIFFERENTIATION_NTAR,MATCH(B217,PT_DIFFERENTIATION_NTAR_ID,0))</f>
        <v/>
      </c>
      <c r="H217" s="1905"/>
      <c r="I217" s="1779"/>
      <c r="J217" s="1814"/>
      <c r="K217" s="1819"/>
      <c r="L217" s="1905" t="s">
        <v>351</v>
      </c>
      <c r="M217" s="337"/>
      <c r="N217" s="330"/>
      <c r="O217" s="1664"/>
      <c r="P217" s="1664"/>
    </row>
    <row s="2992" customFormat="1" customHeight="1" ht="18.75" hidden="1">
      <c r="A218" s="1821"/>
      <c r="B218" s="1821"/>
      <c r="C218" s="369" t="s">
        <v>1124</v>
      </c>
      <c r="D218" s="2311"/>
      <c r="E218" s="2056"/>
      <c r="F218" s="2220"/>
      <c r="G218" s="2266"/>
      <c r="H218" s="1530"/>
      <c r="I218" s="657" t="s">
        <v>1123</v>
      </c>
      <c r="J218" s="577"/>
      <c r="K218" s="1530"/>
      <c r="L218" s="200"/>
      <c r="M218" s="337"/>
      <c r="N218" s="330"/>
      <c r="O218" s="1664"/>
      <c r="P218" s="1664"/>
    </row>
    <row s="2992" customFormat="1" customHeight="1" ht="0.75" hidden="1">
      <c r="A219" s="1821"/>
      <c r="B219" s="1821"/>
      <c r="C219" s="369" t="s">
        <v>1131</v>
      </c>
      <c r="D219" s="2311"/>
      <c r="E219" s="2056"/>
      <c r="F219" s="2220"/>
      <c r="G219" s="406"/>
      <c r="H219" s="1530"/>
      <c r="I219" s="657"/>
      <c r="J219" s="577"/>
      <c r="K219" s="1530"/>
      <c r="L219" s="200"/>
      <c r="M219" s="337"/>
      <c r="N219" s="330"/>
      <c r="O219" s="1664"/>
      <c r="P219" s="1664"/>
    </row>
    <row s="2992" customFormat="1" customHeight="1" ht="18.75" hidden="1">
      <c r="A220" s="1821" t="s">
        <v>238</v>
      </c>
      <c r="B220" s="1821" t="s">
        <v>239</v>
      </c>
      <c r="C220" s="369"/>
      <c r="D220" s="2311"/>
      <c r="E220" s="2056"/>
      <c r="F220" s="2220" t="str">
        <f>INDEX(PT_DIFFERENTIATION_VTAR,MATCH(A220,PT_DIFFERENTIATION_VTAR_ID,0))</f>
        <v>Тарифы на услуги по передаче тепловой энергии</v>
      </c>
      <c r="G220" s="2266" t="str">
        <f>INDEX(PT_DIFFERENTIATION_NTAR,MATCH(B220,PT_DIFFERENTIATION_NTAR_ID,0))</f>
        <v/>
      </c>
      <c r="H220" s="1905"/>
      <c r="I220" s="1779"/>
      <c r="J220" s="1814"/>
      <c r="K220" s="1819"/>
      <c r="L220" s="1905" t="s">
        <v>351</v>
      </c>
      <c r="M220" s="337"/>
      <c r="N220" s="330"/>
      <c r="O220" s="1664"/>
      <c r="P220" s="1664"/>
    </row>
    <row s="2992" customFormat="1" customHeight="1" ht="18.75" hidden="1">
      <c r="A221" s="1821"/>
      <c r="B221" s="1821"/>
      <c r="C221" s="369" t="s">
        <v>1124</v>
      </c>
      <c r="D221" s="2311"/>
      <c r="E221" s="2056"/>
      <c r="F221" s="2220"/>
      <c r="G221" s="2266"/>
      <c r="H221" s="1530"/>
      <c r="I221" s="657" t="s">
        <v>1123</v>
      </c>
      <c r="J221" s="577"/>
      <c r="K221" s="1530"/>
      <c r="L221" s="200"/>
      <c r="M221" s="337"/>
      <c r="N221" s="330"/>
      <c r="O221" s="1664"/>
      <c r="P221" s="1664"/>
    </row>
    <row s="2992" customFormat="1" customHeight="1" ht="0.75" hidden="1">
      <c r="A222" s="1821"/>
      <c r="B222" s="1821"/>
      <c r="C222" s="369" t="s">
        <v>1131</v>
      </c>
      <c r="D222" s="2311"/>
      <c r="E222" s="2056"/>
      <c r="F222" s="2220"/>
      <c r="G222" s="406"/>
      <c r="H222" s="1530"/>
      <c r="I222" s="657"/>
      <c r="J222" s="577"/>
      <c r="K222" s="1530"/>
      <c r="L222" s="200"/>
      <c r="M222" s="337"/>
      <c r="N222" s="330"/>
      <c r="O222" s="1664"/>
      <c r="P222" s="1664"/>
    </row>
    <row s="2992" customFormat="1" customHeight="1" ht="18.75" hidden="1">
      <c r="A223" s="1821" t="s">
        <v>244</v>
      </c>
      <c r="B223" s="1821" t="s">
        <v>245</v>
      </c>
      <c r="C223" s="369"/>
      <c r="D223" s="2311"/>
      <c r="E223" s="2056"/>
      <c r="F223" s="2220" t="str">
        <f>INDEX(PT_DIFFERENTIATION_VTAR,MATCH(A223,PT_DIFFERENTIATION_VTAR_ID,0))</f>
        <v>Тарифы на услуги по передаче теплоносителя</v>
      </c>
      <c r="G223" s="2266" t="str">
        <f>INDEX(PT_DIFFERENTIATION_NTAR,MATCH(B223,PT_DIFFERENTIATION_NTAR_ID,0))</f>
        <v/>
      </c>
      <c r="H223" s="1905"/>
      <c r="I223" s="1779"/>
      <c r="J223" s="1814"/>
      <c r="K223" s="1819"/>
      <c r="L223" s="1905" t="s">
        <v>351</v>
      </c>
      <c r="M223" s="337"/>
      <c r="N223" s="330"/>
      <c r="O223" s="1664"/>
      <c r="P223" s="1664"/>
    </row>
    <row s="2992" customFormat="1" customHeight="1" ht="18.75" hidden="1">
      <c r="A224" s="1821"/>
      <c r="B224" s="1821"/>
      <c r="C224" s="369" t="s">
        <v>1124</v>
      </c>
      <c r="D224" s="2311"/>
      <c r="E224" s="2056"/>
      <c r="F224" s="2220"/>
      <c r="G224" s="2266"/>
      <c r="H224" s="1530"/>
      <c r="I224" s="657" t="s">
        <v>1123</v>
      </c>
      <c r="J224" s="577"/>
      <c r="K224" s="1530"/>
      <c r="L224" s="200"/>
      <c r="M224" s="337"/>
      <c r="N224" s="330"/>
      <c r="O224" s="1664"/>
      <c r="P224" s="1664"/>
    </row>
    <row s="2992" customFormat="1" customHeight="1" ht="0.75" hidden="1">
      <c r="A225" s="1821"/>
      <c r="B225" s="1821"/>
      <c r="C225" s="369" t="s">
        <v>1131</v>
      </c>
      <c r="D225" s="2311"/>
      <c r="E225" s="2056"/>
      <c r="F225" s="2220"/>
      <c r="G225" s="406"/>
      <c r="H225" s="1530"/>
      <c r="I225" s="657"/>
      <c r="J225" s="577"/>
      <c r="K225" s="1530"/>
      <c r="L225" s="200"/>
      <c r="M225" s="337"/>
      <c r="N225" s="330"/>
      <c r="O225" s="1664"/>
      <c r="P225" s="1664"/>
    </row>
    <row s="2992" customFormat="1" customHeight="1" ht="18.75" hidden="1">
      <c r="A226" s="1821" t="s">
        <v>250</v>
      </c>
      <c r="B226" s="1821" t="s">
        <v>251</v>
      </c>
      <c r="C226" s="369"/>
      <c r="D226" s="2311"/>
      <c r="E226" s="2056"/>
      <c r="F226" s="2220"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266" t="str">
        <f>INDEX(PT_DIFFERENTIATION_NTAR,MATCH(B226,PT_DIFFERENTIATION_NTAR_ID,0))</f>
        <v/>
      </c>
      <c r="H226" s="1905"/>
      <c r="I226" s="1779"/>
      <c r="J226" s="1814"/>
      <c r="K226" s="1819"/>
      <c r="L226" s="1905" t="s">
        <v>351</v>
      </c>
      <c r="M226" s="337"/>
      <c r="N226" s="330"/>
      <c r="O226" s="1664"/>
      <c r="P226" s="1664"/>
    </row>
    <row s="2992" customFormat="1" customHeight="1" ht="18.75" hidden="1">
      <c r="A227" s="1821"/>
      <c r="B227" s="1821"/>
      <c r="C227" s="369" t="s">
        <v>1124</v>
      </c>
      <c r="D227" s="2311"/>
      <c r="E227" s="2056"/>
      <c r="F227" s="2220"/>
      <c r="G227" s="2266"/>
      <c r="H227" s="1530"/>
      <c r="I227" s="657" t="s">
        <v>1123</v>
      </c>
      <c r="J227" s="577"/>
      <c r="K227" s="1530"/>
      <c r="L227" s="200"/>
      <c r="M227" s="337"/>
      <c r="N227" s="330"/>
      <c r="O227" s="1664"/>
      <c r="P227" s="1664"/>
    </row>
    <row s="2992" customFormat="1" customHeight="1" ht="0.75" hidden="1">
      <c r="A228" s="1821"/>
      <c r="B228" s="1821"/>
      <c r="C228" s="369" t="s">
        <v>1131</v>
      </c>
      <c r="D228" s="2311"/>
      <c r="E228" s="2056"/>
      <c r="F228" s="2220"/>
      <c r="G228" s="406"/>
      <c r="H228" s="1530"/>
      <c r="I228" s="657"/>
      <c r="J228" s="577"/>
      <c r="K228" s="1530"/>
      <c r="L228" s="200"/>
      <c r="M228" s="337"/>
      <c r="N228" s="330"/>
      <c r="O228" s="1664"/>
      <c r="P228" s="1664"/>
    </row>
    <row s="2992" customFormat="1" customHeight="1" ht="18.75" hidden="1">
      <c r="A229" s="1821" t="s">
        <v>256</v>
      </c>
      <c r="B229" s="1821" t="s">
        <v>257</v>
      </c>
      <c r="C229" s="369"/>
      <c r="D229" s="2311"/>
      <c r="E229" s="2056"/>
      <c r="F229" s="2220" t="str">
        <f>INDEX(PT_DIFFERENTIATION_VTAR,MATCH(A229,PT_DIFFERENTIATION_VTAR_ID,0))</f>
        <v>Плата за подключение (технологическое присоединение) к системе теплоснабжения</v>
      </c>
      <c r="G229" s="2266" t="str">
        <f>INDEX(PT_DIFFERENTIATION_NTAR,MATCH(B229,PT_DIFFERENTIATION_NTAR_ID,0))</f>
        <v/>
      </c>
      <c r="H229" s="1905"/>
      <c r="I229" s="1779"/>
      <c r="J229" s="1814"/>
      <c r="K229" s="1819"/>
      <c r="L229" s="1905" t="s">
        <v>351</v>
      </c>
      <c r="M229" s="337"/>
      <c r="N229" s="330"/>
      <c r="O229" s="1664"/>
      <c r="P229" s="1664"/>
    </row>
    <row s="2992" customFormat="1" customHeight="1" ht="18.75" hidden="1">
      <c r="A230" s="1821"/>
      <c r="B230" s="1821"/>
      <c r="C230" s="369" t="s">
        <v>1124</v>
      </c>
      <c r="D230" s="2311"/>
      <c r="E230" s="2056"/>
      <c r="F230" s="2220"/>
      <c r="G230" s="2266"/>
      <c r="H230" s="1530"/>
      <c r="I230" s="657" t="s">
        <v>1123</v>
      </c>
      <c r="J230" s="577"/>
      <c r="K230" s="1530"/>
      <c r="L230" s="200"/>
      <c r="M230" s="337"/>
      <c r="N230" s="330"/>
      <c r="O230" s="1664"/>
      <c r="P230" s="1664"/>
    </row>
    <row s="2992" customFormat="1" customHeight="1" ht="0.75" hidden="1">
      <c r="A231" s="1821"/>
      <c r="B231" s="1821"/>
      <c r="C231" s="369" t="s">
        <v>1131</v>
      </c>
      <c r="D231" s="2311"/>
      <c r="E231" s="2056"/>
      <c r="F231" s="2220"/>
      <c r="G231" s="406"/>
      <c r="H231" s="1530"/>
      <c r="I231" s="657"/>
      <c r="J231" s="577"/>
      <c r="K231" s="1530"/>
      <c r="L231" s="200"/>
      <c r="M231" s="337"/>
      <c r="N231" s="330"/>
      <c r="O231" s="1664"/>
      <c r="P231" s="1664"/>
    </row>
    <row s="2992" customFormat="1" customHeight="1" ht="18.75" hidden="1">
      <c r="A232" s="1821" t="s">
        <v>270</v>
      </c>
      <c r="B232" s="1821" t="s">
        <v>271</v>
      </c>
      <c r="C232" s="369"/>
      <c r="D232" s="2311"/>
      <c r="E232" s="2056"/>
      <c r="F232" s="2220" t="str">
        <f>INDEX(PT_DIFFERENTIATION_VTAR,MATCH(A232,PT_DIFFERENTIATION_VTAR_ID,0))</f>
        <v>Тариф на питьевую воду (питьевое водоснабжение)</v>
      </c>
      <c r="G232" s="2266" t="str">
        <f>INDEX(PT_DIFFERENTIATION_NTAR,MATCH(B232,PT_DIFFERENTIATION_NTAR_ID,0))</f>
        <v/>
      </c>
      <c r="H232" s="1905"/>
      <c r="I232" s="1779"/>
      <c r="J232" s="1814"/>
      <c r="K232" s="1819"/>
      <c r="L232" s="1905" t="s">
        <v>351</v>
      </c>
      <c r="M232" s="337"/>
      <c r="N232" s="330"/>
      <c r="O232" s="1664"/>
      <c r="P232" s="1664"/>
    </row>
    <row s="2992" customFormat="1" customHeight="1" ht="18.75" hidden="1">
      <c r="A233" s="1821"/>
      <c r="B233" s="1821"/>
      <c r="C233" s="369" t="s">
        <v>1124</v>
      </c>
      <c r="D233" s="2311"/>
      <c r="E233" s="2056"/>
      <c r="F233" s="2220"/>
      <c r="G233" s="2266"/>
      <c r="H233" s="1530"/>
      <c r="I233" s="657" t="s">
        <v>1123</v>
      </c>
      <c r="J233" s="577"/>
      <c r="K233" s="1530"/>
      <c r="L233" s="200"/>
      <c r="M233" s="337"/>
      <c r="N233" s="330"/>
      <c r="O233" s="1664"/>
      <c r="P233" s="1664"/>
    </row>
    <row s="2992" customFormat="1" customHeight="1" ht="0.75" hidden="1">
      <c r="A234" s="1821"/>
      <c r="B234" s="1821"/>
      <c r="C234" s="369" t="s">
        <v>1131</v>
      </c>
      <c r="D234" s="2311"/>
      <c r="E234" s="2056"/>
      <c r="F234" s="2220"/>
      <c r="G234" s="406"/>
      <c r="H234" s="1530"/>
      <c r="I234" s="657"/>
      <c r="J234" s="577"/>
      <c r="K234" s="1530"/>
      <c r="L234" s="200"/>
      <c r="M234" s="337"/>
      <c r="N234" s="330"/>
      <c r="O234" s="1664"/>
      <c r="P234" s="1664"/>
    </row>
    <row s="2992" customFormat="1" customHeight="1" ht="18.75" hidden="1">
      <c r="A235" s="1821" t="s">
        <v>275</v>
      </c>
      <c r="B235" s="1821" t="s">
        <v>276</v>
      </c>
      <c r="C235" s="369"/>
      <c r="D235" s="2311"/>
      <c r="E235" s="2056"/>
      <c r="F235" s="2220" t="str">
        <f>INDEX(PT_DIFFERENTIATION_VTAR,MATCH(A235,PT_DIFFERENTIATION_VTAR_ID,0))</f>
        <v>Тариф на техническую воду</v>
      </c>
      <c r="G235" s="2266" t="str">
        <f>INDEX(PT_DIFFERENTIATION_NTAR,MATCH(B235,PT_DIFFERENTIATION_NTAR_ID,0))</f>
        <v/>
      </c>
      <c r="H235" s="1905"/>
      <c r="I235" s="1779"/>
      <c r="J235" s="1814"/>
      <c r="K235" s="1819"/>
      <c r="L235" s="1905" t="s">
        <v>351</v>
      </c>
      <c r="M235" s="337"/>
      <c r="N235" s="330"/>
      <c r="O235" s="1664"/>
      <c r="P235" s="1664"/>
    </row>
    <row s="2992" customFormat="1" customHeight="1" ht="18.75" hidden="1">
      <c r="A236" s="1821"/>
      <c r="B236" s="1821"/>
      <c r="C236" s="369" t="s">
        <v>1124</v>
      </c>
      <c r="D236" s="2311"/>
      <c r="E236" s="2056"/>
      <c r="F236" s="2220"/>
      <c r="G236" s="2266"/>
      <c r="H236" s="1530"/>
      <c r="I236" s="657" t="s">
        <v>1123</v>
      </c>
      <c r="J236" s="577"/>
      <c r="K236" s="1530"/>
      <c r="L236" s="200"/>
      <c r="M236" s="337"/>
      <c r="N236" s="330"/>
      <c r="O236" s="1664"/>
      <c r="P236" s="1664"/>
    </row>
    <row s="2992" customFormat="1" customHeight="1" ht="0.75" hidden="1">
      <c r="A237" s="1821"/>
      <c r="B237" s="1821"/>
      <c r="C237" s="369" t="s">
        <v>1131</v>
      </c>
      <c r="D237" s="2311"/>
      <c r="E237" s="2056"/>
      <c r="F237" s="2220"/>
      <c r="G237" s="406"/>
      <c r="H237" s="1530"/>
      <c r="I237" s="657"/>
      <c r="J237" s="577"/>
      <c r="K237" s="1530"/>
      <c r="L237" s="200"/>
      <c r="M237" s="337"/>
      <c r="N237" s="330"/>
      <c r="O237" s="1664"/>
      <c r="P237" s="1664"/>
    </row>
    <row s="2992" customFormat="1" customHeight="1" ht="18.75" hidden="1">
      <c r="A238" s="1821" t="s">
        <v>280</v>
      </c>
      <c r="B238" s="1821" t="s">
        <v>281</v>
      </c>
      <c r="C238" s="369"/>
      <c r="D238" s="2311"/>
      <c r="E238" s="2056"/>
      <c r="F238" s="2220" t="str">
        <f>INDEX(PT_DIFFERENTIATION_VTAR,MATCH(A238,PT_DIFFERENTIATION_VTAR_ID,0))</f>
        <v>Тариф на транспортировку воды</v>
      </c>
      <c r="G238" s="2266" t="str">
        <f>INDEX(PT_DIFFERENTIATION_NTAR,MATCH(B238,PT_DIFFERENTIATION_NTAR_ID,0))</f>
        <v/>
      </c>
      <c r="H238" s="1905"/>
      <c r="I238" s="1779"/>
      <c r="J238" s="1814"/>
      <c r="K238" s="1819"/>
      <c r="L238" s="1905" t="s">
        <v>351</v>
      </c>
      <c r="M238" s="337"/>
      <c r="N238" s="330"/>
      <c r="O238" s="1664"/>
      <c r="P238" s="1664"/>
    </row>
    <row s="2992" customFormat="1" customHeight="1" ht="18.75" hidden="1">
      <c r="A239" s="1821"/>
      <c r="B239" s="1821"/>
      <c r="C239" s="369" t="s">
        <v>1124</v>
      </c>
      <c r="D239" s="2311"/>
      <c r="E239" s="2056"/>
      <c r="F239" s="2220"/>
      <c r="G239" s="2266"/>
      <c r="H239" s="1530"/>
      <c r="I239" s="657" t="s">
        <v>1123</v>
      </c>
      <c r="J239" s="577"/>
      <c r="K239" s="1530"/>
      <c r="L239" s="200"/>
      <c r="M239" s="337"/>
      <c r="N239" s="330"/>
      <c r="O239" s="1664"/>
      <c r="P239" s="1664"/>
    </row>
    <row s="2992" customFormat="1" customHeight="1" ht="0.75" hidden="1">
      <c r="A240" s="1821"/>
      <c r="B240" s="1821"/>
      <c r="C240" s="369" t="s">
        <v>1131</v>
      </c>
      <c r="D240" s="2311"/>
      <c r="E240" s="2056"/>
      <c r="F240" s="2220"/>
      <c r="G240" s="406"/>
      <c r="H240" s="1530"/>
      <c r="I240" s="657"/>
      <c r="J240" s="577"/>
      <c r="K240" s="1530"/>
      <c r="L240" s="200"/>
      <c r="M240" s="337"/>
      <c r="N240" s="330"/>
      <c r="O240" s="1664"/>
      <c r="P240" s="1664"/>
    </row>
    <row s="2992" customFormat="1" customHeight="1" ht="18.75" hidden="1">
      <c r="A241" s="1821" t="s">
        <v>285</v>
      </c>
      <c r="B241" s="1821" t="s">
        <v>286</v>
      </c>
      <c r="C241" s="369"/>
      <c r="D241" s="2311"/>
      <c r="E241" s="2056"/>
      <c r="F241" s="2220" t="str">
        <f>INDEX(PT_DIFFERENTIATION_VTAR,MATCH(A241,PT_DIFFERENTIATION_VTAR_ID,0))</f>
        <v>Тариф на подвоз воды</v>
      </c>
      <c r="G241" s="2266" t="str">
        <f>INDEX(PT_DIFFERENTIATION_NTAR,MATCH(B241,PT_DIFFERENTIATION_NTAR_ID,0))</f>
        <v/>
      </c>
      <c r="H241" s="1905"/>
      <c r="I241" s="1779"/>
      <c r="J241" s="1814"/>
      <c r="K241" s="1819"/>
      <c r="L241" s="1905" t="s">
        <v>351</v>
      </c>
      <c r="M241" s="337"/>
      <c r="N241" s="330"/>
      <c r="O241" s="1664"/>
      <c r="P241" s="1664"/>
    </row>
    <row s="2992" customFormat="1" customHeight="1" ht="18.75" hidden="1">
      <c r="A242" s="1821"/>
      <c r="B242" s="1821"/>
      <c r="C242" s="369" t="s">
        <v>1124</v>
      </c>
      <c r="D242" s="2311"/>
      <c r="E242" s="2056"/>
      <c r="F242" s="2220"/>
      <c r="G242" s="2266"/>
      <c r="H242" s="1530"/>
      <c r="I242" s="657" t="s">
        <v>1123</v>
      </c>
      <c r="J242" s="577"/>
      <c r="K242" s="1530"/>
      <c r="L242" s="200"/>
      <c r="M242" s="337"/>
      <c r="N242" s="330"/>
      <c r="O242" s="1664"/>
      <c r="P242" s="1664"/>
    </row>
    <row s="2992" customFormat="1" customHeight="1" ht="0.75" hidden="1">
      <c r="A243" s="1821"/>
      <c r="B243" s="1821"/>
      <c r="C243" s="369" t="s">
        <v>1131</v>
      </c>
      <c r="D243" s="2311"/>
      <c r="E243" s="2056"/>
      <c r="F243" s="2220"/>
      <c r="G243" s="406"/>
      <c r="H243" s="1530"/>
      <c r="I243" s="657"/>
      <c r="J243" s="577"/>
      <c r="K243" s="1530"/>
      <c r="L243" s="200"/>
      <c r="M243" s="337"/>
      <c r="N243" s="330"/>
      <c r="O243" s="1664"/>
      <c r="P243" s="1664"/>
    </row>
    <row s="2992" customFormat="1" customHeight="1" ht="18.75" hidden="1">
      <c r="A244" s="1821" t="s">
        <v>290</v>
      </c>
      <c r="B244" s="1821" t="s">
        <v>291</v>
      </c>
      <c r="C244" s="369"/>
      <c r="D244" s="2311"/>
      <c r="E244" s="2056"/>
      <c r="F244" s="2220"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266" t="str">
        <f>INDEX(PT_DIFFERENTIATION_NTAR,MATCH(B244,PT_DIFFERENTIATION_NTAR_ID,0))</f>
        <v/>
      </c>
      <c r="H244" s="1905"/>
      <c r="I244" s="1779"/>
      <c r="J244" s="1814"/>
      <c r="K244" s="1819"/>
      <c r="L244" s="1905" t="s">
        <v>351</v>
      </c>
      <c r="M244" s="337"/>
      <c r="N244" s="330"/>
      <c r="O244" s="1664"/>
      <c r="P244" s="1664"/>
    </row>
    <row s="2992" customFormat="1" customHeight="1" ht="18.75" hidden="1">
      <c r="A245" s="1821"/>
      <c r="B245" s="1821"/>
      <c r="C245" s="369" t="s">
        <v>1124</v>
      </c>
      <c r="D245" s="2311"/>
      <c r="E245" s="2056"/>
      <c r="F245" s="2220"/>
      <c r="G245" s="2266"/>
      <c r="H245" s="1530"/>
      <c r="I245" s="657" t="s">
        <v>1123</v>
      </c>
      <c r="J245" s="577"/>
      <c r="K245" s="1530"/>
      <c r="L245" s="200"/>
      <c r="M245" s="337"/>
      <c r="N245" s="330"/>
      <c r="O245" s="1664"/>
      <c r="P245" s="1664"/>
    </row>
    <row s="2992" customFormat="1" customHeight="1" ht="0.75" hidden="1">
      <c r="A246" s="1821"/>
      <c r="B246" s="1821"/>
      <c r="C246" s="369" t="s">
        <v>1131</v>
      </c>
      <c r="D246" s="2311"/>
      <c r="E246" s="2056"/>
      <c r="F246" s="2220"/>
      <c r="G246" s="406"/>
      <c r="H246" s="1530"/>
      <c r="I246" s="657"/>
      <c r="J246" s="577"/>
      <c r="K246" s="1530"/>
      <c r="L246" s="200"/>
      <c r="M246" s="337"/>
      <c r="N246" s="330"/>
      <c r="O246" s="1664"/>
      <c r="P246" s="1664"/>
    </row>
    <row s="2992" customFormat="1" customHeight="1" ht="18.75" hidden="1">
      <c r="A247" s="1821" t="s">
        <v>295</v>
      </c>
      <c r="B247" s="1821" t="s">
        <v>296</v>
      </c>
      <c r="C247" s="369"/>
      <c r="D247" s="2311"/>
      <c r="E247" s="2056"/>
      <c r="F247" s="2220" t="str">
        <f>INDEX(PT_DIFFERENTIATION_VTAR,MATCH(A247,PT_DIFFERENTIATION_VTAR_ID,0))</f>
        <v>Тариф на горячую воду (горячее водоснабжение)</v>
      </c>
      <c r="G247" s="2266" t="str">
        <f>INDEX(PT_DIFFERENTIATION_NTAR,MATCH(B247,PT_DIFFERENTIATION_NTAR_ID,0))</f>
        <v/>
      </c>
      <c r="H247" s="1905"/>
      <c r="I247" s="1779"/>
      <c r="J247" s="1814"/>
      <c r="K247" s="1819"/>
      <c r="L247" s="1905" t="s">
        <v>351</v>
      </c>
      <c r="M247" s="337"/>
      <c r="N247" s="330"/>
      <c r="O247" s="1664"/>
      <c r="P247" s="1664"/>
    </row>
    <row s="2992" customFormat="1" customHeight="1" ht="18.75" hidden="1">
      <c r="A248" s="1821"/>
      <c r="B248" s="1821"/>
      <c r="C248" s="369" t="s">
        <v>1124</v>
      </c>
      <c r="D248" s="2311"/>
      <c r="E248" s="2056"/>
      <c r="F248" s="2220"/>
      <c r="G248" s="2266"/>
      <c r="H248" s="1530"/>
      <c r="I248" s="657" t="s">
        <v>1123</v>
      </c>
      <c r="J248" s="577"/>
      <c r="K248" s="1530"/>
      <c r="L248" s="200"/>
      <c r="M248" s="337"/>
      <c r="N248" s="330"/>
      <c r="O248" s="1664"/>
      <c r="P248" s="1664"/>
    </row>
    <row s="2992" customFormat="1" customHeight="1" ht="0.75" hidden="1">
      <c r="A249" s="1821"/>
      <c r="B249" s="1821"/>
      <c r="C249" s="369" t="s">
        <v>1131</v>
      </c>
      <c r="D249" s="2311"/>
      <c r="E249" s="2056"/>
      <c r="F249" s="2220"/>
      <c r="G249" s="406"/>
      <c r="H249" s="1530"/>
      <c r="I249" s="657"/>
      <c r="J249" s="577"/>
      <c r="K249" s="1530"/>
      <c r="L249" s="200"/>
      <c r="M249" s="337"/>
      <c r="N249" s="330"/>
      <c r="O249" s="1664"/>
      <c r="P249" s="1664"/>
    </row>
    <row s="2992" customFormat="1" customHeight="1" ht="18.75" hidden="1">
      <c r="A250" s="1821" t="s">
        <v>300</v>
      </c>
      <c r="B250" s="1821" t="s">
        <v>301</v>
      </c>
      <c r="C250" s="369"/>
      <c r="D250" s="2311"/>
      <c r="E250" s="2056"/>
      <c r="F250" s="2220" t="str">
        <f>INDEX(PT_DIFFERENTIATION_VTAR,MATCH(A250,PT_DIFFERENTIATION_VTAR_ID,0))</f>
        <v>Тариф на транспортировку горячей воды</v>
      </c>
      <c r="G250" s="2266" t="str">
        <f>INDEX(PT_DIFFERENTIATION_NTAR,MATCH(B250,PT_DIFFERENTIATION_NTAR_ID,0))</f>
        <v/>
      </c>
      <c r="H250" s="1905"/>
      <c r="I250" s="1779"/>
      <c r="J250" s="1814"/>
      <c r="K250" s="1819"/>
      <c r="L250" s="1905" t="s">
        <v>351</v>
      </c>
      <c r="M250" s="337"/>
      <c r="N250" s="330"/>
      <c r="O250" s="1664"/>
      <c r="P250" s="1664"/>
    </row>
    <row s="2992" customFormat="1" customHeight="1" ht="18.75" hidden="1">
      <c r="A251" s="1821"/>
      <c r="B251" s="1821"/>
      <c r="C251" s="369" t="s">
        <v>1124</v>
      </c>
      <c r="D251" s="2311"/>
      <c r="E251" s="2056"/>
      <c r="F251" s="2220"/>
      <c r="G251" s="2266"/>
      <c r="H251" s="1530"/>
      <c r="I251" s="657" t="s">
        <v>1123</v>
      </c>
      <c r="J251" s="577"/>
      <c r="K251" s="1530"/>
      <c r="L251" s="200"/>
      <c r="M251" s="337"/>
      <c r="N251" s="330"/>
      <c r="O251" s="1664"/>
      <c r="P251" s="1664"/>
    </row>
    <row s="2992" customFormat="1" customHeight="1" ht="0.75" hidden="1">
      <c r="A252" s="1821"/>
      <c r="B252" s="1821"/>
      <c r="C252" s="369" t="s">
        <v>1131</v>
      </c>
      <c r="D252" s="2311"/>
      <c r="E252" s="2056"/>
      <c r="F252" s="2220"/>
      <c r="G252" s="406"/>
      <c r="H252" s="1530"/>
      <c r="I252" s="657"/>
      <c r="J252" s="577"/>
      <c r="K252" s="1530"/>
      <c r="L252" s="200"/>
      <c r="M252" s="337"/>
      <c r="N252" s="330"/>
      <c r="O252" s="1664"/>
      <c r="P252" s="1664"/>
    </row>
    <row s="2992" customFormat="1" customHeight="1" ht="18.75" hidden="1">
      <c r="A253" s="1821" t="s">
        <v>305</v>
      </c>
      <c r="B253" s="1821" t="s">
        <v>306</v>
      </c>
      <c r="C253" s="369"/>
      <c r="D253" s="2311"/>
      <c r="E253" s="2056"/>
      <c r="F253" s="2220" t="str">
        <f>INDEX(PT_DIFFERENTIATION_VTAR,MATCH(A253,PT_DIFFERENTIATION_VTAR_ID,0))</f>
        <v>Тариф на подключение (технологическое присоединение) к централизованной системе горячего водоснабжения</v>
      </c>
      <c r="G253" s="2266" t="str">
        <f>INDEX(PT_DIFFERENTIATION_NTAR,MATCH(B253,PT_DIFFERENTIATION_NTAR_ID,0))</f>
        <v/>
      </c>
      <c r="H253" s="1905"/>
      <c r="I253" s="1779"/>
      <c r="J253" s="1814"/>
      <c r="K253" s="1819"/>
      <c r="L253" s="1905" t="s">
        <v>351</v>
      </c>
      <c r="M253" s="337"/>
      <c r="N253" s="330"/>
      <c r="O253" s="1664"/>
      <c r="P253" s="1664"/>
    </row>
    <row s="2992" customFormat="1" customHeight="1" ht="18.75" hidden="1">
      <c r="A254" s="1821"/>
      <c r="B254" s="1821"/>
      <c r="C254" s="369" t="s">
        <v>1124</v>
      </c>
      <c r="D254" s="2311"/>
      <c r="E254" s="2056"/>
      <c r="F254" s="2220"/>
      <c r="G254" s="2266"/>
      <c r="H254" s="1530"/>
      <c r="I254" s="657" t="s">
        <v>1123</v>
      </c>
      <c r="J254" s="577"/>
      <c r="K254" s="1530"/>
      <c r="L254" s="200"/>
      <c r="M254" s="337"/>
      <c r="N254" s="330"/>
      <c r="O254" s="1664"/>
      <c r="P254" s="1664"/>
    </row>
    <row s="2992" customFormat="1" customHeight="1" ht="0.75" hidden="1">
      <c r="A255" s="1821"/>
      <c r="B255" s="1821"/>
      <c r="C255" s="369" t="s">
        <v>1131</v>
      </c>
      <c r="D255" s="2311"/>
      <c r="E255" s="2056"/>
      <c r="F255" s="2220"/>
      <c r="G255" s="406"/>
      <c r="H255" s="1530"/>
      <c r="I255" s="657"/>
      <c r="J255" s="577"/>
      <c r="K255" s="1530"/>
      <c r="L255" s="200"/>
      <c r="M255" s="337"/>
      <c r="N255" s="330"/>
      <c r="O255" s="1664"/>
      <c r="P255" s="1664"/>
    </row>
    <row s="2992" customFormat="1" customHeight="1" ht="18.75" hidden="1">
      <c r="A256" s="1821" t="s">
        <v>310</v>
      </c>
      <c r="B256" s="1821" t="s">
        <v>311</v>
      </c>
      <c r="C256" s="369"/>
      <c r="D256" s="2311"/>
      <c r="E256" s="2056"/>
      <c r="F256" s="2220" t="str">
        <f>INDEX(PT_DIFFERENTIATION_VTAR,MATCH(A256,PT_DIFFERENTIATION_VTAR_ID,0))</f>
        <v>Тариф на водоотведение</v>
      </c>
      <c r="G256" s="2266" t="str">
        <f>INDEX(PT_DIFFERENTIATION_NTAR,MATCH(B256,PT_DIFFERENTIATION_NTAR_ID,0))</f>
        <v/>
      </c>
      <c r="H256" s="1905"/>
      <c r="I256" s="1779"/>
      <c r="J256" s="1814"/>
      <c r="K256" s="1819"/>
      <c r="L256" s="1905" t="s">
        <v>351</v>
      </c>
      <c r="M256" s="337"/>
      <c r="N256" s="330"/>
      <c r="O256" s="1664"/>
      <c r="P256" s="1664"/>
    </row>
    <row s="2992" customFormat="1" customHeight="1" ht="18.75" hidden="1">
      <c r="A257" s="1821"/>
      <c r="B257" s="1821"/>
      <c r="C257" s="369" t="s">
        <v>1124</v>
      </c>
      <c r="D257" s="2311"/>
      <c r="E257" s="2056"/>
      <c r="F257" s="2220"/>
      <c r="G257" s="2266"/>
      <c r="H257" s="1530"/>
      <c r="I257" s="657" t="s">
        <v>1123</v>
      </c>
      <c r="J257" s="577"/>
      <c r="K257" s="1530"/>
      <c r="L257" s="200"/>
      <c r="M257" s="337"/>
      <c r="N257" s="330"/>
      <c r="O257" s="1664"/>
      <c r="P257" s="1664"/>
    </row>
    <row s="2992" customFormat="1" customHeight="1" ht="0.75" hidden="1">
      <c r="A258" s="1821"/>
      <c r="B258" s="1821"/>
      <c r="C258" s="369" t="s">
        <v>1131</v>
      </c>
      <c r="D258" s="2311"/>
      <c r="E258" s="2056"/>
      <c r="F258" s="2220"/>
      <c r="G258" s="406"/>
      <c r="H258" s="1530"/>
      <c r="I258" s="657"/>
      <c r="J258" s="577"/>
      <c r="K258" s="1530"/>
      <c r="L258" s="200"/>
      <c r="M258" s="337"/>
      <c r="N258" s="330"/>
      <c r="O258" s="1664"/>
      <c r="P258" s="1664"/>
    </row>
    <row s="2992" customFormat="1" customHeight="1" ht="18.75" hidden="1">
      <c r="A259" s="1821" t="s">
        <v>315</v>
      </c>
      <c r="B259" s="1821" t="s">
        <v>316</v>
      </c>
      <c r="C259" s="369"/>
      <c r="D259" s="2311"/>
      <c r="E259" s="2056"/>
      <c r="F259" s="2220" t="str">
        <f>INDEX(PT_DIFFERENTIATION_VTAR,MATCH(A259,PT_DIFFERENTIATION_VTAR_ID,0))</f>
        <v>Тариф на транспортировку сточных вод</v>
      </c>
      <c r="G259" s="2266" t="str">
        <f>INDEX(PT_DIFFERENTIATION_NTAR,MATCH(B259,PT_DIFFERENTIATION_NTAR_ID,0))</f>
        <v/>
      </c>
      <c r="H259" s="1905"/>
      <c r="I259" s="1779"/>
      <c r="J259" s="1814"/>
      <c r="K259" s="1819"/>
      <c r="L259" s="1905" t="s">
        <v>351</v>
      </c>
      <c r="M259" s="337"/>
      <c r="N259" s="330"/>
      <c r="O259" s="1664"/>
      <c r="P259" s="1664"/>
    </row>
    <row s="2992" customFormat="1" customHeight="1" ht="18.75" hidden="1">
      <c r="A260" s="1821"/>
      <c r="B260" s="1821"/>
      <c r="C260" s="369" t="s">
        <v>1124</v>
      </c>
      <c r="D260" s="2311"/>
      <c r="E260" s="2056"/>
      <c r="F260" s="2220"/>
      <c r="G260" s="2266"/>
      <c r="H260" s="1530"/>
      <c r="I260" s="657" t="s">
        <v>1123</v>
      </c>
      <c r="J260" s="577"/>
      <c r="K260" s="1530"/>
      <c r="L260" s="200"/>
      <c r="M260" s="337"/>
      <c r="N260" s="330"/>
      <c r="O260" s="1664"/>
      <c r="P260" s="1664"/>
    </row>
    <row s="2992" customFormat="1" customHeight="1" ht="0.75" hidden="1">
      <c r="A261" s="1821"/>
      <c r="B261" s="1821"/>
      <c r="C261" s="369" t="s">
        <v>1131</v>
      </c>
      <c r="D261" s="2311"/>
      <c r="E261" s="2056"/>
      <c r="F261" s="2220"/>
      <c r="G261" s="406"/>
      <c r="H261" s="1530"/>
      <c r="I261" s="657"/>
      <c r="J261" s="577"/>
      <c r="K261" s="1530"/>
      <c r="L261" s="200"/>
      <c r="M261" s="337"/>
      <c r="N261" s="330"/>
      <c r="O261" s="1664"/>
      <c r="P261" s="1664"/>
    </row>
    <row s="2992" customFormat="1" customHeight="1" ht="18.75" hidden="1">
      <c r="A262" s="1821" t="s">
        <v>320</v>
      </c>
      <c r="B262" s="1821" t="s">
        <v>321</v>
      </c>
      <c r="C262" s="369"/>
      <c r="D262" s="2311"/>
      <c r="E262" s="2056"/>
      <c r="F262" s="2220" t="str">
        <f>INDEX(PT_DIFFERENTIATION_VTAR,MATCH(A262,PT_DIFFERENTIATION_VTAR_ID,0))</f>
        <v>Тариф на подключение (технологическое присоединение) к централизованной системе водоотведения</v>
      </c>
      <c r="G262" s="2266" t="str">
        <f>INDEX(PT_DIFFERENTIATION_NTAR,MATCH(B262,PT_DIFFERENTIATION_NTAR_ID,0))</f>
        <v/>
      </c>
      <c r="H262" s="1905"/>
      <c r="I262" s="1779"/>
      <c r="J262" s="1814"/>
      <c r="K262" s="1819"/>
      <c r="L262" s="1905" t="s">
        <v>351</v>
      </c>
      <c r="M262" s="337"/>
      <c r="N262" s="330"/>
      <c r="O262" s="1664"/>
      <c r="P262" s="1664"/>
    </row>
    <row s="2992" customFormat="1" customHeight="1" ht="18.75" hidden="1">
      <c r="A263" s="1821"/>
      <c r="B263" s="1821"/>
      <c r="C263" s="369" t="s">
        <v>1124</v>
      </c>
      <c r="D263" s="2311"/>
      <c r="E263" s="2056"/>
      <c r="F263" s="2220"/>
      <c r="G263" s="2266"/>
      <c r="H263" s="1530"/>
      <c r="I263" s="657" t="s">
        <v>1123</v>
      </c>
      <c r="J263" s="577"/>
      <c r="K263" s="1530"/>
      <c r="L263" s="200"/>
      <c r="M263" s="337"/>
      <c r="N263" s="330"/>
      <c r="O263" s="1664"/>
      <c r="P263" s="1664"/>
    </row>
    <row s="2992" customFormat="1" customHeight="1" ht="0.75">
      <c r="A264" s="1821"/>
      <c r="B264" s="1821"/>
      <c r="C264" s="369" t="s">
        <v>1131</v>
      </c>
      <c r="D264" s="2311"/>
      <c r="E264" s="2056"/>
      <c r="F264" s="2220"/>
      <c r="G264" s="406"/>
      <c r="H264" s="1530"/>
      <c r="I264" s="657"/>
      <c r="J264" s="577"/>
      <c r="K264" s="1530"/>
      <c r="L264" s="200"/>
      <c r="M264" s="337"/>
      <c r="N264" s="330"/>
      <c r="O264" s="1664"/>
      <c r="P264" s="1664"/>
    </row>
    <row customHeight="1" ht="25.5">
      <c r="A265" s="1821"/>
      <c r="B265" s="1821"/>
      <c r="D265" s="377"/>
      <c r="E265" s="133" t="s">
        <v>91</v>
      </c>
      <c r="F265"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5" s="2303"/>
      <c r="H265" s="2303"/>
      <c r="I265" s="2303"/>
      <c r="J265" s="2303"/>
      <c r="K265" s="2303"/>
      <c r="L265" s="2303"/>
      <c r="M265" s="285"/>
      <c r="N265" s="330"/>
    </row>
    <row s="2992" customFormat="1" customHeight="1" ht="60.75" hidden="1">
      <c r="A266" s="1821" t="s">
        <v>171</v>
      </c>
      <c r="B266" s="1821" t="s">
        <v>172</v>
      </c>
      <c r="C266" s="369"/>
      <c r="D266" s="2311"/>
      <c r="E266" s="2056"/>
      <c r="F266" s="2220"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266" t="str">
        <f>INDEX(PT_DIFFERENTIATION_NTAR,MATCH(B266,PT_DIFFERENTIATION_NTAR_ID,0))</f>
        <v/>
      </c>
      <c r="H266" s="1905"/>
      <c r="I266" s="1779"/>
      <c r="J266" s="1814"/>
      <c r="K266" s="1819"/>
      <c r="L266" s="1905" t="s">
        <v>351</v>
      </c>
      <c r="M26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330"/>
      <c r="O266" s="1664"/>
      <c r="P266" s="1664"/>
    </row>
    <row s="2992" customFormat="1" customHeight="1" ht="18.75" hidden="1">
      <c r="A267" s="1821"/>
      <c r="B267" s="1821"/>
      <c r="C267" s="369" t="s">
        <v>1124</v>
      </c>
      <c r="D267" s="2311"/>
      <c r="E267" s="2056"/>
      <c r="F267" s="2220"/>
      <c r="G267" s="2266"/>
      <c r="H267" s="1530"/>
      <c r="I267" s="657" t="s">
        <v>1123</v>
      </c>
      <c r="J267" s="577"/>
      <c r="K267" s="1530"/>
      <c r="L267" s="200"/>
      <c r="M267" s="2016"/>
      <c r="N267" s="330"/>
      <c r="O267" s="1664"/>
      <c r="P267" s="1664"/>
    </row>
    <row s="2992" customFormat="1" customHeight="1" ht="0.75" hidden="1">
      <c r="A268" s="1821"/>
      <c r="B268" s="1821"/>
      <c r="C268" s="369" t="s">
        <v>1131</v>
      </c>
      <c r="D268" s="2311"/>
      <c r="E268" s="2056"/>
      <c r="F268" s="2220"/>
      <c r="G268" s="406"/>
      <c r="H268" s="1530"/>
      <c r="I268" s="657"/>
      <c r="J268" s="577"/>
      <c r="K268" s="1530"/>
      <c r="L268" s="200"/>
      <c r="M268" s="2016"/>
      <c r="N268" s="330"/>
      <c r="O268" s="1664"/>
      <c r="P268" s="1664"/>
    </row>
    <row s="2992" customFormat="1" customHeight="1" ht="45" hidden="1">
      <c r="A269" s="1821" t="s">
        <v>177</v>
      </c>
      <c r="B269" s="1821" t="s">
        <v>178</v>
      </c>
      <c r="C269" s="369"/>
      <c r="D269" s="2311"/>
      <c r="E269" s="2056"/>
      <c r="F269" s="2220"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266" t="str">
        <f>INDEX(PT_DIFFERENTIATION_NTAR,MATCH(B269,PT_DIFFERENTIATION_NTAR_ID,0))</f>
        <v/>
      </c>
      <c r="H269" s="1905"/>
      <c r="I269" s="1779"/>
      <c r="J269" s="1814"/>
      <c r="K269" s="1819"/>
      <c r="L269" s="1905" t="s">
        <v>351</v>
      </c>
      <c r="M269" s="2017"/>
      <c r="N269" s="330"/>
      <c r="O269" s="1664"/>
      <c r="P269" s="1664"/>
    </row>
    <row s="2992" customFormat="1" customHeight="1" ht="18.75" hidden="1">
      <c r="A270" s="1821"/>
      <c r="B270" s="1821"/>
      <c r="C270" s="369" t="s">
        <v>1124</v>
      </c>
      <c r="D270" s="2311"/>
      <c r="E270" s="2056"/>
      <c r="F270" s="2220"/>
      <c r="G270" s="2266"/>
      <c r="H270" s="1530"/>
      <c r="I270" s="657" t="s">
        <v>1123</v>
      </c>
      <c r="J270" s="577"/>
      <c r="K270" s="1530"/>
      <c r="L270" s="200"/>
      <c r="M270" s="1904"/>
      <c r="N270" s="330"/>
      <c r="O270" s="1664"/>
      <c r="P270" s="1664"/>
    </row>
    <row s="2992" customFormat="1" customHeight="1" ht="0.75" hidden="1">
      <c r="A271" s="1821"/>
      <c r="B271" s="1821"/>
      <c r="C271" s="369" t="s">
        <v>1131</v>
      </c>
      <c r="D271" s="2311"/>
      <c r="E271" s="2056"/>
      <c r="F271" s="2220"/>
      <c r="G271" s="406"/>
      <c r="H271" s="1530"/>
      <c r="I271" s="657"/>
      <c r="J271" s="577"/>
      <c r="K271" s="1530"/>
      <c r="L271" s="200"/>
      <c r="M271" s="337"/>
      <c r="N271" s="330"/>
      <c r="O271" s="1664"/>
      <c r="P271" s="1664"/>
    </row>
    <row s="2992" customFormat="1" customHeight="1" ht="45" hidden="1">
      <c r="A272" s="1821" t="s">
        <v>186</v>
      </c>
      <c r="B272" s="1821" t="s">
        <v>187</v>
      </c>
      <c r="C272" s="369"/>
      <c r="D272" s="2311"/>
      <c r="E272" s="2056"/>
      <c r="F272" s="2220"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266" t="str">
        <f>INDEX(PT_DIFFERENTIATION_NTAR,MATCH(B272,PT_DIFFERENTIATION_NTAR_ID,0))</f>
        <v>Тариф на теплоноситель, поставляемый потребителям</v>
      </c>
      <c r="H272" s="1905"/>
      <c r="I272" s="1779"/>
      <c r="J272" s="1814"/>
      <c r="K272" s="1819"/>
      <c r="L272" s="1905" t="s">
        <v>351</v>
      </c>
      <c r="M272" s="337"/>
      <c r="N272" s="330"/>
      <c r="O272" s="1664"/>
      <c r="P272" s="1664"/>
    </row>
    <row s="2992" customFormat="1" customHeight="1" ht="18.75" hidden="1">
      <c r="A273" s="1821"/>
      <c r="B273" s="1821"/>
      <c r="C273" s="369" t="s">
        <v>1124</v>
      </c>
      <c r="D273" s="2311"/>
      <c r="E273" s="2056"/>
      <c r="F273" s="2220"/>
      <c r="G273" s="2266"/>
      <c r="H273" s="1530"/>
      <c r="I273" s="657" t="s">
        <v>1123</v>
      </c>
      <c r="J273" s="577"/>
      <c r="K273" s="1530"/>
      <c r="L273" s="200"/>
      <c r="M273" s="337"/>
      <c r="N273" s="330"/>
      <c r="O273" s="1664"/>
      <c r="P273" s="1664"/>
    </row>
    <row s="3429" customFormat="1" customHeight="1" ht="18.75">
      <c r="A274" s="4004" t="s">
        <v>186</v>
      </c>
      <c r="B274" s="4004" t="s">
        <v>213</v>
      </c>
      <c r="C274" s="6798"/>
      <c r="D274" s="6799"/>
      <c r="E274" s="6800"/>
      <c r="F274" s="6800"/>
      <c r="G274" s="6801" t="str">
        <f>INDEX(PT_DIFFERENTIATION_NTAR,MATCH(B274,PT_DIFFERENTIATION_NTAR_ID,0))</f>
        <v>Тарифы на теплоноситель, поставляемый группе потребителей "население"</v>
      </c>
      <c r="H274" s="3628"/>
      <c r="I274" s="6802"/>
      <c r="J274" s="6803"/>
      <c r="K274" s="6815"/>
      <c r="L274" s="3628" t="s">
        <v>351</v>
      </c>
      <c r="M274" s="6805"/>
      <c r="N274" s="6806"/>
      <c r="O274" s="3790"/>
      <c r="P274" s="3790"/>
      <c r="Q274" s="3429"/>
      <c r="R274" s="3429"/>
      <c r="S274" s="3429"/>
      <c r="T274" s="3429"/>
      <c r="U274" s="3429"/>
      <c r="V274" s="3429"/>
      <c r="W274" s="3429"/>
      <c r="X274" s="3429"/>
      <c r="Y274" s="3429"/>
      <c r="Z274" s="3429"/>
      <c r="AA274" s="3429"/>
      <c r="AB274" s="3429"/>
      <c r="AC274" s="3429"/>
      <c r="AD274" s="3429"/>
      <c r="AE274" s="3429"/>
      <c r="AF274" s="3429"/>
      <c r="AG274" s="3429"/>
    </row>
    <row s="3429" customFormat="1" customHeight="1" ht="18.75">
      <c r="A275" s="4004"/>
      <c r="B275" s="4004"/>
      <c r="C275" s="6798" t="s">
        <v>1124</v>
      </c>
      <c r="D275" s="6799"/>
      <c r="E275" s="6800"/>
      <c r="F275" s="6800"/>
      <c r="G275" s="6801"/>
      <c r="H275" s="6831"/>
      <c r="I275" s="6832" t="s">
        <v>1123</v>
      </c>
      <c r="J275" s="6833"/>
      <c r="K275" s="6834"/>
      <c r="L275" s="6835"/>
      <c r="M275" s="6805"/>
      <c r="N275" s="6806"/>
      <c r="O275" s="3790"/>
      <c r="P275" s="3790"/>
      <c r="Q275" s="3429"/>
      <c r="R275" s="3429"/>
      <c r="S275" s="3429"/>
      <c r="T275" s="3429"/>
      <c r="U275" s="3429"/>
      <c r="V275" s="3429"/>
      <c r="W275" s="3429"/>
      <c r="X275" s="3429"/>
      <c r="Y275" s="3429"/>
      <c r="Z275" s="3429"/>
      <c r="AA275" s="3429"/>
      <c r="AB275" s="3429"/>
      <c r="AC275" s="3429"/>
      <c r="AD275" s="3429"/>
      <c r="AE275" s="3429"/>
      <c r="AF275" s="3429"/>
      <c r="AG275" s="3429"/>
    </row>
    <row s="2992" customFormat="1" customHeight="1" ht="0.75" hidden="1">
      <c r="A276" s="1821"/>
      <c r="B276" s="1821"/>
      <c r="C276" s="369" t="s">
        <v>1131</v>
      </c>
      <c r="D276" s="2311"/>
      <c r="E276" s="2056"/>
      <c r="F276" s="2220"/>
      <c r="G276" s="406"/>
      <c r="H276" s="1530"/>
      <c r="I276" s="657"/>
      <c r="J276" s="577"/>
      <c r="K276" s="1530"/>
      <c r="L276" s="200"/>
      <c r="M276" s="337"/>
      <c r="N276" s="330"/>
      <c r="O276" s="1664"/>
      <c r="P276" s="1664"/>
    </row>
    <row s="2992" customFormat="1" customHeight="1" ht="45" hidden="1">
      <c r="A277" s="1821" t="s">
        <v>232</v>
      </c>
      <c r="B277" s="1821" t="s">
        <v>233</v>
      </c>
      <c r="C277" s="369"/>
      <c r="D277" s="2311"/>
      <c r="E277" s="2056"/>
      <c r="F277" s="2220" t="str">
        <f>INDEX(PT_DIFFERENTIATION_VTAR,MATCH(A277,PT_DIFFERENTIATION_VTAR_ID,0))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7" s="2266" t="str">
        <f>INDEX(PT_DIFFERENTIATION_NTAR,MATCH(B277,PT_DIFFERENTIATION_NTAR_ID,0))</f>
        <v/>
      </c>
      <c r="H277" s="1905"/>
      <c r="I277" s="1779"/>
      <c r="J277" s="1814"/>
      <c r="K277" s="1819"/>
      <c r="L277" s="1905" t="s">
        <v>351</v>
      </c>
      <c r="M277" s="337"/>
      <c r="N277" s="330"/>
      <c r="O277" s="1664"/>
      <c r="P277" s="1664"/>
    </row>
    <row s="2992" customFormat="1" customHeight="1" ht="18.75" hidden="1">
      <c r="A278" s="1821"/>
      <c r="B278" s="1821"/>
      <c r="C278" s="369" t="s">
        <v>1124</v>
      </c>
      <c r="D278" s="2311"/>
      <c r="E278" s="2056"/>
      <c r="F278" s="2220"/>
      <c r="G278" s="2266"/>
      <c r="H278" s="1530"/>
      <c r="I278" s="657" t="s">
        <v>1123</v>
      </c>
      <c r="J278" s="577"/>
      <c r="K278" s="1530"/>
      <c r="L278" s="200"/>
      <c r="M278" s="337"/>
      <c r="N278" s="330"/>
      <c r="O278" s="1664"/>
      <c r="P278" s="1664"/>
    </row>
    <row s="2992" customFormat="1" customHeight="1" ht="0.75" hidden="1">
      <c r="A279" s="1821"/>
      <c r="B279" s="1821"/>
      <c r="C279" s="369" t="s">
        <v>1131</v>
      </c>
      <c r="D279" s="2311"/>
      <c r="E279" s="2056"/>
      <c r="F279" s="2220"/>
      <c r="G279" s="406"/>
      <c r="H279" s="1530"/>
      <c r="I279" s="657"/>
      <c r="J279" s="577"/>
      <c r="K279" s="1530"/>
      <c r="L279" s="200"/>
      <c r="M279" s="337"/>
      <c r="N279" s="330"/>
      <c r="O279" s="1664"/>
      <c r="P279" s="1664"/>
    </row>
    <row s="2992" customFormat="1" customHeight="1" ht="18.75" hidden="1">
      <c r="A280" s="1821" t="s">
        <v>238</v>
      </c>
      <c r="B280" s="1821" t="s">
        <v>239</v>
      </c>
      <c r="C280" s="369"/>
      <c r="D280" s="2311"/>
      <c r="E280" s="2056"/>
      <c r="F280" s="2220" t="str">
        <f>INDEX(PT_DIFFERENTIATION_VTAR,MATCH(A280,PT_DIFFERENTIATION_VTAR_ID,0))</f>
        <v>Тарифы на услуги по передаче тепловой энергии</v>
      </c>
      <c r="G280" s="2266" t="str">
        <f>INDEX(PT_DIFFERENTIATION_NTAR,MATCH(B280,PT_DIFFERENTIATION_NTAR_ID,0))</f>
        <v/>
      </c>
      <c r="H280" s="1905"/>
      <c r="I280" s="1779"/>
      <c r="J280" s="1814"/>
      <c r="K280" s="1819"/>
      <c r="L280" s="1905" t="s">
        <v>351</v>
      </c>
      <c r="M280" s="337"/>
      <c r="N280" s="330"/>
      <c r="O280" s="1664"/>
      <c r="P280" s="1664"/>
    </row>
    <row s="2992" customFormat="1" customHeight="1" ht="18.75" hidden="1">
      <c r="A281" s="1821"/>
      <c r="B281" s="1821"/>
      <c r="C281" s="369" t="s">
        <v>1124</v>
      </c>
      <c r="D281" s="2311"/>
      <c r="E281" s="2056"/>
      <c r="F281" s="2220"/>
      <c r="G281" s="2266"/>
      <c r="H281" s="1530"/>
      <c r="I281" s="657" t="s">
        <v>1123</v>
      </c>
      <c r="J281" s="577"/>
      <c r="K281" s="1530"/>
      <c r="L281" s="200"/>
      <c r="M281" s="337"/>
      <c r="N281" s="330"/>
      <c r="O281" s="1664"/>
      <c r="P281" s="1664"/>
    </row>
    <row s="2992" customFormat="1" customHeight="1" ht="0.75" hidden="1">
      <c r="A282" s="1821"/>
      <c r="B282" s="1821"/>
      <c r="C282" s="369" t="s">
        <v>1131</v>
      </c>
      <c r="D282" s="2311"/>
      <c r="E282" s="2056"/>
      <c r="F282" s="2220"/>
      <c r="G282" s="406"/>
      <c r="H282" s="1530"/>
      <c r="I282" s="657"/>
      <c r="J282" s="577"/>
      <c r="K282" s="1530"/>
      <c r="L282" s="200"/>
      <c r="M282" s="337"/>
      <c r="N282" s="330"/>
      <c r="O282" s="1664"/>
      <c r="P282" s="1664"/>
    </row>
    <row s="2992" customFormat="1" customHeight="1" ht="18.75" hidden="1">
      <c r="A283" s="1821" t="s">
        <v>244</v>
      </c>
      <c r="B283" s="1821" t="s">
        <v>245</v>
      </c>
      <c r="C283" s="369"/>
      <c r="D283" s="2311"/>
      <c r="E283" s="2056"/>
      <c r="F283" s="2220" t="str">
        <f>INDEX(PT_DIFFERENTIATION_VTAR,MATCH(A283,PT_DIFFERENTIATION_VTAR_ID,0))</f>
        <v>Тарифы на услуги по передаче теплоносителя</v>
      </c>
      <c r="G283" s="2266" t="str">
        <f>INDEX(PT_DIFFERENTIATION_NTAR,MATCH(B283,PT_DIFFERENTIATION_NTAR_ID,0))</f>
        <v/>
      </c>
      <c r="H283" s="1905"/>
      <c r="I283" s="1779"/>
      <c r="J283" s="1814"/>
      <c r="K283" s="1819"/>
      <c r="L283" s="1905" t="s">
        <v>351</v>
      </c>
      <c r="M283" s="337"/>
      <c r="N283" s="330"/>
      <c r="O283" s="1664"/>
      <c r="P283" s="1664"/>
    </row>
    <row s="2992" customFormat="1" customHeight="1" ht="18.75" hidden="1">
      <c r="A284" s="1821"/>
      <c r="B284" s="1821"/>
      <c r="C284" s="369" t="s">
        <v>1124</v>
      </c>
      <c r="D284" s="2311"/>
      <c r="E284" s="2056"/>
      <c r="F284" s="2220"/>
      <c r="G284" s="2266"/>
      <c r="H284" s="1530"/>
      <c r="I284" s="657" t="s">
        <v>1123</v>
      </c>
      <c r="J284" s="577"/>
      <c r="K284" s="1530"/>
      <c r="L284" s="200"/>
      <c r="M284" s="337"/>
      <c r="N284" s="330"/>
      <c r="O284" s="1664"/>
      <c r="P284" s="1664"/>
    </row>
    <row s="2992" customFormat="1" customHeight="1" ht="0.75" hidden="1">
      <c r="A285" s="1821"/>
      <c r="B285" s="1821"/>
      <c r="C285" s="369" t="s">
        <v>1131</v>
      </c>
      <c r="D285" s="2311"/>
      <c r="E285" s="2056"/>
      <c r="F285" s="2220"/>
      <c r="G285" s="406"/>
      <c r="H285" s="1530"/>
      <c r="I285" s="657"/>
      <c r="J285" s="577"/>
      <c r="K285" s="1530"/>
      <c r="L285" s="200"/>
      <c r="M285" s="337"/>
      <c r="N285" s="330"/>
      <c r="O285" s="1664"/>
      <c r="P285" s="1664"/>
    </row>
    <row s="2992" customFormat="1" customHeight="1" ht="18.75" hidden="1">
      <c r="A286" s="1821" t="s">
        <v>250</v>
      </c>
      <c r="B286" s="1821" t="s">
        <v>251</v>
      </c>
      <c r="C286" s="369"/>
      <c r="D286" s="2311"/>
      <c r="E286" s="2056"/>
      <c r="F286" s="2220" t="str">
        <f>INDEX(PT_DIFFERENTIATION_VTAR,MATCH(A286,PT_DIFFERENTIATION_VTAR_ID,0))</f>
        <v>Плата за услуги по поддержанию резервной тепловой мощности при отсутствии потребления тепловой энергии</v>
      </c>
      <c r="G286" s="2266" t="str">
        <f>INDEX(PT_DIFFERENTIATION_NTAR,MATCH(B286,PT_DIFFERENTIATION_NTAR_ID,0))</f>
        <v/>
      </c>
      <c r="H286" s="1905"/>
      <c r="I286" s="1779"/>
      <c r="J286" s="1814"/>
      <c r="K286" s="1819"/>
      <c r="L286" s="1905" t="s">
        <v>351</v>
      </c>
      <c r="M286" s="337"/>
      <c r="N286" s="330"/>
      <c r="O286" s="1664"/>
      <c r="P286" s="1664"/>
    </row>
    <row s="2992" customFormat="1" customHeight="1" ht="18.75" hidden="1">
      <c r="A287" s="1821"/>
      <c r="B287" s="1821"/>
      <c r="C287" s="369" t="s">
        <v>1124</v>
      </c>
      <c r="D287" s="2311"/>
      <c r="E287" s="2056"/>
      <c r="F287" s="2220"/>
      <c r="G287" s="2266"/>
      <c r="H287" s="1530"/>
      <c r="I287" s="657" t="s">
        <v>1123</v>
      </c>
      <c r="J287" s="577"/>
      <c r="K287" s="1530"/>
      <c r="L287" s="200"/>
      <c r="M287" s="337"/>
      <c r="N287" s="330"/>
      <c r="O287" s="1664"/>
      <c r="P287" s="1664"/>
    </row>
    <row s="2992" customFormat="1" customHeight="1" ht="0.75" hidden="1">
      <c r="A288" s="1821"/>
      <c r="B288" s="1821"/>
      <c r="C288" s="369" t="s">
        <v>1131</v>
      </c>
      <c r="D288" s="2311"/>
      <c r="E288" s="2056"/>
      <c r="F288" s="2220"/>
      <c r="G288" s="406"/>
      <c r="H288" s="1530"/>
      <c r="I288" s="657"/>
      <c r="J288" s="577"/>
      <c r="K288" s="1530"/>
      <c r="L288" s="200"/>
      <c r="M288" s="337"/>
      <c r="N288" s="330"/>
      <c r="O288" s="1664"/>
      <c r="P288" s="1664"/>
    </row>
    <row s="2992" customFormat="1" customHeight="1" ht="18.75" hidden="1">
      <c r="A289" s="1821" t="s">
        <v>256</v>
      </c>
      <c r="B289" s="1821" t="s">
        <v>257</v>
      </c>
      <c r="C289" s="369"/>
      <c r="D289" s="2311"/>
      <c r="E289" s="2056"/>
      <c r="F289" s="2220" t="str">
        <f>INDEX(PT_DIFFERENTIATION_VTAR,MATCH(A289,PT_DIFFERENTIATION_VTAR_ID,0))</f>
        <v>Плата за подключение (технологическое присоединение) к системе теплоснабжения</v>
      </c>
      <c r="G289" s="2266" t="str">
        <f>INDEX(PT_DIFFERENTIATION_NTAR,MATCH(B289,PT_DIFFERENTIATION_NTAR_ID,0))</f>
        <v/>
      </c>
      <c r="H289" s="1905"/>
      <c r="I289" s="1779"/>
      <c r="J289" s="1814"/>
      <c r="K289" s="1819"/>
      <c r="L289" s="1905" t="s">
        <v>351</v>
      </c>
      <c r="M289" s="337"/>
      <c r="N289" s="330"/>
      <c r="O289" s="1664"/>
      <c r="P289" s="1664"/>
    </row>
    <row s="2992" customFormat="1" customHeight="1" ht="18.75" hidden="1">
      <c r="A290" s="1821"/>
      <c r="B290" s="1821"/>
      <c r="C290" s="369" t="s">
        <v>1124</v>
      </c>
      <c r="D290" s="2311"/>
      <c r="E290" s="2056"/>
      <c r="F290" s="2220"/>
      <c r="G290" s="2266"/>
      <c r="H290" s="1530"/>
      <c r="I290" s="657" t="s">
        <v>1123</v>
      </c>
      <c r="J290" s="577"/>
      <c r="K290" s="1530"/>
      <c r="L290" s="200"/>
      <c r="M290" s="337"/>
      <c r="N290" s="330"/>
      <c r="O290" s="1664"/>
      <c r="P290" s="1664"/>
    </row>
    <row s="2992" customFormat="1" customHeight="1" ht="0.75" hidden="1">
      <c r="A291" s="1821"/>
      <c r="B291" s="1821"/>
      <c r="C291" s="369" t="s">
        <v>1131</v>
      </c>
      <c r="D291" s="2311"/>
      <c r="E291" s="2056"/>
      <c r="F291" s="2220"/>
      <c r="G291" s="406"/>
      <c r="H291" s="1530"/>
      <c r="I291" s="657"/>
      <c r="J291" s="577"/>
      <c r="K291" s="1530"/>
      <c r="L291" s="200"/>
      <c r="M291" s="337"/>
      <c r="N291" s="330"/>
      <c r="O291" s="1664"/>
      <c r="P291" s="1664"/>
    </row>
    <row s="2992" customFormat="1" customHeight="1" ht="18.75" hidden="1">
      <c r="A292" s="1821" t="s">
        <v>270</v>
      </c>
      <c r="B292" s="1821" t="s">
        <v>271</v>
      </c>
      <c r="C292" s="369"/>
      <c r="D292" s="2311"/>
      <c r="E292" s="2056"/>
      <c r="F292" s="2220" t="str">
        <f>INDEX(PT_DIFFERENTIATION_VTAR,MATCH(A292,PT_DIFFERENTIATION_VTAR_ID,0))</f>
        <v>Тариф на питьевую воду (питьевое водоснабжение)</v>
      </c>
      <c r="G292" s="2266" t="str">
        <f>INDEX(PT_DIFFERENTIATION_NTAR,MATCH(B292,PT_DIFFERENTIATION_NTAR_ID,0))</f>
        <v/>
      </c>
      <c r="H292" s="1905"/>
      <c r="I292" s="1779"/>
      <c r="J292" s="1814"/>
      <c r="K292" s="1819"/>
      <c r="L292" s="1905" t="s">
        <v>351</v>
      </c>
      <c r="M292" s="337"/>
      <c r="N292" s="330"/>
      <c r="O292" s="1664"/>
      <c r="P292" s="1664"/>
    </row>
    <row s="2992" customFormat="1" customHeight="1" ht="18.75" hidden="1">
      <c r="A293" s="1821"/>
      <c r="B293" s="1821"/>
      <c r="C293" s="369" t="s">
        <v>1124</v>
      </c>
      <c r="D293" s="2311"/>
      <c r="E293" s="2056"/>
      <c r="F293" s="2220"/>
      <c r="G293" s="2266"/>
      <c r="H293" s="1530"/>
      <c r="I293" s="657" t="s">
        <v>1123</v>
      </c>
      <c r="J293" s="577"/>
      <c r="K293" s="1530"/>
      <c r="L293" s="200"/>
      <c r="M293" s="337"/>
      <c r="N293" s="330"/>
      <c r="O293" s="1664"/>
      <c r="P293" s="1664"/>
    </row>
    <row s="2992" customFormat="1" customHeight="1" ht="0.75" hidden="1">
      <c r="A294" s="1821"/>
      <c r="B294" s="1821"/>
      <c r="C294" s="369" t="s">
        <v>1131</v>
      </c>
      <c r="D294" s="2311"/>
      <c r="E294" s="2056"/>
      <c r="F294" s="2220"/>
      <c r="G294" s="406"/>
      <c r="H294" s="1530"/>
      <c r="I294" s="657"/>
      <c r="J294" s="577"/>
      <c r="K294" s="1530"/>
      <c r="L294" s="200"/>
      <c r="M294" s="337"/>
      <c r="N294" s="330"/>
      <c r="O294" s="1664"/>
      <c r="P294" s="1664"/>
    </row>
    <row s="2992" customFormat="1" customHeight="1" ht="18.75" hidden="1">
      <c r="A295" s="1821" t="s">
        <v>275</v>
      </c>
      <c r="B295" s="1821" t="s">
        <v>276</v>
      </c>
      <c r="C295" s="369"/>
      <c r="D295" s="2311"/>
      <c r="E295" s="2056"/>
      <c r="F295" s="2220" t="str">
        <f>INDEX(PT_DIFFERENTIATION_VTAR,MATCH(A295,PT_DIFFERENTIATION_VTAR_ID,0))</f>
        <v>Тариф на техническую воду</v>
      </c>
      <c r="G295" s="2266" t="str">
        <f>INDEX(PT_DIFFERENTIATION_NTAR,MATCH(B295,PT_DIFFERENTIATION_NTAR_ID,0))</f>
        <v/>
      </c>
      <c r="H295" s="1905"/>
      <c r="I295" s="1779"/>
      <c r="J295" s="1814"/>
      <c r="K295" s="1819"/>
      <c r="L295" s="1905" t="s">
        <v>351</v>
      </c>
      <c r="M295" s="337"/>
      <c r="N295" s="330"/>
      <c r="O295" s="1664"/>
      <c r="P295" s="1664"/>
    </row>
    <row s="2992" customFormat="1" customHeight="1" ht="18.75" hidden="1">
      <c r="A296" s="1821"/>
      <c r="B296" s="1821"/>
      <c r="C296" s="369" t="s">
        <v>1124</v>
      </c>
      <c r="D296" s="2311"/>
      <c r="E296" s="2056"/>
      <c r="F296" s="2220"/>
      <c r="G296" s="2266"/>
      <c r="H296" s="1530"/>
      <c r="I296" s="657" t="s">
        <v>1123</v>
      </c>
      <c r="J296" s="577"/>
      <c r="K296" s="1530"/>
      <c r="L296" s="200"/>
      <c r="M296" s="337"/>
      <c r="N296" s="330"/>
      <c r="O296" s="1664"/>
      <c r="P296" s="1664"/>
    </row>
    <row s="2992" customFormat="1" customHeight="1" ht="0.75" hidden="1">
      <c r="A297" s="1821"/>
      <c r="B297" s="1821"/>
      <c r="C297" s="369" t="s">
        <v>1131</v>
      </c>
      <c r="D297" s="2311"/>
      <c r="E297" s="2056"/>
      <c r="F297" s="2220"/>
      <c r="G297" s="406"/>
      <c r="H297" s="1530"/>
      <c r="I297" s="657"/>
      <c r="J297" s="577"/>
      <c r="K297" s="1530"/>
      <c r="L297" s="200"/>
      <c r="M297" s="337"/>
      <c r="N297" s="330"/>
      <c r="O297" s="1664"/>
      <c r="P297" s="1664"/>
    </row>
    <row s="2992" customFormat="1" customHeight="1" ht="18.75" hidden="1">
      <c r="A298" s="1821" t="s">
        <v>280</v>
      </c>
      <c r="B298" s="1821" t="s">
        <v>281</v>
      </c>
      <c r="C298" s="369"/>
      <c r="D298" s="2311"/>
      <c r="E298" s="2056"/>
      <c r="F298" s="2220" t="str">
        <f>INDEX(PT_DIFFERENTIATION_VTAR,MATCH(A298,PT_DIFFERENTIATION_VTAR_ID,0))</f>
        <v>Тариф на транспортировку воды</v>
      </c>
      <c r="G298" s="2266" t="str">
        <f>INDEX(PT_DIFFERENTIATION_NTAR,MATCH(B298,PT_DIFFERENTIATION_NTAR_ID,0))</f>
        <v/>
      </c>
      <c r="H298" s="1905"/>
      <c r="I298" s="1779"/>
      <c r="J298" s="1814"/>
      <c r="K298" s="1819"/>
      <c r="L298" s="1905" t="s">
        <v>351</v>
      </c>
      <c r="M298" s="337"/>
      <c r="N298" s="330"/>
      <c r="O298" s="1664"/>
      <c r="P298" s="1664"/>
    </row>
    <row s="2992" customFormat="1" customHeight="1" ht="18.75" hidden="1">
      <c r="A299" s="1821"/>
      <c r="B299" s="1821"/>
      <c r="C299" s="369" t="s">
        <v>1124</v>
      </c>
      <c r="D299" s="2311"/>
      <c r="E299" s="2056"/>
      <c r="F299" s="2220"/>
      <c r="G299" s="2266"/>
      <c r="H299" s="1530"/>
      <c r="I299" s="657" t="s">
        <v>1123</v>
      </c>
      <c r="J299" s="577"/>
      <c r="K299" s="1530"/>
      <c r="L299" s="200"/>
      <c r="M299" s="337"/>
      <c r="N299" s="330"/>
      <c r="O299" s="1664"/>
      <c r="P299" s="1664"/>
    </row>
    <row s="2992" customFormat="1" customHeight="1" ht="0.75" hidden="1">
      <c r="A300" s="1821"/>
      <c r="B300" s="1821"/>
      <c r="C300" s="369" t="s">
        <v>1131</v>
      </c>
      <c r="D300" s="2311"/>
      <c r="E300" s="2056"/>
      <c r="F300" s="2220"/>
      <c r="G300" s="406"/>
      <c r="H300" s="1530"/>
      <c r="I300" s="657"/>
      <c r="J300" s="577"/>
      <c r="K300" s="1530"/>
      <c r="L300" s="200"/>
      <c r="M300" s="337"/>
      <c r="N300" s="330"/>
      <c r="O300" s="1664"/>
      <c r="P300" s="1664"/>
    </row>
    <row s="2992" customFormat="1" customHeight="1" ht="18.75" hidden="1">
      <c r="A301" s="1821" t="s">
        <v>285</v>
      </c>
      <c r="B301" s="1821" t="s">
        <v>286</v>
      </c>
      <c r="C301" s="369"/>
      <c r="D301" s="2311"/>
      <c r="E301" s="2056"/>
      <c r="F301" s="2220" t="str">
        <f>INDEX(PT_DIFFERENTIATION_VTAR,MATCH(A301,PT_DIFFERENTIATION_VTAR_ID,0))</f>
        <v>Тариф на подвоз воды</v>
      </c>
      <c r="G301" s="2266" t="str">
        <f>INDEX(PT_DIFFERENTIATION_NTAR,MATCH(B301,PT_DIFFERENTIATION_NTAR_ID,0))</f>
        <v/>
      </c>
      <c r="H301" s="1905"/>
      <c r="I301" s="1779"/>
      <c r="J301" s="1814"/>
      <c r="K301" s="1819"/>
      <c r="L301" s="1905" t="s">
        <v>351</v>
      </c>
      <c r="M301" s="337"/>
      <c r="N301" s="330"/>
      <c r="O301" s="1664"/>
      <c r="P301" s="1664"/>
    </row>
    <row s="2992" customFormat="1" customHeight="1" ht="18.75" hidden="1">
      <c r="A302" s="1821"/>
      <c r="B302" s="1821"/>
      <c r="C302" s="369" t="s">
        <v>1124</v>
      </c>
      <c r="D302" s="2311"/>
      <c r="E302" s="2056"/>
      <c r="F302" s="2220"/>
      <c r="G302" s="2266"/>
      <c r="H302" s="1530"/>
      <c r="I302" s="657" t="s">
        <v>1123</v>
      </c>
      <c r="J302" s="577"/>
      <c r="K302" s="1530"/>
      <c r="L302" s="200"/>
      <c r="M302" s="337"/>
      <c r="N302" s="330"/>
      <c r="O302" s="1664"/>
      <c r="P302" s="1664"/>
    </row>
    <row s="2992" customFormat="1" customHeight="1" ht="0.75" hidden="1">
      <c r="A303" s="1821"/>
      <c r="B303" s="1821"/>
      <c r="C303" s="369" t="s">
        <v>1131</v>
      </c>
      <c r="D303" s="2311"/>
      <c r="E303" s="2056"/>
      <c r="F303" s="2220"/>
      <c r="G303" s="406"/>
      <c r="H303" s="1530"/>
      <c r="I303" s="657"/>
      <c r="J303" s="577"/>
      <c r="K303" s="1530"/>
      <c r="L303" s="200"/>
      <c r="M303" s="337"/>
      <c r="N303" s="330"/>
      <c r="O303" s="1664"/>
      <c r="P303" s="1664"/>
    </row>
    <row s="2992" customFormat="1" customHeight="1" ht="18.75" hidden="1">
      <c r="A304" s="1821" t="s">
        <v>290</v>
      </c>
      <c r="B304" s="1821" t="s">
        <v>291</v>
      </c>
      <c r="C304" s="369"/>
      <c r="D304" s="2311"/>
      <c r="E304" s="2056"/>
      <c r="F304" s="2220" t="str">
        <f>INDEX(PT_DIFFERENTIATION_VTAR,MATCH(A304,PT_DIFFERENTIATION_VTAR_ID,0))</f>
        <v>Тариф на подключение (технологическое присоединение) к централизованной системе холодного водоснабжения</v>
      </c>
      <c r="G304" s="2266" t="str">
        <f>INDEX(PT_DIFFERENTIATION_NTAR,MATCH(B304,PT_DIFFERENTIATION_NTAR_ID,0))</f>
        <v/>
      </c>
      <c r="H304" s="1905"/>
      <c r="I304" s="1779"/>
      <c r="J304" s="1814"/>
      <c r="K304" s="1819"/>
      <c r="L304" s="1905" t="s">
        <v>351</v>
      </c>
      <c r="M304" s="337"/>
      <c r="N304" s="330"/>
      <c r="O304" s="1664"/>
      <c r="P304" s="1664"/>
    </row>
    <row s="2992" customFormat="1" customHeight="1" ht="18.75" hidden="1">
      <c r="A305" s="1821"/>
      <c r="B305" s="1821"/>
      <c r="C305" s="369" t="s">
        <v>1124</v>
      </c>
      <c r="D305" s="2311"/>
      <c r="E305" s="2056"/>
      <c r="F305" s="2220"/>
      <c r="G305" s="2266"/>
      <c r="H305" s="1530"/>
      <c r="I305" s="657" t="s">
        <v>1123</v>
      </c>
      <c r="J305" s="577"/>
      <c r="K305" s="1530"/>
      <c r="L305" s="200"/>
      <c r="M305" s="337"/>
      <c r="N305" s="330"/>
      <c r="O305" s="1664"/>
      <c r="P305" s="1664"/>
    </row>
    <row s="2992" customFormat="1" customHeight="1" ht="0.75" hidden="1">
      <c r="A306" s="1821"/>
      <c r="B306" s="1821"/>
      <c r="C306" s="369" t="s">
        <v>1131</v>
      </c>
      <c r="D306" s="2311"/>
      <c r="E306" s="2056"/>
      <c r="F306" s="2220"/>
      <c r="G306" s="406"/>
      <c r="H306" s="1530"/>
      <c r="I306" s="657"/>
      <c r="J306" s="577"/>
      <c r="K306" s="1530"/>
      <c r="L306" s="200"/>
      <c r="M306" s="337"/>
      <c r="N306" s="330"/>
      <c r="O306" s="1664"/>
      <c r="P306" s="1664"/>
    </row>
    <row s="2992" customFormat="1" customHeight="1" ht="18.75" hidden="1">
      <c r="A307" s="1821" t="s">
        <v>295</v>
      </c>
      <c r="B307" s="1821" t="s">
        <v>296</v>
      </c>
      <c r="C307" s="369"/>
      <c r="D307" s="2311"/>
      <c r="E307" s="2056"/>
      <c r="F307" s="2220" t="str">
        <f>INDEX(PT_DIFFERENTIATION_VTAR,MATCH(A307,PT_DIFFERENTIATION_VTAR_ID,0))</f>
        <v>Тариф на горячую воду (горячее водоснабжение)</v>
      </c>
      <c r="G307" s="2266" t="str">
        <f>INDEX(PT_DIFFERENTIATION_NTAR,MATCH(B307,PT_DIFFERENTIATION_NTAR_ID,0))</f>
        <v/>
      </c>
      <c r="H307" s="1905"/>
      <c r="I307" s="1779"/>
      <c r="J307" s="1814"/>
      <c r="K307" s="1819"/>
      <c r="L307" s="1905" t="s">
        <v>351</v>
      </c>
      <c r="M307" s="337"/>
      <c r="N307" s="330"/>
      <c r="O307" s="1664"/>
      <c r="P307" s="1664"/>
    </row>
    <row s="2992" customFormat="1" customHeight="1" ht="18.75" hidden="1">
      <c r="A308" s="1821"/>
      <c r="B308" s="1821"/>
      <c r="C308" s="369" t="s">
        <v>1124</v>
      </c>
      <c r="D308" s="2311"/>
      <c r="E308" s="2056"/>
      <c r="F308" s="2220"/>
      <c r="G308" s="2266"/>
      <c r="H308" s="1530"/>
      <c r="I308" s="657" t="s">
        <v>1123</v>
      </c>
      <c r="J308" s="577"/>
      <c r="K308" s="1530"/>
      <c r="L308" s="200"/>
      <c r="M308" s="337"/>
      <c r="N308" s="330"/>
      <c r="O308" s="1664"/>
      <c r="P308" s="1664"/>
    </row>
    <row s="2992" customFormat="1" customHeight="1" ht="0.75" hidden="1">
      <c r="A309" s="1821"/>
      <c r="B309" s="1821"/>
      <c r="C309" s="369" t="s">
        <v>1131</v>
      </c>
      <c r="D309" s="2311"/>
      <c r="E309" s="2056"/>
      <c r="F309" s="2220"/>
      <c r="G309" s="406"/>
      <c r="H309" s="1530"/>
      <c r="I309" s="657"/>
      <c r="J309" s="577"/>
      <c r="K309" s="1530"/>
      <c r="L309" s="200"/>
      <c r="M309" s="337"/>
      <c r="N309" s="330"/>
      <c r="O309" s="1664"/>
      <c r="P309" s="1664"/>
    </row>
    <row s="2992" customFormat="1" customHeight="1" ht="18.75" hidden="1">
      <c r="A310" s="1821" t="s">
        <v>300</v>
      </c>
      <c r="B310" s="1821" t="s">
        <v>301</v>
      </c>
      <c r="C310" s="369"/>
      <c r="D310" s="2311"/>
      <c r="E310" s="2056"/>
      <c r="F310" s="2220" t="str">
        <f>INDEX(PT_DIFFERENTIATION_VTAR,MATCH(A310,PT_DIFFERENTIATION_VTAR_ID,0))</f>
        <v>Тариф на транспортировку горячей воды</v>
      </c>
      <c r="G310" s="2266" t="str">
        <f>INDEX(PT_DIFFERENTIATION_NTAR,MATCH(B310,PT_DIFFERENTIATION_NTAR_ID,0))</f>
        <v/>
      </c>
      <c r="H310" s="1905"/>
      <c r="I310" s="1779"/>
      <c r="J310" s="1814"/>
      <c r="K310" s="1819"/>
      <c r="L310" s="1905" t="s">
        <v>351</v>
      </c>
      <c r="M310" s="337"/>
      <c r="N310" s="330"/>
      <c r="O310" s="1664"/>
      <c r="P310" s="1664"/>
    </row>
    <row s="2992" customFormat="1" customHeight="1" ht="18.75" hidden="1">
      <c r="A311" s="1821"/>
      <c r="B311" s="1821"/>
      <c r="C311" s="369" t="s">
        <v>1124</v>
      </c>
      <c r="D311" s="2311"/>
      <c r="E311" s="2056"/>
      <c r="F311" s="2220"/>
      <c r="G311" s="2266"/>
      <c r="H311" s="1530"/>
      <c r="I311" s="657" t="s">
        <v>1123</v>
      </c>
      <c r="J311" s="577"/>
      <c r="K311" s="1530"/>
      <c r="L311" s="200"/>
      <c r="M311" s="337"/>
      <c r="N311" s="330"/>
      <c r="O311" s="1664"/>
      <c r="P311" s="1664"/>
    </row>
    <row s="2992" customFormat="1" customHeight="1" ht="0.75" hidden="1">
      <c r="A312" s="1821"/>
      <c r="B312" s="1821"/>
      <c r="C312" s="369" t="s">
        <v>1131</v>
      </c>
      <c r="D312" s="2311"/>
      <c r="E312" s="2056"/>
      <c r="F312" s="2220"/>
      <c r="G312" s="406"/>
      <c r="H312" s="1530"/>
      <c r="I312" s="657"/>
      <c r="J312" s="577"/>
      <c r="K312" s="1530"/>
      <c r="L312" s="200"/>
      <c r="M312" s="337"/>
      <c r="N312" s="330"/>
      <c r="O312" s="1664"/>
      <c r="P312" s="1664"/>
    </row>
    <row s="2992" customFormat="1" customHeight="1" ht="18.75" hidden="1">
      <c r="A313" s="1821" t="s">
        <v>305</v>
      </c>
      <c r="B313" s="1821" t="s">
        <v>306</v>
      </c>
      <c r="C313" s="369"/>
      <c r="D313" s="2311"/>
      <c r="E313" s="2056"/>
      <c r="F313" s="2220" t="str">
        <f>INDEX(PT_DIFFERENTIATION_VTAR,MATCH(A313,PT_DIFFERENTIATION_VTAR_ID,0))</f>
        <v>Тариф на подключение (технологическое присоединение) к централизованной системе горячего водоснабжения</v>
      </c>
      <c r="G313" s="2266" t="str">
        <f>INDEX(PT_DIFFERENTIATION_NTAR,MATCH(B313,PT_DIFFERENTIATION_NTAR_ID,0))</f>
        <v/>
      </c>
      <c r="H313" s="1905"/>
      <c r="I313" s="1779"/>
      <c r="J313" s="1814"/>
      <c r="K313" s="1819"/>
      <c r="L313" s="1905" t="s">
        <v>351</v>
      </c>
      <c r="M313" s="337"/>
      <c r="N313" s="330"/>
      <c r="O313" s="1664"/>
      <c r="P313" s="1664"/>
    </row>
    <row s="2992" customFormat="1" customHeight="1" ht="18.75" hidden="1">
      <c r="A314" s="1821"/>
      <c r="B314" s="1821"/>
      <c r="C314" s="369" t="s">
        <v>1124</v>
      </c>
      <c r="D314" s="2311"/>
      <c r="E314" s="2056"/>
      <c r="F314" s="2220"/>
      <c r="G314" s="2266"/>
      <c r="H314" s="1530"/>
      <c r="I314" s="657" t="s">
        <v>1123</v>
      </c>
      <c r="J314" s="577"/>
      <c r="K314" s="1530"/>
      <c r="L314" s="200"/>
      <c r="M314" s="337"/>
      <c r="N314" s="330"/>
      <c r="O314" s="1664"/>
      <c r="P314" s="1664"/>
    </row>
    <row s="2992" customFormat="1" customHeight="1" ht="0.75" hidden="1">
      <c r="A315" s="1821"/>
      <c r="B315" s="1821"/>
      <c r="C315" s="369" t="s">
        <v>1131</v>
      </c>
      <c r="D315" s="2311"/>
      <c r="E315" s="2056"/>
      <c r="F315" s="2220"/>
      <c r="G315" s="406"/>
      <c r="H315" s="1530"/>
      <c r="I315" s="657"/>
      <c r="J315" s="577"/>
      <c r="K315" s="1530"/>
      <c r="L315" s="200"/>
      <c r="M315" s="337"/>
      <c r="N315" s="330"/>
      <c r="O315" s="1664"/>
      <c r="P315" s="1664"/>
    </row>
    <row s="2992" customFormat="1" customHeight="1" ht="18.75" hidden="1">
      <c r="A316" s="1821" t="s">
        <v>310</v>
      </c>
      <c r="B316" s="1821" t="s">
        <v>311</v>
      </c>
      <c r="C316" s="369"/>
      <c r="D316" s="2311"/>
      <c r="E316" s="2056"/>
      <c r="F316" s="2220" t="str">
        <f>INDEX(PT_DIFFERENTIATION_VTAR,MATCH(A316,PT_DIFFERENTIATION_VTAR_ID,0))</f>
        <v>Тариф на водоотведение</v>
      </c>
      <c r="G316" s="2266" t="str">
        <f>INDEX(PT_DIFFERENTIATION_NTAR,MATCH(B316,PT_DIFFERENTIATION_NTAR_ID,0))</f>
        <v/>
      </c>
      <c r="H316" s="1905"/>
      <c r="I316" s="1779"/>
      <c r="J316" s="1814"/>
      <c r="K316" s="1819"/>
      <c r="L316" s="1905" t="s">
        <v>351</v>
      </c>
      <c r="M316" s="337"/>
      <c r="N316" s="330"/>
      <c r="O316" s="1664"/>
      <c r="P316" s="1664"/>
    </row>
    <row s="2992" customFormat="1" customHeight="1" ht="18.75" hidden="1">
      <c r="A317" s="1821"/>
      <c r="B317" s="1821"/>
      <c r="C317" s="369" t="s">
        <v>1124</v>
      </c>
      <c r="D317" s="2311"/>
      <c r="E317" s="2056"/>
      <c r="F317" s="2220"/>
      <c r="G317" s="2266"/>
      <c r="H317" s="1530"/>
      <c r="I317" s="657" t="s">
        <v>1123</v>
      </c>
      <c r="J317" s="577"/>
      <c r="K317" s="1530"/>
      <c r="L317" s="200"/>
      <c r="M317" s="337"/>
      <c r="N317" s="330"/>
      <c r="O317" s="1664"/>
      <c r="P317" s="1664"/>
    </row>
    <row s="2992" customFormat="1" customHeight="1" ht="0.75" hidden="1">
      <c r="A318" s="1821"/>
      <c r="B318" s="1821"/>
      <c r="C318" s="369" t="s">
        <v>1131</v>
      </c>
      <c r="D318" s="2311"/>
      <c r="E318" s="2056"/>
      <c r="F318" s="2220"/>
      <c r="G318" s="406"/>
      <c r="H318" s="1530"/>
      <c r="I318" s="657"/>
      <c r="J318" s="577"/>
      <c r="K318" s="1530"/>
      <c r="L318" s="200"/>
      <c r="M318" s="337"/>
      <c r="N318" s="330"/>
      <c r="O318" s="1664"/>
      <c r="P318" s="1664"/>
    </row>
    <row s="2992" customFormat="1" customHeight="1" ht="18.75" hidden="1">
      <c r="A319" s="1821" t="s">
        <v>315</v>
      </c>
      <c r="B319" s="1821" t="s">
        <v>316</v>
      </c>
      <c r="C319" s="369"/>
      <c r="D319" s="2311"/>
      <c r="E319" s="2056"/>
      <c r="F319" s="2220" t="str">
        <f>INDEX(PT_DIFFERENTIATION_VTAR,MATCH(A319,PT_DIFFERENTIATION_VTAR_ID,0))</f>
        <v>Тариф на транспортировку сточных вод</v>
      </c>
      <c r="G319" s="2266" t="str">
        <f>INDEX(PT_DIFFERENTIATION_NTAR,MATCH(B319,PT_DIFFERENTIATION_NTAR_ID,0))</f>
        <v/>
      </c>
      <c r="H319" s="1905"/>
      <c r="I319" s="1779"/>
      <c r="J319" s="1814"/>
      <c r="K319" s="1819"/>
      <c r="L319" s="1905" t="s">
        <v>351</v>
      </c>
      <c r="M319" s="337"/>
      <c r="N319" s="330"/>
      <c r="O319" s="1664"/>
      <c r="P319" s="1664"/>
    </row>
    <row s="2992" customFormat="1" customHeight="1" ht="18.75" hidden="1">
      <c r="A320" s="1821"/>
      <c r="B320" s="1821"/>
      <c r="C320" s="369" t="s">
        <v>1124</v>
      </c>
      <c r="D320" s="2311"/>
      <c r="E320" s="2056"/>
      <c r="F320" s="2220"/>
      <c r="G320" s="2266"/>
      <c r="H320" s="1530"/>
      <c r="I320" s="657" t="s">
        <v>1123</v>
      </c>
      <c r="J320" s="577"/>
      <c r="K320" s="1530"/>
      <c r="L320" s="200"/>
      <c r="M320" s="337"/>
      <c r="N320" s="330"/>
      <c r="O320" s="1664"/>
      <c r="P320" s="1664"/>
    </row>
    <row s="2992" customFormat="1" customHeight="1" ht="0.75" hidden="1">
      <c r="A321" s="1821"/>
      <c r="B321" s="1821"/>
      <c r="C321" s="369" t="s">
        <v>1131</v>
      </c>
      <c r="D321" s="2311"/>
      <c r="E321" s="2056"/>
      <c r="F321" s="2220"/>
      <c r="G321" s="406"/>
      <c r="H321" s="1530"/>
      <c r="I321" s="657"/>
      <c r="J321" s="577"/>
      <c r="K321" s="1530"/>
      <c r="L321" s="200"/>
      <c r="M321" s="337"/>
      <c r="N321" s="330"/>
      <c r="O321" s="1664"/>
      <c r="P321" s="1664"/>
    </row>
    <row s="2992" customFormat="1" customHeight="1" ht="18.75" hidden="1">
      <c r="A322" s="1821" t="s">
        <v>320</v>
      </c>
      <c r="B322" s="1821" t="s">
        <v>321</v>
      </c>
      <c r="C322" s="369"/>
      <c r="D322" s="2311"/>
      <c r="E322" s="2056"/>
      <c r="F322" s="2220" t="str">
        <f>INDEX(PT_DIFFERENTIATION_VTAR,MATCH(A322,PT_DIFFERENTIATION_VTAR_ID,0))</f>
        <v>Тариф на подключение (технологическое присоединение) к централизованной системе водоотведения</v>
      </c>
      <c r="G322" s="2266" t="str">
        <f>INDEX(PT_DIFFERENTIATION_NTAR,MATCH(B322,PT_DIFFERENTIATION_NTAR_ID,0))</f>
        <v/>
      </c>
      <c r="H322" s="1905"/>
      <c r="I322" s="1779"/>
      <c r="J322" s="1814"/>
      <c r="K322" s="1819"/>
      <c r="L322" s="1905" t="s">
        <v>351</v>
      </c>
      <c r="M322" s="337"/>
      <c r="N322" s="330"/>
      <c r="O322" s="1664"/>
      <c r="P322" s="1664"/>
    </row>
    <row s="2992" customFormat="1" customHeight="1" ht="18.75" hidden="1">
      <c r="A323" s="1821"/>
      <c r="B323" s="1821"/>
      <c r="C323" s="369" t="s">
        <v>1124</v>
      </c>
      <c r="D323" s="2311"/>
      <c r="E323" s="2056"/>
      <c r="F323" s="2220"/>
      <c r="G323" s="2266"/>
      <c r="H323" s="1530"/>
      <c r="I323" s="657" t="s">
        <v>1123</v>
      </c>
      <c r="J323" s="577"/>
      <c r="K323" s="1530"/>
      <c r="L323" s="200"/>
      <c r="M323" s="337"/>
      <c r="N323" s="330"/>
      <c r="O323" s="1664"/>
      <c r="P323" s="1664"/>
    </row>
    <row s="2992" customFormat="1" customHeight="1" ht="0.75">
      <c r="A324" s="1821"/>
      <c r="B324" s="1821"/>
      <c r="C324" s="369" t="s">
        <v>1131</v>
      </c>
      <c r="D324" s="2311"/>
      <c r="E324" s="2056"/>
      <c r="F324" s="2220"/>
      <c r="G324" s="406"/>
      <c r="H324" s="1530"/>
      <c r="I324" s="657"/>
      <c r="J324" s="577"/>
      <c r="K324" s="1530"/>
      <c r="L324" s="200"/>
      <c r="M324" s="337"/>
      <c r="N324" s="330"/>
      <c r="O324" s="1664"/>
      <c r="P324" s="1664"/>
    </row>
    <row s="6765" customFormat="1" customHeight="1" ht="3">
      <c r="A325" s="1821"/>
      <c r="B325" s="1821"/>
      <c r="C325" s="1822"/>
      <c r="E325" s="408"/>
      <c r="F325" s="408"/>
      <c r="G325" s="408"/>
      <c r="H325" s="408"/>
      <c r="I325" s="408"/>
      <c r="J325" s="408"/>
      <c r="K325" s="408"/>
      <c r="L325" s="408"/>
      <c r="M325" s="408"/>
      <c r="O325" s="182"/>
      <c r="P325" s="182"/>
    </row>
    <row customHeight="1" ht="24.75">
      <c r="E326" s="188"/>
      <c r="F326" s="2106"/>
      <c r="G326" s="2106"/>
      <c r="H326" s="2106"/>
      <c r="I326" s="2106"/>
      <c r="J326" s="2106"/>
      <c r="K326" s="2106"/>
      <c r="L326" s="2106"/>
      <c r="M326" s="2106"/>
    </row>
  </sheetData>
  <sheetProtection formatColumns="0" formatRows="0" autoFilter="0" sort="0" insertRows="0" insertColumns="1" deleteRows="0" deleteColumns="0"/>
  <mergeCells count="413">
    <mergeCell ref="G310:G311"/>
    <mergeCell ref="G313:G314"/>
    <mergeCell ref="G316:G317"/>
    <mergeCell ref="G319:G320"/>
    <mergeCell ref="G322:G323"/>
    <mergeCell ref="G266:G267"/>
    <mergeCell ref="G269:G270"/>
    <mergeCell ref="G272:G273"/>
    <mergeCell ref="G277:G278"/>
    <mergeCell ref="G280:G281"/>
    <mergeCell ref="G283:G284"/>
    <mergeCell ref="G286:G287"/>
    <mergeCell ref="G289:G290"/>
    <mergeCell ref="G292:G293"/>
    <mergeCell ref="G89:G90"/>
    <mergeCell ref="G92:G93"/>
    <mergeCell ref="G97:G98"/>
    <mergeCell ref="G100:G101"/>
    <mergeCell ref="G103:G104"/>
    <mergeCell ref="G106:G107"/>
    <mergeCell ref="G109:G110"/>
    <mergeCell ref="G112:G113"/>
    <mergeCell ref="G115:G116"/>
    <mergeCell ref="G59:G60"/>
    <mergeCell ref="G62:G63"/>
    <mergeCell ref="G65:G66"/>
    <mergeCell ref="G68:G69"/>
    <mergeCell ref="G71:G72"/>
    <mergeCell ref="G74:G75"/>
    <mergeCell ref="G77:G78"/>
    <mergeCell ref="G80:G81"/>
    <mergeCell ref="G86:G87"/>
    <mergeCell ref="D322:D324"/>
    <mergeCell ref="E322:E324"/>
    <mergeCell ref="F322:F324"/>
    <mergeCell ref="M266:M269"/>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F304:F306"/>
    <mergeCell ref="D307:D309"/>
    <mergeCell ref="E307:E309"/>
    <mergeCell ref="F307:F309"/>
    <mergeCell ref="D298:D300"/>
    <mergeCell ref="E298:E300"/>
    <mergeCell ref="F298:F300"/>
    <mergeCell ref="D301:D303"/>
    <mergeCell ref="E301:E303"/>
    <mergeCell ref="F301:F303"/>
    <mergeCell ref="G298:G299"/>
    <mergeCell ref="G301:G302"/>
    <mergeCell ref="G304:G305"/>
    <mergeCell ref="G307:G308"/>
    <mergeCell ref="F277:F279"/>
    <mergeCell ref="D292:D294"/>
    <mergeCell ref="E292:E294"/>
    <mergeCell ref="F292:F294"/>
    <mergeCell ref="D295:D297"/>
    <mergeCell ref="E295:E297"/>
    <mergeCell ref="F295:F297"/>
    <mergeCell ref="D286:D288"/>
    <mergeCell ref="E286:E288"/>
    <mergeCell ref="F286:F288"/>
    <mergeCell ref="D289:D291"/>
    <mergeCell ref="E289:E291"/>
    <mergeCell ref="F289:F291"/>
    <mergeCell ref="G295:G296"/>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41:D243"/>
    <mergeCell ref="E241:E243"/>
    <mergeCell ref="F241:F243"/>
    <mergeCell ref="D244:D246"/>
    <mergeCell ref="E244:E246"/>
    <mergeCell ref="F244:F246"/>
    <mergeCell ref="G241:G242"/>
    <mergeCell ref="G244:G245"/>
    <mergeCell ref="G247:G248"/>
    <mergeCell ref="G229:G230"/>
    <mergeCell ref="G232:G233"/>
    <mergeCell ref="G235:G236"/>
    <mergeCell ref="G238:G239"/>
    <mergeCell ref="D223:D225"/>
    <mergeCell ref="E223:E225"/>
    <mergeCell ref="F223:F225"/>
    <mergeCell ref="D226:D228"/>
    <mergeCell ref="E226:E228"/>
    <mergeCell ref="F226:F228"/>
    <mergeCell ref="G226:G227"/>
    <mergeCell ref="D235:D237"/>
    <mergeCell ref="E235:E237"/>
    <mergeCell ref="F235:F237"/>
    <mergeCell ref="D238:D240"/>
    <mergeCell ref="E238:E240"/>
    <mergeCell ref="F238:F240"/>
    <mergeCell ref="D229:D231"/>
    <mergeCell ref="E229:E231"/>
    <mergeCell ref="F229:F231"/>
    <mergeCell ref="D232:D234"/>
    <mergeCell ref="E232:E234"/>
    <mergeCell ref="F232:F234"/>
    <mergeCell ref="D217:D219"/>
    <mergeCell ref="E217:E219"/>
    <mergeCell ref="F217:F219"/>
    <mergeCell ref="D220:D222"/>
    <mergeCell ref="E220:E222"/>
    <mergeCell ref="F220:F222"/>
    <mergeCell ref="G217:G218"/>
    <mergeCell ref="G220:G221"/>
    <mergeCell ref="G223:G224"/>
    <mergeCell ref="G196:G197"/>
    <mergeCell ref="G202:G203"/>
    <mergeCell ref="G206:G207"/>
    <mergeCell ref="G209:G210"/>
    <mergeCell ref="G212:G213"/>
    <mergeCell ref="D196:D198"/>
    <mergeCell ref="E196:E198"/>
    <mergeCell ref="F196:F198"/>
    <mergeCell ref="D199:D201"/>
    <mergeCell ref="E199:E201"/>
    <mergeCell ref="F199:F201"/>
    <mergeCell ref="G199:G200"/>
    <mergeCell ref="D209:D211"/>
    <mergeCell ref="E209:E211"/>
    <mergeCell ref="F209:F211"/>
    <mergeCell ref="D212:D216"/>
    <mergeCell ref="E212:E216"/>
    <mergeCell ref="F212:F216"/>
    <mergeCell ref="D202:D204"/>
    <mergeCell ref="E202:E204"/>
    <mergeCell ref="F202:F204"/>
    <mergeCell ref="D206:D208"/>
    <mergeCell ref="E206:E208"/>
    <mergeCell ref="F206:F208"/>
    <mergeCell ref="E181:E183"/>
    <mergeCell ref="F181:F183"/>
    <mergeCell ref="D190:D192"/>
    <mergeCell ref="E190:E192"/>
    <mergeCell ref="F190:F192"/>
    <mergeCell ref="D193:D195"/>
    <mergeCell ref="E193:E195"/>
    <mergeCell ref="F193:F195"/>
    <mergeCell ref="G190:G191"/>
    <mergeCell ref="G193:G194"/>
    <mergeCell ref="G166:G167"/>
    <mergeCell ref="G169:G170"/>
    <mergeCell ref="G172:G173"/>
    <mergeCell ref="G178:G179"/>
    <mergeCell ref="G181:G182"/>
    <mergeCell ref="G184:G185"/>
    <mergeCell ref="G187:G188"/>
    <mergeCell ref="D172:D174"/>
    <mergeCell ref="E172:E174"/>
    <mergeCell ref="F172:F174"/>
    <mergeCell ref="D175:D177"/>
    <mergeCell ref="E175:E177"/>
    <mergeCell ref="F175:F177"/>
    <mergeCell ref="G175:G176"/>
    <mergeCell ref="D184:D186"/>
    <mergeCell ref="E184:E186"/>
    <mergeCell ref="F184:F186"/>
    <mergeCell ref="D187:D189"/>
    <mergeCell ref="E187:E189"/>
    <mergeCell ref="F187:F189"/>
    <mergeCell ref="D178:D180"/>
    <mergeCell ref="E178:E180"/>
    <mergeCell ref="F178:F180"/>
    <mergeCell ref="D181:D183"/>
    <mergeCell ref="E152:E156"/>
    <mergeCell ref="F152:F156"/>
    <mergeCell ref="D157:D159"/>
    <mergeCell ref="E157:E159"/>
    <mergeCell ref="F157:F159"/>
    <mergeCell ref="D166:D168"/>
    <mergeCell ref="E166:E168"/>
    <mergeCell ref="F166:F168"/>
    <mergeCell ref="D169:D171"/>
    <mergeCell ref="E169:E171"/>
    <mergeCell ref="F169:F171"/>
    <mergeCell ref="G163:G164"/>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60:D162"/>
    <mergeCell ref="E160:E162"/>
    <mergeCell ref="F160:F162"/>
    <mergeCell ref="D163:D165"/>
    <mergeCell ref="E163:E165"/>
    <mergeCell ref="F163:F165"/>
    <mergeCell ref="D152:D156"/>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71:D73"/>
    <mergeCell ref="E71:E73"/>
    <mergeCell ref="F71:F73"/>
    <mergeCell ref="F97:F99"/>
    <mergeCell ref="D100:D102"/>
    <mergeCell ref="E100:E102"/>
    <mergeCell ref="F100:F102"/>
    <mergeCell ref="D80:D82"/>
    <mergeCell ref="E80:E82"/>
    <mergeCell ref="F80:F82"/>
    <mergeCell ref="D86:D88"/>
    <mergeCell ref="E86:E88"/>
    <mergeCell ref="F86:F88"/>
    <mergeCell ref="D97:D99"/>
    <mergeCell ref="E97:E99"/>
    <mergeCell ref="F83:L83"/>
    <mergeCell ref="H84:I84"/>
    <mergeCell ref="F85:L85"/>
    <mergeCell ref="D74:D76"/>
    <mergeCell ref="E74:E76"/>
    <mergeCell ref="D77:D79"/>
    <mergeCell ref="E77:E79"/>
    <mergeCell ref="D92:D96"/>
    <mergeCell ref="E92:E96"/>
    <mergeCell ref="D47:D49"/>
    <mergeCell ref="E47:E49"/>
    <mergeCell ref="F47:F49"/>
    <mergeCell ref="D62:D64"/>
    <mergeCell ref="E62:E64"/>
    <mergeCell ref="F62:F64"/>
    <mergeCell ref="D65:D67"/>
    <mergeCell ref="E65:E67"/>
    <mergeCell ref="F65:F67"/>
    <mergeCell ref="D56:D58"/>
    <mergeCell ref="E56:E58"/>
    <mergeCell ref="F56:F58"/>
    <mergeCell ref="D59:D61"/>
    <mergeCell ref="E59:E61"/>
    <mergeCell ref="F59:F61"/>
    <mergeCell ref="D50:D52"/>
    <mergeCell ref="E50:E52"/>
    <mergeCell ref="D53:D55"/>
    <mergeCell ref="E53:E55"/>
    <mergeCell ref="G47:G48"/>
    <mergeCell ref="G50:G51"/>
    <mergeCell ref="G53:G54"/>
    <mergeCell ref="G56:G57"/>
    <mergeCell ref="M206:M209"/>
    <mergeCell ref="M86:M89"/>
    <mergeCell ref="F145:L145"/>
    <mergeCell ref="M146:M149"/>
    <mergeCell ref="F205:L205"/>
    <mergeCell ref="F50:F52"/>
    <mergeCell ref="F53:F55"/>
    <mergeCell ref="F74:F76"/>
    <mergeCell ref="F77:F79"/>
    <mergeCell ref="F89:F91"/>
    <mergeCell ref="F92:F96"/>
    <mergeCell ref="M24:M82"/>
    <mergeCell ref="G44:G45"/>
    <mergeCell ref="G127:G128"/>
    <mergeCell ref="G130:G131"/>
    <mergeCell ref="G133:G134"/>
    <mergeCell ref="G136:G137"/>
    <mergeCell ref="G152:G153"/>
    <mergeCell ref="G157:G158"/>
    <mergeCell ref="G160:G161"/>
    <mergeCell ref="D68:D70"/>
    <mergeCell ref="E68:E70"/>
    <mergeCell ref="F68:F70"/>
    <mergeCell ref="F326:M326"/>
    <mergeCell ref="F265:L265"/>
    <mergeCell ref="D266:D268"/>
    <mergeCell ref="E266:E268"/>
    <mergeCell ref="F266:F268"/>
    <mergeCell ref="D269:D271"/>
    <mergeCell ref="E269:E271"/>
    <mergeCell ref="F269:F271"/>
    <mergeCell ref="D272:D276"/>
    <mergeCell ref="D280:D282"/>
    <mergeCell ref="E280:E282"/>
    <mergeCell ref="F280:F282"/>
    <mergeCell ref="D283:D285"/>
    <mergeCell ref="E283:E285"/>
    <mergeCell ref="F283:F285"/>
    <mergeCell ref="E272:E276"/>
    <mergeCell ref="F272:F276"/>
    <mergeCell ref="D277:D279"/>
    <mergeCell ref="E277:E279"/>
    <mergeCell ref="D89:D91"/>
    <mergeCell ref="E89:E91"/>
    <mergeCell ref="D44:D46"/>
    <mergeCell ref="E44:E46"/>
    <mergeCell ref="F44:F46"/>
    <mergeCell ref="D27:D29"/>
    <mergeCell ref="E27:E29"/>
    <mergeCell ref="F27:F29"/>
    <mergeCell ref="D30:D34"/>
    <mergeCell ref="E30:E34"/>
    <mergeCell ref="F30:F34"/>
    <mergeCell ref="D35:D37"/>
    <mergeCell ref="E35:E37"/>
    <mergeCell ref="F35:F37"/>
    <mergeCell ref="G27:G28"/>
    <mergeCell ref="G30:G31"/>
    <mergeCell ref="G35:G36"/>
    <mergeCell ref="G38:G39"/>
    <mergeCell ref="G41:G42"/>
    <mergeCell ref="D38:D40"/>
    <mergeCell ref="E38:E40"/>
    <mergeCell ref="F38:F40"/>
    <mergeCell ref="D41:D43"/>
    <mergeCell ref="E41:E43"/>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32:G33"/>
    <mergeCell ref="G94:G95"/>
    <mergeCell ref="G154:G155"/>
    <mergeCell ref="G214:G215"/>
    <mergeCell ref="G274:G275"/>
  </mergeCells>
  <dataValidations count="4">
    <dataValidation type="decimal" allowBlank="1" showErrorMessage="1" errorTitle="Ошибка" error="Допускается ввод только действительных чисел!" sqref="K206 K209 K212 K217 K220 K223 K226 K229 K232 K235 K238 K241 K244 K247 K250 K253 K256 K259 K10 K86 K139 K136 K133 K130 K127 K124 K121 K118 K115 K112 K109 K106 K103 K100 K97 K92 K89 K146 K142 K149 K152 K157 K160 K163 K166 K169 K172 K175 K178 K181 K184 K190 K193 K196 K199 K202 K187 K262 K266 K269 K272 K277 K280 K283 K286 K289 K292 K295 K298 K301 K304 K307 K310 K313 K316 K319 K322 K5 K94 K154 K214 K27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0:J30 I35:J35 I38:J38 I44:J44 I47:J47 I50:J50 I53:J53 I56:J56 I59:J59 I62:J62 I65:J65 I68:J68 I71:J71 I74:J74 I77:J77 I206:J206 I209:J209 I212:J212 I217:J217 I220:J220 I223:J223 I226:J226 I229:J229 I232:J232 I235:J235 I238:J238 I241:J241 I244:J244 I247:J247 I250:J250 I253:J253 I256:J256 I8:J8 I80:J80 I142:J142 I89:J89 I92:J92 I97:J97 I100:J100 I103:J103 I106:J106 I109:J109 I112:J112 I115:J115 I118:J118 I121:J121 I124:J124 I127:J127 I130:J130 I133:J133 I136:J136 I139:J139 I146:J146 I86:J86 I149:J149 I152:J152 I157:J157 I160:J160 I163:J163 I166:J166 I169:J169 I172:J172 I175:J175 I178:J178 I181:J181 I184:J184 I190:J190 I193:J193 I196:J196 I199:J199 I202:J202 I187:J187 I259:J259 I262:J262 I266:J266 I269:J269 I272:J272 I277:J277 I280:J280 I283:J283 I286:J286 I289:J289 I292:J292 I295:J295 I298:J298 I301:J301 I304:J304 I307:J307 I310:J310 I313:J313 I316:J316 I319:J319 I322:J322 I2:J2 I5:J5 I32 J32 I94 J94 I154 J154 I214 J214 I274 J27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4CF4A-3AA7-9CD7-29B2-F1E988AEA701}"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852" width="9.140625" hidden="1" customWidth="1"/>
    <col min="2" max="2" style="6716" width="9.140625" hidden="1" customWidth="1"/>
    <col min="3" max="3" style="3409" width="3.7109375" customWidth="1"/>
    <col min="4" max="4" style="6839" width="6.28125" customWidth="1"/>
    <col min="5" max="5" style="6839" width="53.8515625" customWidth="1"/>
    <col min="6" max="7" style="6839" width="35.7109375" customWidth="1"/>
    <col min="8" max="8" style="6839" width="89.57421875" customWidth="1"/>
    <col min="9" max="9" style="6839" width="10.57421875"/>
    <col min="10" max="11" style="6719" width="10.57421875"/>
    <col min="12" max="17" style="6839" width="10.57421875"/>
  </cols>
  <sheetData>
    <row customHeight="1" ht="14.25" hidden="1">
      <c r="N1" s="241"/>
      <c r="O1" s="241"/>
      <c r="Q1" s="241"/>
    </row>
    <row s="2992" customFormat="1" customHeight="1" ht="18.75" hidden="1">
      <c r="A2" s="88"/>
      <c r="B2" s="1168"/>
      <c r="C2" s="1770" t="s">
        <v>103</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92" customFormat="1" customHeight="1" ht="17.25">
      <c r="A6" s="1709"/>
      <c r="B6" s="1168"/>
      <c r="C6" s="377"/>
      <c r="D6" s="2299" t="str">
        <f>IF(org=0,"Не определено",org)</f>
        <v>АО "Мурманэнергосбыт"</v>
      </c>
      <c r="E6" s="2300"/>
      <c r="F6" s="2300"/>
      <c r="G6" s="2301"/>
      <c r="H6" s="252"/>
      <c r="J6" s="1664"/>
      <c r="K6" s="1664"/>
    </row>
    <row customHeight="1" ht="14.25">
      <c r="C7" s="377"/>
      <c r="D7" s="361"/>
      <c r="E7" s="395"/>
      <c r="F7" s="395"/>
      <c r="G7" s="758"/>
      <c r="H7" s="179"/>
    </row>
    <row customHeight="1" ht="14.25">
      <c r="C8" s="377"/>
      <c r="D8" s="2062" t="s">
        <v>345</v>
      </c>
      <c r="E8" s="2062"/>
      <c r="F8" s="2062"/>
      <c r="G8" s="2062"/>
      <c r="H8" s="2302" t="s">
        <v>346</v>
      </c>
    </row>
    <row customHeight="1" ht="14.25">
      <c r="C9" s="377"/>
      <c r="D9" s="392" t="s">
        <v>87</v>
      </c>
      <c r="E9" s="94" t="s">
        <v>347</v>
      </c>
      <c r="F9" s="94" t="s">
        <v>348</v>
      </c>
      <c r="G9" s="94" t="s">
        <v>437</v>
      </c>
      <c r="H9" s="2302"/>
    </row>
    <row customHeight="1" ht="14.25">
      <c r="A10" s="339"/>
      <c r="C10" s="377"/>
      <c r="D10" s="133" t="s">
        <v>128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1132</v>
      </c>
    </row>
    <row customHeight="1" ht="14.25">
      <c r="A11" s="339"/>
      <c r="C11" s="377"/>
      <c r="D11" s="133" t="s">
        <v>102</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1076</v>
      </c>
      <c r="F14" s="345"/>
      <c r="G14" s="187"/>
      <c r="H14" s="2017"/>
    </row>
    <row s="2992"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B948B-69A7-9C32-F27F-EDB7BDDB5D1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91" width="9.140625" hidden="1" customWidth="1"/>
    <col min="2" max="2" style="3193" width="9.140625" hidden="1" customWidth="1"/>
    <col min="3" max="3" style="6494" width="4.7109375" customWidth="1"/>
    <col min="4" max="4" style="3193" width="6.28125" customWidth="1"/>
    <col min="5" max="5" style="3193" width="47.8515625" customWidth="1"/>
    <col min="6" max="6" style="3193" width="9.57421875" customWidth="1"/>
    <col min="7" max="7" style="2624" width="25.7109375" hidden="1" customWidth="1"/>
    <col min="8" max="8" style="2624" width="34.00390625" hidden="1" customWidth="1"/>
    <col min="9" max="9" style="3193" width="25.7109375" customWidth="1"/>
    <col min="10" max="10" style="3193" width="34.00390625" customWidth="1"/>
    <col min="11" max="11" style="2625" width="50.8515625" customWidth="1"/>
    <col min="12" max="20" style="3193" width="10.57421875"/>
    <col min="21" max="21" style="6428"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1133</v>
      </c>
      <c r="E5" s="2085"/>
      <c r="F5" s="2085"/>
      <c r="G5" s="2085"/>
      <c r="H5" s="2085"/>
      <c r="I5" s="2085"/>
      <c r="J5" s="2085"/>
    </row>
    <row customHeight="1" ht="15">
      <c r="C6" s="162"/>
      <c r="D6" s="2053" t="str">
        <f>IF(org=0,"Не определено",org)</f>
        <v>АО "Мурманэнергосбыт"</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134</v>
      </c>
      <c r="J8" s="758"/>
      <c r="K8" s="423"/>
      <c r="U8" s="681"/>
    </row>
    <row customHeight="1" ht="15">
      <c r="C9" s="162"/>
      <c r="D9" s="717"/>
      <c r="E9" s="2213" t="s">
        <v>124</v>
      </c>
      <c r="F9" s="2214"/>
      <c r="G9" s="2236" t="str">
        <f>IF(G8="","",INDEX(DIFFERENTIATION_UNMERGE_VD,MATCH(G8,DIFFERENTIATION_ID_DIFF,0)))</f>
        <v/>
      </c>
      <c r="H9" s="2237"/>
      <c r="I9" s="2236">
        <f>IF(I8="","",INDEX(DIFFERENTIATION_UNMERGE_VD,MATCH(I8,DIFFERENTIATION_ID_DIFF,0)))</f>
        <v>0</v>
      </c>
      <c r="J9" s="2237"/>
      <c r="K9" s="2028" t="s">
        <v>346</v>
      </c>
    </row>
    <row s="2624" customFormat="1" customHeight="1" ht="15">
      <c r="A10" s="765"/>
      <c r="C10" s="162"/>
      <c r="D10" s="717"/>
      <c r="E10" s="2213" t="s">
        <v>603</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604</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345</v>
      </c>
      <c r="E12" s="2216"/>
      <c r="F12" s="2216"/>
      <c r="G12" s="893"/>
      <c r="H12" s="893"/>
      <c r="I12" s="893"/>
      <c r="J12" s="893"/>
      <c r="K12" s="2036"/>
      <c r="U12" s="681"/>
    </row>
    <row customHeight="1" ht="33.75">
      <c r="C13" s="162"/>
      <c r="D13" s="811" t="s">
        <v>87</v>
      </c>
      <c r="E13" s="813" t="s">
        <v>347</v>
      </c>
      <c r="F13" s="813" t="s">
        <v>605</v>
      </c>
      <c r="G13" s="814" t="s">
        <v>348</v>
      </c>
      <c r="H13" s="813" t="s">
        <v>437</v>
      </c>
      <c r="I13" s="814" t="s">
        <v>348</v>
      </c>
      <c r="J13" s="813" t="s">
        <v>437</v>
      </c>
      <c r="K13" s="2090"/>
    </row>
    <row customHeight="1" ht="15" hidden="1">
      <c r="C14" s="162"/>
      <c r="D14" s="599" t="s">
        <v>128</v>
      </c>
      <c r="E14" s="599" t="s">
        <v>102</v>
      </c>
      <c r="F14" s="599" t="s">
        <v>89</v>
      </c>
      <c r="G14" s="665" t="str">
        <f>G1&amp;".1"</f>
        <v>4.1</v>
      </c>
      <c r="H14" s="665"/>
      <c r="I14" s="665" t="str">
        <f>I1&amp;".1"</f>
        <v>4.1</v>
      </c>
      <c r="J14" s="665"/>
      <c r="K14" s="277"/>
    </row>
    <row customHeight="1" ht="22.5" hidden="1">
      <c r="A15" s="511"/>
      <c r="C15" s="532"/>
      <c r="D15" s="527">
        <v>1</v>
      </c>
      <c r="E15" s="683" t="s">
        <v>762</v>
      </c>
      <c r="F15" s="527" t="s">
        <v>763</v>
      </c>
      <c r="G15" s="684"/>
      <c r="H15" s="684"/>
      <c r="I15" s="684"/>
      <c r="J15" s="684"/>
      <c r="K15" s="277" t="s">
        <v>764</v>
      </c>
    </row>
    <row customHeight="1" ht="22.5" hidden="1">
      <c r="A16" s="511"/>
      <c r="C16" s="532"/>
      <c r="D16" s="527">
        <v>2</v>
      </c>
      <c r="E16" s="267" t="s">
        <v>765</v>
      </c>
      <c r="F16" s="527" t="s">
        <v>766</v>
      </c>
      <c r="G16" s="684"/>
      <c r="H16" s="684"/>
      <c r="I16" s="684"/>
      <c r="J16" s="684"/>
      <c r="K16" s="277" t="s">
        <v>767</v>
      </c>
    </row>
    <row customHeight="1" ht="123.75" hidden="1">
      <c r="A17" s="511"/>
      <c r="C17" s="532"/>
      <c r="D17" s="527">
        <v>3</v>
      </c>
      <c r="E17" s="267" t="s">
        <v>1134</v>
      </c>
      <c r="F17" s="527" t="s">
        <v>351</v>
      </c>
      <c r="G17" s="684"/>
      <c r="H17" s="684"/>
      <c r="I17" s="684"/>
      <c r="J17" s="684"/>
      <c r="K17" s="277" t="s">
        <v>1135</v>
      </c>
    </row>
    <row customHeight="1" ht="45">
      <c r="A18" s="511"/>
      <c r="C18" s="532"/>
      <c r="D18" s="527">
        <v>4</v>
      </c>
      <c r="E18" s="267" t="s">
        <v>768</v>
      </c>
      <c r="F18" s="527" t="s">
        <v>351</v>
      </c>
      <c r="G18" s="815" t="s">
        <v>351</v>
      </c>
      <c r="H18" s="816" t="s">
        <v>351</v>
      </c>
      <c r="I18" s="527" t="s">
        <v>351</v>
      </c>
      <c r="J18" s="584" t="s">
        <v>351</v>
      </c>
      <c r="K18" s="277" t="s">
        <v>1136</v>
      </c>
    </row>
    <row customHeight="1" ht="33.75">
      <c r="A19" s="511"/>
      <c r="C19" s="532"/>
      <c r="D19" s="545" t="s">
        <v>706</v>
      </c>
      <c r="E19" s="565" t="s">
        <v>770</v>
      </c>
      <c r="F19" s="527" t="s">
        <v>771</v>
      </c>
      <c r="G19" s="823"/>
      <c r="H19" s="92"/>
      <c r="I19" s="823"/>
      <c r="J19" s="824"/>
      <c r="K19" s="685"/>
    </row>
    <row customHeight="1" ht="33.75">
      <c r="A20" s="511"/>
      <c r="C20" s="532"/>
      <c r="D20" s="545" t="s">
        <v>749</v>
      </c>
      <c r="E20" s="565" t="s">
        <v>772</v>
      </c>
      <c r="F20" s="527" t="s">
        <v>773</v>
      </c>
      <c r="G20" s="823"/>
      <c r="H20" s="92"/>
      <c r="I20" s="823"/>
      <c r="J20" s="92"/>
      <c r="K20" s="685"/>
    </row>
    <row customHeight="1" ht="45">
      <c r="A21" s="511"/>
      <c r="C21" s="532"/>
      <c r="D21" s="545" t="s">
        <v>752</v>
      </c>
      <c r="E21" s="565" t="s">
        <v>774</v>
      </c>
      <c r="F21" s="527" t="s">
        <v>610</v>
      </c>
      <c r="G21" s="686"/>
      <c r="H21" s="92"/>
      <c r="I21" s="686"/>
      <c r="J21" s="92"/>
      <c r="K21" s="685"/>
    </row>
    <row customHeight="1" ht="67.5" hidden="1">
      <c r="A22" s="511"/>
      <c r="C22" s="532"/>
      <c r="D22" s="527">
        <v>5</v>
      </c>
      <c r="E22" s="267" t="s">
        <v>1137</v>
      </c>
      <c r="F22" s="527" t="s">
        <v>597</v>
      </c>
      <c r="G22" s="687"/>
      <c r="H22" s="688"/>
      <c r="I22" s="687"/>
      <c r="J22" s="688"/>
      <c r="K22" s="277" t="s">
        <v>1138</v>
      </c>
    </row>
    <row customHeight="1" ht="33.75" hidden="1">
      <c r="C23" s="457"/>
      <c r="D23" s="527">
        <v>6</v>
      </c>
      <c r="E23" s="267" t="s">
        <v>1139</v>
      </c>
      <c r="F23" s="527" t="s">
        <v>1140</v>
      </c>
      <c r="G23" s="687"/>
      <c r="H23" s="687"/>
      <c r="I23" s="687"/>
      <c r="J23" s="687"/>
      <c r="K23" s="277" t="s">
        <v>1141</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91A17-D06A-6E07-0376-D175019F5C39}"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6866" width="9.140625" hidden="1"/>
    <col min="2" max="2" style="6867" width="9.140625" hidden="1"/>
    <col min="3" max="3" style="6868" width="3.7109375" customWidth="1"/>
    <col min="4" max="4" style="6880" width="7.00390625" customWidth="1"/>
    <col min="5" max="5" style="6880" width="23.140625" customWidth="1"/>
    <col min="6" max="6" style="6880" width="16.00390625" customWidth="1"/>
    <col min="7" max="7" style="6880" width="14.8515625" customWidth="1"/>
    <col min="8" max="8" style="6880" width="47.8515625" customWidth="1"/>
    <col min="9" max="9" style="6880" width="115.7109375" customWidth="1"/>
    <col min="10" max="10" style="6880" width="3.7109375" customWidth="1"/>
    <col min="11" max="12" style="6880" width="9.140625"/>
  </cols>
  <sheetData>
    <row customHeight="1" ht="14.25" hidden="1"/>
    <row customHeight="1" ht="14.25" hidden="1"/>
    <row customHeight="1" ht="14.25" hidden="1"/>
    <row customHeight="1" ht="3"/>
    <row s="2698" customFormat="1" customHeight="1" ht="30">
      <c r="A5" s="101"/>
      <c r="C5" s="75"/>
      <c r="D5" s="1954" t="s">
        <v>1142</v>
      </c>
      <c r="E5" s="1954"/>
      <c r="F5" s="1954"/>
      <c r="G5" s="1954"/>
      <c r="H5" s="1954"/>
      <c r="I5" s="251"/>
    </row>
    <row customHeight="1" ht="3" hidden="1">
      <c r="D6" s="108"/>
      <c r="E6" s="108"/>
      <c r="F6" s="108"/>
      <c r="G6" s="108"/>
      <c r="H6" s="108"/>
      <c r="I6" s="108"/>
    </row>
    <row s="6866" customFormat="1" customHeight="1" ht="14.25">
      <c r="B7" s="105"/>
      <c r="C7" s="106"/>
      <c r="D7" s="109"/>
      <c r="E7" s="109"/>
      <c r="F7" s="109"/>
      <c r="G7" s="109"/>
      <c r="H7" s="758"/>
      <c r="I7" s="109"/>
      <c r="J7" s="110"/>
    </row>
    <row customHeight="1" ht="14.25">
      <c r="D8" s="2062" t="s">
        <v>345</v>
      </c>
      <c r="E8" s="2062"/>
      <c r="F8" s="2062"/>
      <c r="G8" s="2062"/>
      <c r="H8" s="2062"/>
      <c r="I8" s="2062" t="s">
        <v>346</v>
      </c>
    </row>
    <row customHeight="1" ht="27.75">
      <c r="D9" s="2062" t="s">
        <v>87</v>
      </c>
      <c r="E9" s="2062" t="s">
        <v>1143</v>
      </c>
      <c r="F9" s="2062"/>
      <c r="G9" s="2062"/>
      <c r="H9" s="2062"/>
      <c r="I9" s="2062"/>
    </row>
    <row customHeight="1" ht="22.5">
      <c r="D10" s="2062"/>
      <c r="E10" s="113" t="s">
        <v>1144</v>
      </c>
      <c r="F10" s="113" t="s">
        <v>1145</v>
      </c>
      <c r="G10" s="113" t="s">
        <v>1146</v>
      </c>
      <c r="H10" s="113" t="s">
        <v>437</v>
      </c>
      <c r="I10" s="2062"/>
    </row>
    <row customHeight="1" ht="12" hidden="1">
      <c r="D11" s="72" t="s">
        <v>128</v>
      </c>
      <c r="E11" s="72" t="s">
        <v>90</v>
      </c>
      <c r="F11" s="72" t="s">
        <v>116</v>
      </c>
      <c r="G11" s="72" t="s">
        <v>91</v>
      </c>
      <c r="H11" s="72" t="s">
        <v>92</v>
      </c>
      <c r="I11" s="72" t="s">
        <v>129</v>
      </c>
    </row>
    <row s="6872" customFormat="1" customHeight="1" ht="24.75">
      <c r="A12" s="131" t="s">
        <v>89</v>
      </c>
      <c r="B12" s="111" t="s">
        <v>24</v>
      </c>
      <c r="C12" s="112"/>
      <c r="D12" s="114" t="s">
        <v>128</v>
      </c>
      <c r="E12" s="387"/>
      <c r="F12" s="387"/>
      <c r="G12" s="1774" t="s">
        <v>24</v>
      </c>
      <c r="H12" s="388"/>
      <c r="I12" s="2015" t="s">
        <v>1147</v>
      </c>
      <c r="K12" s="258"/>
      <c r="L12" s="259"/>
    </row>
    <row customHeight="1" ht="15">
      <c r="A13" s="107"/>
      <c r="B13" s="107"/>
      <c r="C13" s="107"/>
      <c r="D13" s="95"/>
      <c r="E13" s="116" t="s">
        <v>514</v>
      </c>
      <c r="F13" s="115"/>
      <c r="G13" s="115"/>
      <c r="H13" s="200"/>
      <c r="I13" s="2017"/>
    </row>
    <row customHeight="1" ht="3">
      <c r="A14" s="107"/>
      <c r="B14" s="107"/>
      <c r="C14" s="107"/>
    </row>
    <row customHeight="1" ht="27.75">
      <c r="E15" s="2314" t="s">
        <v>1148</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0D688-E8E8-77F1-2CBB-DD868F2A1A0A}"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6900" width="9.140625" hidden="1"/>
    <col min="3" max="3" style="6901" width="3.7109375" customWidth="1"/>
    <col min="4" max="4" style="6900" width="6.28125" customWidth="1"/>
    <col min="5" max="5" style="6900" width="94.8515625" customWidth="1"/>
    <col min="6" max="9" style="6900"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1149</v>
      </c>
      <c r="E7" s="2316"/>
      <c r="F7" s="253"/>
    </row>
    <row customHeight="1" ht="3">
      <c r="C8" s="77"/>
      <c r="D8" s="55"/>
      <c r="E8" s="55"/>
    </row>
    <row customHeight="1" ht="15.75">
      <c r="C9" s="77"/>
      <c r="D9" s="91" t="s">
        <v>87</v>
      </c>
      <c r="E9" s="246" t="s">
        <v>1150</v>
      </c>
    </row>
    <row customHeight="1" ht="0.75">
      <c r="C10" s="77"/>
      <c r="D10" s="72"/>
      <c r="E10" s="72"/>
    </row>
    <row customHeight="1" ht="11.25" hidden="1">
      <c r="C11" s="77"/>
      <c r="D11" s="136">
        <v>0</v>
      </c>
      <c r="E11" s="247"/>
    </row>
    <row customHeight="1" ht="15">
      <c r="C12" s="122"/>
      <c r="D12" s="99">
        <v>1</v>
      </c>
      <c r="E12" s="380"/>
    </row>
    <row customHeight="1" ht="12">
      <c r="C13" s="77"/>
      <c r="D13" s="248"/>
      <c r="E13" s="249" t="s">
        <v>1151</v>
      </c>
    </row>
    <row customHeight="1" ht="3"/>
    <row customHeight="1" ht="22.5">
      <c r="C15" s="123"/>
      <c r="D15" s="2317" t="s">
        <v>1152</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03022-52EE-DAAF-92CB-608D7DA48D43}" mc:Ignorable="x14ac xr xr2 xr3">
  <dimension ref="A1:I24"/>
  <sheetViews>
    <sheetView topLeftCell="A1" showGridLines="0" zoomScale="90" workbookViewId="0">
      <selection activeCell="A1" sqref="A1"/>
    </sheetView>
  </sheetViews>
  <sheetFormatPr defaultColWidth="9.140625" customHeight="1" defaultRowHeight="11.25"/>
  <cols>
    <col min="1" max="2" style="3050" width="15.00390625" hidden="1" customWidth="1"/>
    <col min="3" max="3" style="3128" width="3.7109375" customWidth="1"/>
    <col min="4" max="4" style="3129" width="6.8515625" customWidth="1"/>
    <col min="5" max="5" style="3128" width="52.28125" customWidth="1"/>
    <col min="6" max="6" style="3128" width="48.8515625" customWidth="1"/>
    <col min="7" max="7" style="3128" width="93.421875" customWidth="1"/>
    <col min="8" max="8" style="3128" width="9.140625"/>
    <col min="9" max="9" style="3128" width="65.00390625" customWidth="1"/>
  </cols>
  <sheetData>
    <row customHeight="1" ht="11.25" hidden="1">
      <c r="A1" s="507" t="s">
        <v>344</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Мурманская область</v>
      </c>
      <c r="E6" s="2053"/>
      <c r="F6" s="2053"/>
      <c r="I6" s="721"/>
    </row>
    <row s="304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345</v>
      </c>
      <c r="E9" s="2057"/>
      <c r="F9" s="2057"/>
      <c r="G9" s="2061" t="s">
        <v>346</v>
      </c>
    </row>
    <row customHeight="1" ht="11.25">
      <c r="A10" s="508"/>
      <c r="B10" s="508"/>
      <c r="C10" s="463"/>
      <c r="D10" s="1504" t="s">
        <v>87</v>
      </c>
      <c r="E10" s="1506" t="s">
        <v>347</v>
      </c>
      <c r="F10" s="1506" t="s">
        <v>348</v>
      </c>
      <c r="G10" s="2062"/>
    </row>
    <row customHeight="1" ht="0.75">
      <c r="A11" s="508"/>
      <c r="B11" s="508"/>
      <c r="C11" s="463"/>
      <c r="D11" s="470"/>
      <c r="E11" s="470"/>
      <c r="F11" s="470"/>
      <c r="G11" s="470"/>
    </row>
    <row customHeight="1" ht="22.5">
      <c r="A12" s="508"/>
      <c r="B12" s="508"/>
      <c r="C12" s="463"/>
      <c r="D12" s="1550">
        <v>1</v>
      </c>
      <c r="E12" s="480" t="s">
        <v>1153</v>
      </c>
      <c r="F12" s="1902" t="str">
        <f>IF(org="","",org)</f>
        <v>АО "Мурманэнергосбыт"</v>
      </c>
      <c r="G12" s="480" t="s">
        <v>1154</v>
      </c>
      <c r="H12" s="1563"/>
    </row>
    <row customHeight="1" ht="18.75">
      <c r="A13" s="508"/>
      <c r="B13" s="508"/>
      <c r="C13" s="463"/>
      <c r="D13" s="1550">
        <v>2</v>
      </c>
      <c r="E13" s="1557" t="s">
        <v>1155</v>
      </c>
      <c r="F13" s="1551" t="s">
        <v>351</v>
      </c>
      <c r="G13" s="480"/>
      <c r="H13" s="1563"/>
    </row>
    <row customHeight="1" ht="18.75">
      <c r="A14" s="508"/>
      <c r="B14" s="508"/>
      <c r="C14" s="463"/>
      <c r="D14" s="1553" t="s">
        <v>661</v>
      </c>
      <c r="E14" s="1554" t="s">
        <v>1156</v>
      </c>
      <c r="F14" s="1556"/>
      <c r="G14" s="1555" t="s">
        <v>1157</v>
      </c>
      <c r="H14" s="1563"/>
    </row>
    <row customHeight="1" ht="18.75">
      <c r="A15" s="508"/>
      <c r="B15" s="508"/>
      <c r="C15" s="463"/>
      <c r="D15" s="1553" t="s">
        <v>352</v>
      </c>
      <c r="E15" s="1554" t="s">
        <v>1158</v>
      </c>
      <c r="F15" s="1556"/>
      <c r="G15" s="1555" t="s">
        <v>1159</v>
      </c>
      <c r="H15" s="1563"/>
    </row>
    <row customHeight="1" ht="36.75">
      <c r="A16" s="508"/>
      <c r="B16" s="508"/>
      <c r="C16" s="463"/>
      <c r="D16" s="1553" t="s">
        <v>355</v>
      </c>
      <c r="E16" s="1552" t="s">
        <v>1160</v>
      </c>
      <c r="F16" s="1561"/>
      <c r="G16" s="480" t="s">
        <v>1161</v>
      </c>
      <c r="H16" s="1563"/>
    </row>
    <row customHeight="1" ht="45">
      <c r="A17" s="508"/>
      <c r="B17" s="508"/>
      <c r="C17" s="463"/>
      <c r="D17" s="1550">
        <v>3</v>
      </c>
      <c r="E17" s="1557" t="s">
        <v>1162</v>
      </c>
      <c r="F17" s="1556"/>
      <c r="G17" s="480" t="s">
        <v>1163</v>
      </c>
      <c r="H17" s="1563"/>
    </row>
    <row customHeight="1" ht="45">
      <c r="A18" s="1505">
        <v>1</v>
      </c>
      <c r="B18" s="508"/>
      <c r="C18" s="1507"/>
      <c r="D18" s="1550" t="s">
        <v>90</v>
      </c>
      <c r="E18" s="1557" t="s">
        <v>1164</v>
      </c>
      <c r="F18" s="1556"/>
      <c r="G18" s="480" t="s">
        <v>1163</v>
      </c>
      <c r="H18" s="1563"/>
      <c r="I18" s="858"/>
    </row>
    <row customHeight="1" ht="22.5">
      <c r="A19" s="508"/>
      <c r="B19" s="508"/>
      <c r="C19" s="463"/>
      <c r="D19" s="1550" t="s">
        <v>116</v>
      </c>
      <c r="E19" s="1557" t="s">
        <v>1165</v>
      </c>
      <c r="F19" s="1551" t="s">
        <v>351</v>
      </c>
      <c r="G19" s="2318" t="s">
        <v>1166</v>
      </c>
      <c r="H19" s="481"/>
    </row>
    <row s="6919" customFormat="1" customHeight="1" ht="5.25" hidden="1">
      <c r="A20" s="508"/>
      <c r="B20" s="508"/>
      <c r="C20" s="1559"/>
      <c r="D20" s="1558" t="s">
        <v>1069</v>
      </c>
      <c r="E20" s="1021"/>
      <c r="F20" s="1020"/>
      <c r="G20" s="2319"/>
    </row>
    <row customHeight="1" ht="15">
      <c r="A21" s="508"/>
      <c r="B21" s="508"/>
      <c r="C21" s="463"/>
      <c r="D21" s="473"/>
      <c r="E21" s="421" t="s">
        <v>386</v>
      </c>
      <c r="F21" s="475"/>
      <c r="G21" s="2320"/>
      <c r="H21" s="1563"/>
    </row>
    <row s="3050" customFormat="1" customHeight="1" ht="24.75">
      <c r="A22" s="508"/>
      <c r="B22" s="508"/>
      <c r="C22" s="508"/>
      <c r="D22" s="1550" t="s">
        <v>91</v>
      </c>
      <c r="E22" s="480" t="s">
        <v>1167</v>
      </c>
      <c r="F22" s="1556"/>
      <c r="G22" s="480" t="s">
        <v>1168</v>
      </c>
      <c r="H22" s="1562"/>
    </row>
    <row s="3050" customFormat="1" customHeight="1" ht="18.75">
      <c r="A23" s="508"/>
      <c r="B23" s="508"/>
      <c r="C23" s="508"/>
      <c r="D23" s="1550" t="s">
        <v>92</v>
      </c>
      <c r="E23" s="1557" t="s">
        <v>1169</v>
      </c>
      <c r="F23" s="1561"/>
      <c r="G23" s="480" t="s">
        <v>1170</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C9475-EAEC-ECAC-0DA8-008F6B2575BF}" mc:Ignorable="x14ac xr xr2 xr3">
  <dimension ref="A1:IT23"/>
  <sheetViews>
    <sheetView topLeftCell="A1" showGridLines="0" zoomScale="90" workbookViewId="0">
      <selection activeCell="A1" sqref="A1"/>
    </sheetView>
  </sheetViews>
  <sheetFormatPr defaultColWidth="9.140625" customHeight="1" defaultRowHeight="14.25"/>
  <cols>
    <col min="1" max="1" style="2983" width="9.140625" hidden="1"/>
    <col min="2" max="2" style="2683" width="9.140625" hidden="1"/>
    <col min="3" max="3" style="2983" width="3.7109375" hidden="1" customWidth="1"/>
    <col min="4" max="4" style="3192" width="3.8515625" customWidth="1"/>
    <col min="5" max="5" style="2983" width="6.28125" customWidth="1"/>
    <col min="6" max="6" style="2983" width="46.7109375" customWidth="1"/>
    <col min="7" max="8" style="2983" width="16.7109375" customWidth="1"/>
    <col min="9" max="9" style="2983" width="35.28125" customWidth="1"/>
    <col min="10" max="10" style="2983"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83"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345</v>
      </c>
      <c r="F7" s="1956"/>
      <c r="G7" s="1956"/>
      <c r="H7" s="1956"/>
      <c r="I7" s="1956"/>
      <c r="J7" s="2321" t="s">
        <v>346</v>
      </c>
      <c r="K7" s="506"/>
      <c r="L7" s="506"/>
      <c r="M7" s="506"/>
      <c r="N7" s="506"/>
      <c r="O7" s="212"/>
      <c r="P7" s="506"/>
      <c r="Q7" s="211"/>
      <c r="R7" s="211"/>
      <c r="S7" s="211"/>
      <c r="T7" s="211"/>
    </row>
    <row s="2657" customFormat="1" customHeight="1" ht="20.25">
      <c r="A8" s="1163"/>
      <c r="B8" s="1168"/>
      <c r="C8" s="1163"/>
      <c r="D8" s="1525"/>
      <c r="E8" s="1585" t="s">
        <v>87</v>
      </c>
      <c r="F8" s="1570" t="s">
        <v>1171</v>
      </c>
      <c r="G8" s="1570" t="s">
        <v>47</v>
      </c>
      <c r="H8" s="1570" t="s">
        <v>49</v>
      </c>
      <c r="I8" s="1570" t="s">
        <v>1172</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1173</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1174</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9" customFormat="1" customHeight="1" ht="10.5">
      <c r="B14" s="840"/>
      <c r="D14" s="168"/>
      <c r="K14" s="506"/>
      <c r="L14" s="506"/>
      <c r="M14" s="506"/>
      <c r="N14" s="506"/>
      <c r="O14" s="212"/>
      <c r="P14" s="506"/>
      <c r="Q14" s="211"/>
      <c r="R14" s="211"/>
      <c r="S14" s="211"/>
      <c r="T14" s="211"/>
    </row>
    <row s="269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0DDEA-A007-B352-F53D-CDB0E7339FF7}" mc:Ignorable="x14ac xr xr2 xr3">
  <dimension ref="A1:IV14"/>
  <sheetViews>
    <sheetView topLeftCell="A1" showGridLines="0" zoomScale="90" workbookViewId="0">
      <selection activeCell="A1" sqref="A1"/>
    </sheetView>
  </sheetViews>
  <sheetFormatPr defaultColWidth="9.140625" customHeight="1" defaultRowHeight="14.25"/>
  <cols>
    <col min="1" max="1" style="2983" width="9.140625" hidden="1"/>
    <col min="2" max="2" style="2683" width="9.140625" hidden="1"/>
    <col min="3" max="3" style="2983" width="3.7109375" hidden="1" customWidth="1"/>
    <col min="4" max="4" style="3192" width="3.8515625" customWidth="1"/>
    <col min="5" max="5" style="2983" width="6.28125" customWidth="1"/>
    <col min="6" max="6" style="2983" width="27.28125" customWidth="1"/>
    <col min="7" max="7" style="2983" width="16.7109375" customWidth="1"/>
    <col min="8" max="8" style="2983" width="12.7109375" customWidth="1"/>
    <col min="9" max="9" style="2983" width="32.140625" customWidth="1"/>
    <col min="10" max="11" style="2983" width="41.8515625" customWidth="1"/>
    <col min="12" max="12" style="2983"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83" width="9.140625"/>
  </cols>
  <sheetData>
    <row customHeight="1" ht="14.25" hidden="1"/>
    <row s="2666" customFormat="1" customHeight="1" ht="22.5" hidden="1">
      <c r="A2" s="837"/>
      <c r="B2" s="1168">
        <v>1</v>
      </c>
      <c r="C2" s="1168"/>
      <c r="D2" s="807"/>
      <c r="E2" s="1514"/>
      <c r="F2" s="1569" t="str">
        <f>IF(ROIV_INFO_NAME="","",ROIV_INFO_NAME)</f>
        <v>АО "Мурманэнергосбыт"</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345</v>
      </c>
      <c r="F7" s="1956"/>
      <c r="G7" s="1956"/>
      <c r="H7" s="1956"/>
      <c r="I7" s="1956"/>
      <c r="J7" s="1956"/>
      <c r="K7" s="1956"/>
      <c r="L7" s="2321" t="s">
        <v>346</v>
      </c>
      <c r="M7" s="506"/>
      <c r="N7" s="506"/>
      <c r="O7" s="506"/>
      <c r="P7" s="506"/>
      <c r="Q7" s="212"/>
      <c r="R7" s="506"/>
      <c r="S7" s="211"/>
      <c r="T7" s="211"/>
      <c r="U7" s="211"/>
      <c r="V7" s="211"/>
    </row>
    <row s="2657" customFormat="1" customHeight="1" ht="47.25">
      <c r="A8" s="1163"/>
      <c r="B8" s="1168"/>
      <c r="C8" s="1163"/>
      <c r="D8" s="1525"/>
      <c r="E8" s="2326" t="s">
        <v>87</v>
      </c>
      <c r="F8" s="2326" t="s">
        <v>1153</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1175</v>
      </c>
      <c r="H9" s="1567" t="s">
        <v>1176</v>
      </c>
      <c r="I9" s="1567" t="s">
        <v>1177</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АО "Мурманэнергосбыт"</v>
      </c>
      <c r="G10" s="1772" t="s">
        <v>24</v>
      </c>
      <c r="H10" s="1564"/>
      <c r="I10" s="1564"/>
      <c r="J10" s="1172"/>
      <c r="K10" s="1172"/>
      <c r="L10" s="2323" t="s">
        <v>1178</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1179</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FC37E-8A0E-42A3-BAC1-BC69E50FD01B}" mc:Ignorable="x14ac xr xr2 xr3">
  <dimension ref="A1:IY16"/>
  <sheetViews>
    <sheetView topLeftCell="A1" showGridLines="0" zoomScale="90" workbookViewId="0">
      <selection activeCell="A1" sqref="A1"/>
    </sheetView>
  </sheetViews>
  <sheetFormatPr defaultColWidth="9.140625" customHeight="1" defaultRowHeight="14.25"/>
  <cols>
    <col min="1" max="1" style="2983" width="9.140625" hidden="1"/>
    <col min="2" max="2" style="2683" width="9.140625" hidden="1"/>
    <col min="3" max="3" style="2983" width="3.7109375" hidden="1" customWidth="1"/>
    <col min="4" max="4" style="3192" width="3.8515625" customWidth="1"/>
    <col min="5" max="5" style="2983" width="10.140625" customWidth="1"/>
    <col min="6" max="6" style="2983" width="6.28125" customWidth="1"/>
    <col min="7" max="7" style="2983" width="27.28125" customWidth="1"/>
    <col min="8" max="8" style="2983" width="29.28125" customWidth="1"/>
    <col min="9" max="9" style="2983" width="25.421875" customWidth="1"/>
    <col min="10" max="10" style="2983" width="5.57421875" customWidth="1"/>
    <col min="11" max="11" style="2983" width="6.57421875" customWidth="1"/>
    <col min="12" max="12" style="2983" width="41.8515625" customWidth="1"/>
    <col min="13" max="13" style="2983" width="42.421875" customWidth="1"/>
    <col min="14" max="14" style="2983" width="41.57421875" customWidth="1"/>
    <col min="15" max="15" style="2983"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83" width="9.140625"/>
  </cols>
  <sheetData>
    <row customHeight="1" ht="14.25" hidden="1"/>
    <row s="2666" customFormat="1" customHeight="1" ht="22.5" hidden="1">
      <c r="A2" s="502"/>
      <c r="B2" s="1168">
        <v>1</v>
      </c>
      <c r="C2" s="1168"/>
      <c r="D2" s="807"/>
      <c r="E2" s="1971"/>
      <c r="F2" s="1971">
        <v>1</v>
      </c>
      <c r="G2" s="2331" t="str">
        <f>IF(region_name="","",region_name)</f>
        <v>Мурманская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1180</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1181</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6960" customFormat="1" customHeight="1" ht="42.75">
      <c r="A8" s="1498"/>
      <c r="B8" s="1508"/>
      <c r="C8" s="1498"/>
      <c r="D8" s="1525"/>
      <c r="E8" s="1588" t="s">
        <v>346</v>
      </c>
      <c r="F8" s="1588"/>
      <c r="G8" s="1589" t="s">
        <v>350</v>
      </c>
      <c r="H8" s="1589" t="s">
        <v>1182</v>
      </c>
      <c r="I8" s="1589" t="s">
        <v>354</v>
      </c>
      <c r="J8" s="2338"/>
      <c r="K8" s="2339"/>
      <c r="L8" s="2340"/>
      <c r="M8" s="1589" t="s">
        <v>1183</v>
      </c>
      <c r="N8" s="1589" t="s">
        <v>1184</v>
      </c>
      <c r="O8" s="1589" t="s">
        <v>1185</v>
      </c>
      <c r="P8" s="1580"/>
      <c r="Q8" s="1580"/>
      <c r="R8" s="1580"/>
      <c r="S8" s="1580"/>
      <c r="T8" s="1581"/>
      <c r="U8" s="1580"/>
      <c r="V8" s="1582"/>
      <c r="W8" s="1582"/>
      <c r="X8" s="1582"/>
      <c r="Y8" s="1582"/>
    </row>
    <row s="2657" customFormat="1" customHeight="1" ht="47.25">
      <c r="A9" s="1163"/>
      <c r="B9" s="1168"/>
      <c r="C9" s="1163"/>
      <c r="D9" s="1525"/>
      <c r="E9" s="2090" t="s">
        <v>345</v>
      </c>
      <c r="F9" s="2327" t="s">
        <v>87</v>
      </c>
      <c r="G9" s="2327" t="s">
        <v>349</v>
      </c>
      <c r="H9" s="2327" t="s">
        <v>1186</v>
      </c>
      <c r="I9" s="2327"/>
      <c r="J9" s="2327" t="s">
        <v>1187</v>
      </c>
      <c r="K9" s="2327"/>
      <c r="L9" s="2327"/>
      <c r="M9" s="2327" t="s">
        <v>1188</v>
      </c>
      <c r="N9" s="2327" t="s">
        <v>1189</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1190</v>
      </c>
      <c r="I10" s="158" t="s">
        <v>353</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Мурманская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1180</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1174</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04EBC-7237-C42A-F90B-EF4F09ADFF41}" mc:Ignorable="x14ac xr xr2 xr3">
  <sheetPr>
    <tabColor rgb="FFCCCCFF"/>
    <pageSetUpPr fitToPage="1"/>
  </sheetPr>
  <dimension ref="A1:L15"/>
  <sheetViews>
    <sheetView topLeftCell="A1" showGridLines="0" zoomScale="90" workbookViewId="0">
      <selection activeCell="E14" sqref="E14"/>
    </sheetView>
  </sheetViews>
  <sheetFormatPr defaultColWidth="9.140625" customHeight="1" defaultRowHeight="14.25"/>
  <cols>
    <col min="1" max="2" style="6900" width="9.140625" hidden="1"/>
    <col min="3" max="3" style="6901" width="3.7109375" customWidth="1"/>
    <col min="4" max="4" style="6900" width="6.28125" customWidth="1"/>
    <col min="5" max="5" style="6900" width="94.8515625" customWidth="1"/>
    <col min="6" max="12" style="6900"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1191</v>
      </c>
      <c r="E7" s="1954"/>
      <c r="F7" s="253"/>
    </row>
    <row customHeight="1" ht="3">
      <c r="C8" s="77"/>
      <c r="D8" s="55"/>
      <c r="E8" s="55"/>
    </row>
    <row customHeight="1" ht="15.75">
      <c r="C9" s="77"/>
      <c r="D9" s="91" t="s">
        <v>87</v>
      </c>
      <c r="E9" s="94" t="s">
        <v>332</v>
      </c>
    </row>
    <row customHeight="1" ht="12">
      <c r="C10" s="77"/>
      <c r="D10" s="72" t="s">
        <v>128</v>
      </c>
      <c r="E10" s="72" t="s">
        <v>102</v>
      </c>
    </row>
    <row customHeight="1" ht="15" hidden="1">
      <c r="C11" s="77"/>
      <c r="D11" s="99">
        <v>0</v>
      </c>
      <c r="E11" s="135"/>
    </row>
    <row customHeight="1" ht="24.166666666666668">
      <c r="A12" s="6981"/>
      <c r="B12" s="6981"/>
      <c r="C12" s="1858" t="s">
        <v>103</v>
      </c>
      <c r="D12" s="99" t="s">
        <v>128</v>
      </c>
      <c r="E12" s="100" t="s">
        <v>1192</v>
      </c>
      <c r="F12" s="6981"/>
      <c r="G12" s="6981"/>
      <c r="H12" s="6981"/>
      <c r="I12" s="6981"/>
      <c r="J12" s="6981"/>
      <c r="K12" s="6981"/>
      <c r="L12" s="6981"/>
    </row>
    <row customHeight="1" ht="17.25">
      <c r="A13" s="6981"/>
      <c r="B13" s="6981"/>
      <c r="C13" s="1858" t="s">
        <v>103</v>
      </c>
      <c r="D13" s="99" t="s">
        <v>102</v>
      </c>
      <c r="E13" s="100" t="s">
        <v>1193</v>
      </c>
      <c r="F13" s="6981"/>
      <c r="G13" s="6981"/>
      <c r="H13" s="6981"/>
      <c r="I13" s="6981"/>
      <c r="J13" s="6981"/>
      <c r="K13" s="6981"/>
      <c r="L13" s="6981"/>
    </row>
    <row customHeight="1" ht="17.25">
      <c r="A14" s="6981"/>
      <c r="B14" s="6981"/>
      <c r="C14" s="1858" t="s">
        <v>103</v>
      </c>
      <c r="D14" s="99" t="s">
        <v>89</v>
      </c>
      <c r="E14" s="100" t="s">
        <v>1194</v>
      </c>
      <c r="F14" s="6981"/>
      <c r="G14" s="6981"/>
      <c r="H14" s="6981"/>
      <c r="I14" s="6981"/>
      <c r="J14" s="6981"/>
      <c r="K14" s="6981"/>
      <c r="L14" s="6981"/>
    </row>
    <row customHeight="1" ht="14.25">
      <c r="C15" s="77"/>
      <c r="D15" s="95"/>
      <c r="E15" s="93" t="s">
        <v>1151</v>
      </c>
    </row>
  </sheetData>
  <sheetProtection formatColumns="0" formatRows="0" autoFilter="0" sort="0" insertRows="0" insertColumns="1" deleteRows="0" deleteColumns="0"/>
  <mergeCells count="1">
    <mergeCell ref="D7:E7"/>
  </mergeCells>
  <dataValidations count="4">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21048-3FE5-FDA8-C43A-E736A4FDBB3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6988" width="1.7109375" customWidth="1"/>
    <col min="2" max="2" style="6988" width="34.57421875" customWidth="1"/>
    <col min="3" max="3" style="6988" width="85.57421875" customWidth="1"/>
    <col min="4" max="4" style="6988" width="17.7109375" customWidth="1"/>
    <col min="5" max="5" style="6988" width="9.140625"/>
  </cols>
  <sheetData>
    <row customHeight="1" ht="3"/>
    <row customHeight="1" ht="22.5">
      <c r="B2" s="2343" t="s">
        <v>1195</v>
      </c>
      <c r="C2" s="2343"/>
      <c r="D2" s="2343"/>
      <c r="E2" s="254"/>
    </row>
    <row customHeight="1" ht="3"/>
    <row customHeight="1" ht="21.75">
      <c r="B4" s="389" t="s">
        <v>1196</v>
      </c>
      <c r="C4" s="389" t="s">
        <v>1197</v>
      </c>
      <c r="D4" s="389" t="s">
        <v>1198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002C9-2D9A-DB73-632E-60327C491B07}"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6988" width="26.57421875" customWidth="1"/>
    <col min="2" max="2" style="6988" width="10.00390625" customWidth="1"/>
    <col min="3" max="3" style="6988" width="9.140625"/>
    <col min="4" max="4" style="6988" width="11.140625" customWidth="1"/>
    <col min="5" max="5" style="6988" width="16.57421875" customWidth="1"/>
    <col min="6" max="6" style="6988" width="16.28125" customWidth="1"/>
    <col min="7" max="7" style="6988" width="19.140625" customWidth="1"/>
    <col min="8" max="11" style="6988" width="10.00390625" customWidth="1"/>
    <col min="12" max="12" style="6988" width="12.7109375" customWidth="1"/>
    <col min="13" max="13" style="6988" width="61.28125" customWidth="1"/>
    <col min="14" max="14" style="6988" width="10.00390625" customWidth="1"/>
    <col min="15" max="17" style="6988" width="23.7109375" customWidth="1"/>
    <col min="18" max="18" style="6988" width="11.7109375" customWidth="1"/>
    <col min="19" max="19" style="6988" width="8.57421875" customWidth="1"/>
    <col min="20" max="20" style="6988" width="11.7109375" customWidth="1"/>
    <col min="21" max="21" style="6988" width="8.57421875" customWidth="1"/>
    <col min="22" max="22" style="6988" width="4.7109375" customWidth="1"/>
    <col min="23" max="23" style="6988" width="115.7109375" customWidth="1"/>
    <col min="24" max="24" style="6988" width="115.28125" customWidth="1"/>
    <col min="25" max="27" style="6988" width="9.140625"/>
    <col min="28" max="28" style="6988" width="115.7109375" customWidth="1"/>
    <col min="29" max="29" style="6988" width="9.140625"/>
    <col min="30" max="90" style="6988" width="115.7109375" customWidth="1"/>
    <col min="91" max="184" style="6988" width="9.140625"/>
  </cols>
  <sheetData>
    <row r="2" s="6989" customFormat="1" customHeight="1" ht="17.25">
      <c r="A2" s="1856" t="s">
        <v>1199</v>
      </c>
    </row>
    <row r="4" s="6900" customFormat="1" customHeight="1" ht="15">
      <c r="C4" s="1857"/>
      <c r="D4" s="99"/>
      <c r="E4" s="380"/>
    </row>
    <row r="6" s="6989" customFormat="1" customHeight="1" ht="17.25">
      <c r="A6" s="1856" t="s">
        <v>1200</v>
      </c>
    </row>
    <row r="8" s="6900" customFormat="1" customHeight="1" ht="17.25">
      <c r="C8" s="1858"/>
      <c r="D8" s="99"/>
      <c r="E8" s="100"/>
    </row>
    <row r="11" s="6989" customFormat="1" customHeight="1" ht="17.25">
      <c r="A11" s="1856" t="s">
        <v>1201</v>
      </c>
    </row>
    <row r="13" s="6991" customFormat="1" customHeight="1" ht="15">
      <c r="A13" s="2082">
        <v>1</v>
      </c>
      <c r="B13" s="1168"/>
      <c r="C13" s="807" t="s">
        <v>103</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6989" customFormat="1" customHeight="1" ht="17.25">
      <c r="A17" s="1856" t="s">
        <v>1202</v>
      </c>
    </row>
    <row r="19" s="6321" customFormat="1" customHeight="1" ht="15">
      <c r="A19" s="1925"/>
      <c r="B19" s="1396">
        <v>1</v>
      </c>
      <c r="C19" s="1396"/>
      <c r="D19" s="806" t="s">
        <v>103</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1203</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6998" customFormat="1" customHeight="1" ht="15">
      <c r="A23" s="429"/>
      <c r="B23" s="429"/>
      <c r="C23" s="1768" t="s">
        <v>103</v>
      </c>
      <c r="D23" s="1982" t="s">
        <v>128</v>
      </c>
      <c r="E23" s="1983"/>
      <c r="F23" s="1981" t="s">
        <v>56</v>
      </c>
      <c r="G23" s="2394"/>
      <c r="H23" s="1971">
        <v>1</v>
      </c>
      <c r="I23" s="2396" t="str">
        <f>IF(U23="","",INDEX(TERRITORY_MR_LIST,MATCH(U23,TERRITORY_LIST_ID,0)))</f>
        <v/>
      </c>
      <c r="J23" s="1981" t="s">
        <v>56</v>
      </c>
      <c r="K23" s="838"/>
      <c r="L23" s="1823" t="s">
        <v>128</v>
      </c>
      <c r="M23" s="609"/>
      <c r="N23" s="610"/>
      <c r="O23" s="610"/>
      <c r="P23" s="610"/>
      <c r="Q23" s="610"/>
      <c r="R23" s="610"/>
      <c r="S23" s="610"/>
      <c r="T23" s="610"/>
      <c r="U23" s="611"/>
      <c r="V23" s="610"/>
      <c r="W23" s="610"/>
      <c r="X23" s="601"/>
      <c r="Y23" s="601" t="s">
        <v>135</v>
      </c>
      <c r="Z23" s="601">
        <v>1705000</v>
      </c>
      <c r="AA23" s="601"/>
      <c r="AB23" s="601"/>
      <c r="AC23" s="601"/>
      <c r="AD23" s="601"/>
      <c r="AE23" s="601"/>
      <c r="AF23" s="601"/>
      <c r="AG23" s="601"/>
      <c r="AH23" s="601"/>
      <c r="AI23" s="601"/>
      <c r="AJ23" s="601"/>
      <c r="AK23" s="601"/>
      <c r="AL23" s="601"/>
    </row>
    <row s="6998" customFormat="1" customHeight="1" ht="15">
      <c r="A24" s="429"/>
      <c r="B24" s="429"/>
      <c r="C24" s="162"/>
      <c r="D24" s="1982"/>
      <c r="E24" s="1984"/>
      <c r="F24" s="1981"/>
      <c r="G24" s="2395"/>
      <c r="H24" s="1971"/>
      <c r="I24" s="2397"/>
      <c r="J24" s="1981"/>
      <c r="K24" s="427"/>
      <c r="L24" s="163"/>
      <c r="M24" s="613" t="s">
        <v>136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6998" customFormat="1" customHeight="1" ht="15">
      <c r="A25" s="429"/>
      <c r="B25" s="429"/>
      <c r="C25" s="162"/>
      <c r="D25" s="1982"/>
      <c r="E25" s="1985"/>
      <c r="F25" s="1981"/>
      <c r="G25" s="427"/>
      <c r="H25" s="163"/>
      <c r="I25" s="586" t="s">
        <v>137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1204</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6998" customFormat="1" customHeight="1" ht="15">
      <c r="A29" s="429"/>
      <c r="B29" s="429"/>
      <c r="C29" s="162"/>
      <c r="D29" s="1862"/>
      <c r="E29" s="1862"/>
      <c r="F29" s="1862"/>
      <c r="G29" s="2398" t="s">
        <v>103</v>
      </c>
      <c r="H29" s="1957">
        <v>1</v>
      </c>
      <c r="I29" s="2399" t="str">
        <f>IF(U29="","",INDEX(TERRITORY_MR_LIST,MATCH(U29,TERRITORY_LIST_ID,0)))</f>
        <v/>
      </c>
      <c r="J29" s="1981" t="s">
        <v>56</v>
      </c>
      <c r="K29" s="838"/>
      <c r="L29" s="1823" t="s">
        <v>128</v>
      </c>
      <c r="M29" s="609"/>
      <c r="N29" s="610"/>
      <c r="O29" s="610"/>
      <c r="P29" s="610"/>
      <c r="Q29" s="610"/>
      <c r="R29" s="610"/>
      <c r="S29" s="610"/>
      <c r="T29" s="610"/>
      <c r="U29" s="611"/>
      <c r="V29" s="610"/>
      <c r="W29" s="610"/>
      <c r="X29" s="601"/>
      <c r="Y29" s="601" t="s">
        <v>135</v>
      </c>
      <c r="Z29" s="601">
        <v>1705000</v>
      </c>
      <c r="AA29" s="601"/>
      <c r="AB29" s="601"/>
      <c r="AC29" s="601"/>
      <c r="AD29" s="601"/>
      <c r="AE29" s="601"/>
      <c r="AF29" s="601"/>
      <c r="AG29" s="601"/>
      <c r="AH29" s="601"/>
      <c r="AI29" s="601"/>
      <c r="AJ29" s="601"/>
      <c r="AK29" s="601"/>
      <c r="AL29" s="601"/>
    </row>
    <row s="6998" customFormat="1" customHeight="1" ht="15">
      <c r="A30" s="429"/>
      <c r="B30" s="429"/>
      <c r="C30" s="162"/>
      <c r="D30" s="1862"/>
      <c r="E30" s="1862"/>
      <c r="F30" s="1862"/>
      <c r="G30" s="2398"/>
      <c r="H30" s="1957"/>
      <c r="I30" s="2399"/>
      <c r="J30" s="1981"/>
      <c r="K30" s="427"/>
      <c r="L30" s="163"/>
      <c r="M30" s="613" t="s">
        <v>136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1205</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6998" customFormat="1" customHeight="1" ht="15">
      <c r="A34" s="429"/>
      <c r="B34" s="429"/>
      <c r="C34" s="162"/>
      <c r="D34" s="1862"/>
      <c r="E34" s="1862"/>
      <c r="F34" s="1862"/>
      <c r="G34" s="1862"/>
      <c r="H34" s="1862"/>
      <c r="I34" s="1862"/>
      <c r="J34" s="1862"/>
      <c r="K34" s="1840" t="s">
        <v>103</v>
      </c>
      <c r="L34" s="1769" t="s">
        <v>128</v>
      </c>
      <c r="M34" s="817"/>
      <c r="N34" s="818"/>
      <c r="O34" s="610"/>
      <c r="P34" s="610"/>
      <c r="Q34" s="610"/>
      <c r="R34" s="610"/>
      <c r="S34" s="610"/>
      <c r="T34" s="610"/>
      <c r="U34" s="611"/>
      <c r="V34" s="610"/>
      <c r="W34" s="610"/>
      <c r="X34" s="601"/>
      <c r="Y34" s="601" t="s">
        <v>135</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6989" customFormat="1" customHeight="1" ht="11.25">
      <c r="A37" s="1856" t="s">
        <v>1206</v>
      </c>
    </row>
    <row customHeight="1" ht="11.25"/>
    <row s="3128" customFormat="1" customHeight="1" ht="22.5">
      <c r="A39" s="1832"/>
      <c r="B39" s="463"/>
      <c r="C39" s="865"/>
      <c r="D39" s="446"/>
      <c r="E39" s="866"/>
      <c r="F39" s="1853"/>
      <c r="G39" s="1863"/>
      <c r="H39" s="481"/>
    </row>
    <row customHeight="1" ht="11.25"/>
    <row s="6989" customFormat="1" customHeight="1" ht="11.25">
      <c r="A41" s="1856" t="s">
        <v>1207</v>
      </c>
    </row>
    <row customHeight="1" ht="11.25"/>
    <row s="3128" customFormat="1" customHeight="1" ht="22.5">
      <c r="A43" s="463"/>
      <c r="B43" s="463"/>
      <c r="C43" s="463"/>
      <c r="D43" s="446"/>
      <c r="E43" s="866"/>
      <c r="F43" s="867"/>
      <c r="G43" s="1863"/>
      <c r="H43" s="481"/>
    </row>
    <row r="46" s="6989" customFormat="1" customHeight="1" ht="17.25">
      <c r="A46" s="1856" t="s">
        <v>1208</v>
      </c>
    </row>
    <row r="48" s="3211" customFormat="1" customHeight="1" ht="18.75">
      <c r="A48" s="74"/>
      <c r="B48" s="1864"/>
      <c r="C48" s="1864"/>
      <c r="D48" s="1865"/>
      <c r="E48" s="1850"/>
      <c r="F48" s="874">
        <v>13</v>
      </c>
      <c r="G48" s="873"/>
      <c r="H48" s="799"/>
      <c r="I48" s="797"/>
      <c r="J48" s="526" t="s">
        <v>61</v>
      </c>
      <c r="K48" s="1866" t="s">
        <v>24</v>
      </c>
      <c r="L48" s="74"/>
      <c r="M48" s="1676"/>
      <c r="N48" s="1676"/>
      <c r="O48" s="1676"/>
      <c r="P48" s="522" t="s">
        <v>439</v>
      </c>
      <c r="Q48" s="522" t="s">
        <v>440</v>
      </c>
      <c r="R48" s="523" t="s">
        <v>441</v>
      </c>
      <c r="S48" s="1676" t="s">
        <v>442</v>
      </c>
      <c r="T48" s="1676"/>
      <c r="U48" s="1676"/>
      <c r="V48" s="1676"/>
    </row>
    <row r="50" s="6989" customFormat="1" customHeight="1" ht="11.25">
      <c r="A50" s="1856" t="s">
        <v>1209</v>
      </c>
    </row>
    <row r="52" s="2992"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428</v>
      </c>
      <c r="AQ52" s="1664" t="s">
        <v>428</v>
      </c>
      <c r="AR52" s="1676"/>
      <c r="AS52" s="1676"/>
    </row>
    <row r="54" s="6989" customFormat="1" customHeight="1" ht="11.25">
      <c r="A54" s="1856" t="s">
        <v>1210</v>
      </c>
    </row>
    <row r="56" s="6874" customFormat="1" customHeight="1" ht="15">
      <c r="A56" s="131" t="s">
        <v>89</v>
      </c>
      <c r="B56" s="111" t="s">
        <v>24</v>
      </c>
      <c r="C56" s="1867"/>
      <c r="D56" s="114"/>
      <c r="E56" s="387"/>
      <c r="F56" s="387"/>
      <c r="G56" s="1844"/>
      <c r="H56" s="1866"/>
      <c r="I56" s="1845"/>
      <c r="K56" s="258"/>
      <c r="L56" s="259"/>
    </row>
    <row r="58" s="6989" customFormat="1" customHeight="1" ht="11.25">
      <c r="A58" s="1856" t="s">
        <v>1211</v>
      </c>
    </row>
    <row r="60" s="2992" customFormat="1" customHeight="1" ht="14.25">
      <c r="A60" s="339"/>
      <c r="B60" s="1168"/>
      <c r="C60" s="377"/>
      <c r="D60" s="1851"/>
      <c r="E60" s="892"/>
      <c r="F60" s="1866"/>
      <c r="G60" s="74"/>
      <c r="I60" s="1664"/>
      <c r="J60" s="1664"/>
    </row>
    <row r="62" s="6989" customFormat="1" customHeight="1" ht="11.25">
      <c r="A62" s="1856" t="s">
        <v>1212</v>
      </c>
    </row>
    <row r="64" s="2992"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1213</v>
      </c>
    </row>
    <row s="2992"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1214</v>
      </c>
    </row>
    <row r="67" s="6989" customFormat="1" customHeight="1" ht="11.25">
      <c r="A67" s="1856" t="s">
        <v>1215</v>
      </c>
    </row>
    <row r="69" s="2992"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1213</v>
      </c>
    </row>
    <row r="71" s="6989" customFormat="1" customHeight="1" ht="11.25">
      <c r="A71" s="1856" t="s">
        <v>1216</v>
      </c>
    </row>
    <row customHeight="1" ht="17.25"/>
    <row s="2992"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92" customFormat="1" customHeight="1" ht="11.25">
      <c r="A74" s="1174"/>
      <c r="B74" s="1174"/>
      <c r="C74" s="1174"/>
      <c r="D74" s="1168"/>
      <c r="E74" s="1178"/>
      <c r="F74" s="2406"/>
      <c r="G74" s="2356"/>
      <c r="H74" s="2356" t="s">
        <v>128</v>
      </c>
      <c r="I74" s="2410"/>
      <c r="J74" s="2334"/>
      <c r="K74" s="2411"/>
      <c r="L74" s="2404" t="s">
        <v>56</v>
      </c>
      <c r="M74" s="1982"/>
      <c r="N74" s="1187"/>
      <c r="O74" s="1186" t="s">
        <v>423</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92"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92"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92"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1217</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92" customFormat="1" customHeight="1" ht="11.25">
      <c r="A78" s="1174"/>
      <c r="B78" s="1174"/>
      <c r="C78" s="1174"/>
      <c r="D78" s="1168"/>
      <c r="E78" s="1178"/>
      <c r="F78" s="2406"/>
      <c r="G78" s="2356"/>
      <c r="H78" s="2356"/>
      <c r="I78" s="2410"/>
      <c r="J78" s="2334"/>
      <c r="K78" s="2411"/>
      <c r="L78" s="2404"/>
      <c r="M78" s="1982"/>
      <c r="N78" s="1185"/>
      <c r="O78" s="1185"/>
      <c r="P78" s="1176" t="s">
        <v>1218</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92" customFormat="1" customHeight="1" ht="12">
      <c r="A79" s="1174"/>
      <c r="B79" s="1174"/>
      <c r="C79" s="1174"/>
      <c r="D79" s="1168"/>
      <c r="E79" s="1178"/>
      <c r="F79" s="2407"/>
      <c r="G79" s="1200"/>
      <c r="H79" s="1200"/>
      <c r="I79" s="2405" t="s">
        <v>1219</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6989" customFormat="1" customHeight="1" ht="11.25">
      <c r="A81" s="1856" t="s">
        <v>1220</v>
      </c>
    </row>
    <row r="83" s="2992"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92"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92"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1217</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6989" customFormat="1" customHeight="1" ht="11.25">
      <c r="A87" s="1856" t="s">
        <v>1221</v>
      </c>
    </row>
    <row r="89" s="2992"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6989" customFormat="1" customHeight="1" ht="11.25">
      <c r="A91" s="1856" t="s">
        <v>1222</v>
      </c>
    </row>
    <row r="93" s="2992" customFormat="1" customHeight="1" ht="11.25">
      <c r="A93" s="1174"/>
      <c r="B93" s="1174"/>
      <c r="C93" s="1174"/>
      <c r="D93" s="1168"/>
      <c r="E93" s="1178"/>
      <c r="F93" s="1870"/>
      <c r="G93" s="1871"/>
      <c r="H93" s="2356" t="s">
        <v>128</v>
      </c>
      <c r="I93" s="2410"/>
      <c r="J93" s="2334"/>
      <c r="K93" s="2411"/>
      <c r="L93" s="2404" t="s">
        <v>56</v>
      </c>
      <c r="M93" s="1982"/>
      <c r="N93" s="1187"/>
      <c r="O93" s="1186" t="s">
        <v>423</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92"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92"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92"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1217</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92" customFormat="1" customHeight="1" ht="11.25">
      <c r="A97" s="1174"/>
      <c r="B97" s="1174"/>
      <c r="C97" s="1174"/>
      <c r="D97" s="1168"/>
      <c r="E97" s="1178"/>
      <c r="F97" s="1870"/>
      <c r="G97" s="1871"/>
      <c r="H97" s="2356"/>
      <c r="I97" s="2410"/>
      <c r="J97" s="2334"/>
      <c r="K97" s="2411"/>
      <c r="L97" s="2404"/>
      <c r="M97" s="1982"/>
      <c r="N97" s="1185"/>
      <c r="O97" s="1185"/>
      <c r="P97" s="1176" t="s">
        <v>1218</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6989" customFormat="1" customHeight="1" ht="11.25">
      <c r="A99" s="1856" t="s">
        <v>1223</v>
      </c>
    </row>
    <row customHeight="1" ht="17.25"/>
    <row s="6599"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6599"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6599" customFormat="1" customHeight="1" ht="12">
      <c r="A103" s="930"/>
      <c r="B103" s="929"/>
      <c r="C103" s="930"/>
      <c r="D103" s="930"/>
      <c r="E103" s="930"/>
      <c r="F103" s="1224"/>
      <c r="G103" s="1841" t="s">
        <v>1224</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6989" customFormat="1" customHeight="1" ht="11.25">
      <c r="A105" s="1856" t="s">
        <v>1225</v>
      </c>
    </row>
    <row r="107" s="2666" customFormat="1" customHeight="1" ht="15">
      <c r="A107" s="629"/>
      <c r="B107" s="630"/>
      <c r="C107" s="630"/>
      <c r="D107" s="2361" t="s">
        <v>128</v>
      </c>
      <c r="E107" s="2225" t="s">
        <v>124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648</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603</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604</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649</v>
      </c>
      <c r="F110" s="2222"/>
      <c r="G110" s="2222"/>
      <c r="H110" s="2222"/>
      <c r="I110" s="2222"/>
      <c r="J110" s="2222"/>
      <c r="K110" s="2222"/>
      <c r="L110" s="2222"/>
      <c r="M110" s="2222"/>
      <c r="N110" s="2222"/>
      <c r="O110" s="2222"/>
      <c r="P110" s="2222"/>
      <c r="Q110" s="564">
        <f>SUMIF(T111:T112,"i",Q111:Q112)</f>
        <v>0</v>
      </c>
      <c r="R110" s="1024"/>
      <c r="S110" s="1839" t="s">
        <v>650</v>
      </c>
      <c r="T110" s="723" t="s">
        <v>651</v>
      </c>
      <c r="U110" s="2223">
        <v>1</v>
      </c>
      <c r="V110" s="2223" t="s">
        <v>614</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1226</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652</v>
      </c>
      <c r="F113" s="2222"/>
      <c r="G113" s="2222"/>
      <c r="H113" s="2222"/>
      <c r="I113" s="2222"/>
      <c r="J113" s="2222"/>
      <c r="K113" s="2222"/>
      <c r="L113" s="2222"/>
      <c r="M113" s="2222"/>
      <c r="N113" s="2222"/>
      <c r="O113" s="2222"/>
      <c r="P113" s="2222"/>
      <c r="Q113" s="564">
        <f>SUMIF(T114:T115,"i",Q114:Q115)</f>
        <v>0</v>
      </c>
      <c r="R113" s="1024"/>
      <c r="S113" s="1839" t="s">
        <v>653</v>
      </c>
      <c r="T113" s="723" t="s">
        <v>651</v>
      </c>
      <c r="U113" s="2223">
        <v>1</v>
      </c>
      <c r="V113" s="2223" t="s">
        <v>614</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1226</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6989" customFormat="1" customHeight="1" ht="11.25">
      <c r="A117" s="1856" t="s">
        <v>1227</v>
      </c>
    </row>
    <row r="119" s="2666" customFormat="1" customHeight="1" ht="15">
      <c r="A119" s="629"/>
      <c r="B119" s="630"/>
      <c r="C119" s="630"/>
      <c r="D119" s="2361" t="s">
        <v>128</v>
      </c>
      <c r="E119" s="2225" t="s">
        <v>124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648</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603</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604</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649</v>
      </c>
      <c r="F122" s="2222"/>
      <c r="G122" s="2222"/>
      <c r="H122" s="2222"/>
      <c r="I122" s="2222"/>
      <c r="J122" s="2222"/>
      <c r="K122" s="2222"/>
      <c r="L122" s="2222"/>
      <c r="M122" s="2222"/>
      <c r="N122" s="2222"/>
      <c r="O122" s="2222"/>
      <c r="P122" s="2222"/>
      <c r="Q122" s="564">
        <f>SUMIF(T123:T124,"i",Q123:Q124)</f>
        <v>0</v>
      </c>
      <c r="R122" s="1024"/>
      <c r="S122" s="1839" t="s">
        <v>650</v>
      </c>
      <c r="T122" s="723" t="s">
        <v>651</v>
      </c>
      <c r="U122" s="2223">
        <v>1</v>
      </c>
      <c r="V122" s="2223" t="s">
        <v>614</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1226</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651</v>
      </c>
      <c r="U125" s="2223">
        <v>1</v>
      </c>
      <c r="V125" s="2223" t="s">
        <v>614</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6989" customFormat="1" customHeight="1" ht="11.25">
      <c r="A129" s="1856" t="s">
        <v>1228</v>
      </c>
    </row>
    <row r="131" s="2666" customFormat="1" customHeight="1" ht="45">
      <c r="A131" s="1847"/>
      <c r="B131" s="1168"/>
      <c r="C131" s="418"/>
      <c r="D131" s="74"/>
      <c r="E131" s="2373"/>
      <c r="F131" s="1982" t="s">
        <v>128</v>
      </c>
      <c r="G131" s="2376" t="s">
        <v>24</v>
      </c>
      <c r="H131" s="277"/>
      <c r="I131" s="643" t="s">
        <v>128</v>
      </c>
      <c r="J131" s="1848" t="s">
        <v>1229</v>
      </c>
      <c r="K131" s="644" t="s">
        <v>585</v>
      </c>
      <c r="L131" s="2073" t="s">
        <v>585</v>
      </c>
      <c r="M131" s="2378"/>
      <c r="N131" s="644" t="s">
        <v>585</v>
      </c>
      <c r="O131" s="644" t="s">
        <v>585</v>
      </c>
      <c r="P131" s="644" t="s">
        <v>585</v>
      </c>
      <c r="Q131" s="645">
        <f>SUM(Q132:Q134)</f>
        <v>0</v>
      </c>
      <c r="R131" s="645">
        <f>IF(R128=0,0,(Q128/R128)*100)</f>
        <v>0</v>
      </c>
      <c r="S131" s="2041"/>
      <c r="T131" s="723" t="s">
        <v>651</v>
      </c>
      <c r="U131" s="74"/>
      <c r="V131" s="74"/>
      <c r="AC131" s="74"/>
    </row>
    <row s="2666" customFormat="1" customHeight="1" ht="11.25">
      <c r="A132" s="1847"/>
      <c r="B132" s="1168"/>
      <c r="C132" s="418"/>
      <c r="D132" s="74"/>
      <c r="E132" s="2374"/>
      <c r="F132" s="1982"/>
      <c r="G132" s="2376"/>
      <c r="H132" s="1971"/>
      <c r="I132" s="2356" t="s">
        <v>975</v>
      </c>
      <c r="J132" s="2370"/>
      <c r="K132" s="2371"/>
      <c r="L132" s="646"/>
      <c r="M132" s="647" t="s">
        <v>128</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1230</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1231</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975</v>
      </c>
      <c r="J139" s="2370"/>
      <c r="K139" s="2371"/>
      <c r="L139" s="646"/>
      <c r="M139" s="647" t="s">
        <v>128</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1230</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128</v>
      </c>
      <c r="N142" s="1836"/>
      <c r="O142" s="648"/>
      <c r="P142" s="649"/>
      <c r="Q142" s="648"/>
      <c r="R142" s="650">
        <v>0</v>
      </c>
      <c r="S142" s="74"/>
      <c r="T142" s="723"/>
      <c r="U142" s="74"/>
      <c r="V142" s="74"/>
      <c r="AC142" s="74"/>
    </row>
    <row r="144" s="6989" customFormat="1" customHeight="1" ht="17.25">
      <c r="A144" s="1856" t="s">
        <v>1232</v>
      </c>
    </row>
    <row customHeight="1" ht="17.25">
      <c r="G145" s="1880"/>
      <c r="H145" s="1880"/>
      <c r="I145" s="1880"/>
      <c r="M145" s="1876"/>
    </row>
    <row s="7175" customFormat="1" customHeight="1" ht="17.25">
      <c r="A146" s="1881"/>
      <c r="C146" s="1883"/>
      <c r="D146" s="2353"/>
      <c r="E146" s="1993"/>
      <c r="F146" s="1995"/>
      <c r="G146" s="2359"/>
      <c r="H146" s="2353"/>
      <c r="I146" s="2353">
        <v>1</v>
      </c>
      <c r="J146" s="2389"/>
      <c r="K146" s="2044" t="s">
        <v>61</v>
      </c>
      <c r="L146" s="1982"/>
      <c r="M146" s="1982" t="s">
        <v>128</v>
      </c>
      <c r="N146" s="2387" t="str">
        <f>IF(Z146="","",INDEX(TERRITORY_MR_LIST,MATCH(Z146,TERRITORY_LIST_ID,0)))</f>
        <v/>
      </c>
      <c r="O146" s="2044" t="s">
        <v>61</v>
      </c>
      <c r="P146" s="1982"/>
      <c r="Q146" s="1982" t="s">
        <v>128</v>
      </c>
      <c r="R146" s="2358" t="s">
        <v>24</v>
      </c>
      <c r="S146" s="1981" t="s">
        <v>61</v>
      </c>
      <c r="T146" s="1852"/>
      <c r="U146" s="1852" t="s">
        <v>128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7175"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191</v>
      </c>
      <c r="W147" s="312"/>
      <c r="Y147" s="1288"/>
      <c r="Z147" s="1288"/>
      <c r="AA147" s="1288"/>
      <c r="AB147" s="1288"/>
      <c r="AC147" s="1288"/>
      <c r="AD147" s="1288"/>
      <c r="AE147" s="1288"/>
      <c r="AF147" s="1288"/>
      <c r="AG147" s="1288"/>
      <c r="AH147" s="1288"/>
      <c r="AI147" s="1288"/>
      <c r="AJ147" s="1288"/>
      <c r="AK147" s="1288"/>
    </row>
    <row s="7175" customFormat="1" customHeight="1" ht="17.25">
      <c r="A148" s="1881"/>
      <c r="C148" s="1886"/>
      <c r="D148" s="2354"/>
      <c r="E148" s="2386"/>
      <c r="F148" s="1996"/>
      <c r="G148" s="2360"/>
      <c r="H148" s="2354"/>
      <c r="I148" s="2354"/>
      <c r="J148" s="2390"/>
      <c r="K148" s="2045"/>
      <c r="L148" s="2354"/>
      <c r="M148" s="2354"/>
      <c r="N148" s="2388"/>
      <c r="O148" s="1986"/>
      <c r="P148" s="310"/>
      <c r="Q148" s="311"/>
      <c r="R148" s="311" t="s">
        <v>192</v>
      </c>
      <c r="S148" s="1887"/>
      <c r="T148" s="1887"/>
      <c r="U148" s="1887"/>
      <c r="V148" s="1887"/>
      <c r="W148" s="312"/>
      <c r="Y148" s="1288"/>
      <c r="Z148" s="1288"/>
      <c r="AA148" s="1288"/>
      <c r="AB148" s="1288"/>
      <c r="AC148" s="1288"/>
      <c r="AD148" s="1288"/>
      <c r="AE148" s="1288"/>
      <c r="AF148" s="1288"/>
      <c r="AG148" s="1288"/>
      <c r="AH148" s="1288"/>
      <c r="AI148" s="1288"/>
      <c r="AJ148" s="1288"/>
      <c r="AK148" s="1288"/>
    </row>
    <row s="7175" customFormat="1" customHeight="1" ht="17.25">
      <c r="A149" s="1881"/>
      <c r="C149" s="1886"/>
      <c r="D149" s="2354"/>
      <c r="E149" s="2386"/>
      <c r="F149" s="1996"/>
      <c r="G149" s="2360"/>
      <c r="H149" s="2354"/>
      <c r="I149" s="2354"/>
      <c r="J149" s="2390"/>
      <c r="K149" s="1986"/>
      <c r="L149" s="310"/>
      <c r="M149" s="311"/>
      <c r="N149" s="311" t="s">
        <v>211</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7175" customFormat="1" customHeight="1" ht="17.25">
      <c r="A150" s="1881"/>
      <c r="C150" s="1886"/>
      <c r="D150" s="2354"/>
      <c r="E150" s="2386"/>
      <c r="F150" s="1997"/>
      <c r="G150" s="2360"/>
      <c r="H150" s="310"/>
      <c r="I150" s="311"/>
      <c r="J150" s="311" t="s">
        <v>230</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7175" customFormat="1" customHeight="1" ht="17.25">
      <c r="A152" s="1881"/>
      <c r="C152" s="1883"/>
      <c r="D152" s="1871"/>
      <c r="E152" s="1888"/>
      <c r="F152" s="1825"/>
      <c r="G152" s="1889"/>
      <c r="H152" s="2353"/>
      <c r="I152" s="2353">
        <v>1</v>
      </c>
      <c r="J152" s="2389"/>
      <c r="K152" s="2044" t="s">
        <v>61</v>
      </c>
      <c r="L152" s="1982"/>
      <c r="M152" s="1982" t="s">
        <v>128</v>
      </c>
      <c r="N152" s="2387" t="str">
        <f>IF(Z152="","",INDEX(TERRITORY_MR_LIST,MATCH(Z152,TERRITORY_LIST_ID,0)))</f>
        <v/>
      </c>
      <c r="O152" s="2044" t="s">
        <v>61</v>
      </c>
      <c r="P152" s="1982"/>
      <c r="Q152" s="1982" t="s">
        <v>128</v>
      </c>
      <c r="R152" s="2358" t="s">
        <v>24</v>
      </c>
      <c r="S152" s="1981" t="s">
        <v>61</v>
      </c>
      <c r="T152" s="1852"/>
      <c r="U152" s="1852" t="s">
        <v>128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7175"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191</v>
      </c>
      <c r="W153" s="312"/>
      <c r="Y153" s="1288"/>
      <c r="Z153" s="1288"/>
      <c r="AA153" s="1288"/>
      <c r="AB153" s="1288"/>
      <c r="AC153" s="1288"/>
      <c r="AD153" s="1288"/>
      <c r="AE153" s="1288"/>
      <c r="AF153" s="1288"/>
      <c r="AG153" s="1288"/>
      <c r="AH153" s="1288"/>
      <c r="AI153" s="1288"/>
      <c r="AJ153" s="1288"/>
      <c r="AK153" s="1288"/>
    </row>
    <row s="7175" customFormat="1" customHeight="1" ht="17.25">
      <c r="A154" s="1881"/>
      <c r="C154" s="1886"/>
      <c r="D154" s="1871"/>
      <c r="E154" s="1888"/>
      <c r="F154" s="1825"/>
      <c r="G154" s="1889"/>
      <c r="H154" s="2354"/>
      <c r="I154" s="2354"/>
      <c r="J154" s="2390"/>
      <c r="K154" s="2045"/>
      <c r="L154" s="2354"/>
      <c r="M154" s="2354"/>
      <c r="N154" s="2388"/>
      <c r="O154" s="1986"/>
      <c r="P154" s="310"/>
      <c r="Q154" s="311"/>
      <c r="R154" s="311" t="s">
        <v>192</v>
      </c>
      <c r="S154" s="1887"/>
      <c r="T154" s="1887"/>
      <c r="U154" s="1887"/>
      <c r="V154" s="1887"/>
      <c r="W154" s="312"/>
      <c r="Y154" s="1288"/>
      <c r="Z154" s="1288"/>
      <c r="AA154" s="1288"/>
      <c r="AB154" s="1288"/>
      <c r="AC154" s="1288"/>
      <c r="AD154" s="1288"/>
      <c r="AE154" s="1288"/>
      <c r="AF154" s="1288"/>
      <c r="AG154" s="1288"/>
      <c r="AH154" s="1288"/>
      <c r="AI154" s="1288"/>
      <c r="AJ154" s="1288"/>
      <c r="AK154" s="1288"/>
    </row>
    <row s="7175" customFormat="1" customHeight="1" ht="17.25">
      <c r="A155" s="1881"/>
      <c r="C155" s="1886"/>
      <c r="D155" s="1871"/>
      <c r="E155" s="1888"/>
      <c r="F155" s="1825"/>
      <c r="G155" s="1889"/>
      <c r="H155" s="2354"/>
      <c r="I155" s="2354"/>
      <c r="J155" s="2390"/>
      <c r="K155" s="1986"/>
      <c r="L155" s="310"/>
      <c r="M155" s="311"/>
      <c r="N155" s="311" t="s">
        <v>211</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7175" customFormat="1" customHeight="1" ht="17.25">
      <c r="A157" s="1881"/>
      <c r="C157" s="1883"/>
      <c r="D157" s="1871"/>
      <c r="E157" s="1888"/>
      <c r="F157" s="1825"/>
      <c r="G157" s="1889"/>
      <c r="H157" s="1871"/>
      <c r="I157" s="1871"/>
      <c r="J157" s="1890"/>
      <c r="K157" s="1800"/>
      <c r="L157" s="1982"/>
      <c r="M157" s="1982" t="s">
        <v>128</v>
      </c>
      <c r="N157" s="2387" t="str">
        <f>IF(Z157="","",INDEX(TERRITORY_MR_LIST,MATCH(Z157,TERRITORY_LIST_ID,0)))</f>
        <v/>
      </c>
      <c r="O157" s="2044" t="s">
        <v>61</v>
      </c>
      <c r="P157" s="1982"/>
      <c r="Q157" s="1982" t="s">
        <v>128</v>
      </c>
      <c r="R157" s="2358" t="s">
        <v>24</v>
      </c>
      <c r="S157" s="1981" t="s">
        <v>61</v>
      </c>
      <c r="T157" s="1852"/>
      <c r="U157" s="1852" t="s">
        <v>128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7175"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191</v>
      </c>
      <c r="W158" s="312"/>
      <c r="Y158" s="1288"/>
      <c r="Z158" s="1288"/>
      <c r="AA158" s="1288"/>
      <c r="AB158" s="1288"/>
      <c r="AC158" s="1288"/>
      <c r="AD158" s="1288"/>
      <c r="AE158" s="1288"/>
      <c r="AF158" s="1288"/>
      <c r="AG158" s="1288"/>
      <c r="AH158" s="1288"/>
      <c r="AI158" s="1288"/>
      <c r="AJ158" s="1288"/>
      <c r="AK158" s="1288"/>
    </row>
    <row s="7175" customFormat="1" customHeight="1" ht="17.25">
      <c r="A159" s="1881"/>
      <c r="C159" s="1886"/>
      <c r="D159" s="1871"/>
      <c r="E159" s="1888"/>
      <c r="F159" s="1825"/>
      <c r="G159" s="1889"/>
      <c r="H159" s="1871"/>
      <c r="I159" s="1871"/>
      <c r="J159" s="1890"/>
      <c r="K159" s="1800"/>
      <c r="L159" s="2354"/>
      <c r="M159" s="2354"/>
      <c r="N159" s="2388"/>
      <c r="O159" s="1986"/>
      <c r="P159" s="310"/>
      <c r="Q159" s="311"/>
      <c r="R159" s="311" t="s">
        <v>192</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7175" customFormat="1" customHeight="1" ht="17.25">
      <c r="A161" s="1881"/>
      <c r="C161" s="1883"/>
      <c r="D161" s="1871"/>
      <c r="E161" s="1888"/>
      <c r="F161" s="1825"/>
      <c r="G161" s="1889"/>
      <c r="H161" s="1871"/>
      <c r="I161" s="1871"/>
      <c r="J161" s="1890"/>
      <c r="K161" s="1800"/>
      <c r="L161" s="1796"/>
      <c r="M161" s="1796"/>
      <c r="N161" s="1891"/>
      <c r="O161" s="1828"/>
      <c r="P161" s="1982"/>
      <c r="Q161" s="1982" t="s">
        <v>128</v>
      </c>
      <c r="R161" s="2358" t="s">
        <v>24</v>
      </c>
      <c r="S161" s="1981" t="s">
        <v>61</v>
      </c>
      <c r="T161" s="1852"/>
      <c r="U161" s="1852" t="s">
        <v>128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7175"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191</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7175"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128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6989" customFormat="1" customHeight="1" ht="17.25">
      <c r="A166" s="1856" t="s">
        <v>1233</v>
      </c>
    </row>
    <row customHeight="1" ht="17.25">
      <c r="G167" s="1880"/>
      <c r="H167" s="1880"/>
      <c r="I167" s="1880"/>
      <c r="M167" s="1876"/>
    </row>
    <row s="7175" customFormat="1" customHeight="1" ht="17.25">
      <c r="A168" s="1881"/>
      <c r="C168" s="1883"/>
      <c r="D168" s="2353"/>
      <c r="E168" s="1993"/>
      <c r="F168" s="1995"/>
      <c r="G168" s="2359"/>
      <c r="H168" s="2353"/>
      <c r="I168" s="2353">
        <v>1</v>
      </c>
      <c r="J168" s="2389"/>
      <c r="K168" s="2044" t="s">
        <v>61</v>
      </c>
      <c r="L168" s="1982"/>
      <c r="M168" s="1982" t="s">
        <v>128</v>
      </c>
      <c r="N168" s="2387" t="str">
        <f>IF(Z168="","",INDEX(TERRITORY_MR_LIST,MATCH(Z168,TERRITORY_LIST_ID,0)))</f>
        <v/>
      </c>
      <c r="O168" s="2044" t="s">
        <v>61</v>
      </c>
      <c r="P168" s="1982"/>
      <c r="Q168" s="1982" t="s">
        <v>128</v>
      </c>
      <c r="R168" s="2358" t="s">
        <v>24</v>
      </c>
      <c r="S168" s="2240" t="s">
        <v>56</v>
      </c>
      <c r="T168" s="1843"/>
      <c r="U168" s="1843" t="s">
        <v>128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7175"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7175" customFormat="1" customHeight="1" ht="17.25">
      <c r="A170" s="1881"/>
      <c r="C170" s="1886"/>
      <c r="D170" s="2354"/>
      <c r="E170" s="2386"/>
      <c r="F170" s="1996"/>
      <c r="G170" s="2360"/>
      <c r="H170" s="2354"/>
      <c r="I170" s="2354"/>
      <c r="J170" s="2390"/>
      <c r="K170" s="2045"/>
      <c r="L170" s="2354"/>
      <c r="M170" s="2354"/>
      <c r="N170" s="2388"/>
      <c r="O170" s="1986"/>
      <c r="P170" s="310"/>
      <c r="Q170" s="311"/>
      <c r="R170" s="311" t="s">
        <v>192</v>
      </c>
      <c r="S170" s="1887"/>
      <c r="T170" s="1887"/>
      <c r="U170" s="1887"/>
      <c r="V170" s="1887"/>
      <c r="W170" s="1463"/>
      <c r="Y170" s="1288"/>
      <c r="Z170" s="1288"/>
      <c r="AA170" s="1288"/>
      <c r="AB170" s="1288"/>
      <c r="AC170" s="1288"/>
      <c r="AD170" s="1288"/>
      <c r="AE170" s="1288"/>
      <c r="AF170" s="1288"/>
      <c r="AG170" s="1288"/>
      <c r="AH170" s="1288"/>
      <c r="AI170" s="1288"/>
      <c r="AJ170" s="1288"/>
      <c r="AK170" s="1288"/>
    </row>
    <row s="7175" customFormat="1" customHeight="1" ht="17.25">
      <c r="A171" s="1881"/>
      <c r="C171" s="1886"/>
      <c r="D171" s="2354"/>
      <c r="E171" s="2386"/>
      <c r="F171" s="1996"/>
      <c r="G171" s="2360"/>
      <c r="H171" s="2354"/>
      <c r="I171" s="2354"/>
      <c r="J171" s="2390"/>
      <c r="K171" s="1986"/>
      <c r="L171" s="310"/>
      <c r="M171" s="311"/>
      <c r="N171" s="311" t="s">
        <v>211</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7175" customFormat="1" customHeight="1" ht="17.25">
      <c r="A172" s="1881"/>
      <c r="C172" s="1886"/>
      <c r="D172" s="2354"/>
      <c r="E172" s="2386"/>
      <c r="F172" s="1997"/>
      <c r="G172" s="2360"/>
      <c r="H172" s="310"/>
      <c r="I172" s="311"/>
      <c r="J172" s="311" t="s">
        <v>230</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7175" customFormat="1" customHeight="1" ht="17.25">
      <c r="A174" s="1881"/>
      <c r="C174" s="1883"/>
      <c r="D174" s="1871"/>
      <c r="E174" s="1888"/>
      <c r="F174" s="1825"/>
      <c r="G174" s="1889"/>
      <c r="H174" s="2353"/>
      <c r="I174" s="2353">
        <v>1</v>
      </c>
      <c r="J174" s="2389"/>
      <c r="K174" s="2044" t="s">
        <v>61</v>
      </c>
      <c r="L174" s="1982"/>
      <c r="M174" s="1982" t="s">
        <v>128</v>
      </c>
      <c r="N174" s="2387" t="str">
        <f>IF(Z174="","",INDEX(TERRITORY_MR_LIST,MATCH(Z174,TERRITORY_LIST_ID,0)))</f>
        <v/>
      </c>
      <c r="O174" s="2044" t="s">
        <v>61</v>
      </c>
      <c r="P174" s="1982"/>
      <c r="Q174" s="1982" t="s">
        <v>128</v>
      </c>
      <c r="R174" s="2358" t="s">
        <v>24</v>
      </c>
      <c r="S174" s="2240" t="s">
        <v>56</v>
      </c>
      <c r="T174" s="1843"/>
      <c r="U174" s="1843" t="s">
        <v>128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7175"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7175" customFormat="1" customHeight="1" ht="17.25">
      <c r="A176" s="1881"/>
      <c r="C176" s="1886"/>
      <c r="D176" s="1871"/>
      <c r="E176" s="1888"/>
      <c r="F176" s="1825"/>
      <c r="G176" s="1889"/>
      <c r="H176" s="2354"/>
      <c r="I176" s="2354"/>
      <c r="J176" s="2390"/>
      <c r="K176" s="2045"/>
      <c r="L176" s="2354"/>
      <c r="M176" s="2354"/>
      <c r="N176" s="2388"/>
      <c r="O176" s="1986"/>
      <c r="P176" s="310"/>
      <c r="Q176" s="311"/>
      <c r="R176" s="311" t="s">
        <v>192</v>
      </c>
      <c r="S176" s="1887"/>
      <c r="T176" s="1887"/>
      <c r="U176" s="1887"/>
      <c r="V176" s="1887"/>
      <c r="W176" s="1463"/>
      <c r="Y176" s="1288"/>
      <c r="Z176" s="1288"/>
      <c r="AA176" s="1288"/>
      <c r="AB176" s="1288"/>
      <c r="AC176" s="1288"/>
      <c r="AD176" s="1288"/>
      <c r="AE176" s="1288"/>
      <c r="AF176" s="1288"/>
      <c r="AG176" s="1288"/>
      <c r="AH176" s="1288"/>
      <c r="AI176" s="1288"/>
      <c r="AJ176" s="1288"/>
      <c r="AK176" s="1288"/>
    </row>
    <row s="7175" customFormat="1" customHeight="1" ht="17.25">
      <c r="A177" s="1881"/>
      <c r="C177" s="1886"/>
      <c r="D177" s="1871"/>
      <c r="E177" s="1888"/>
      <c r="F177" s="1825"/>
      <c r="G177" s="1889"/>
      <c r="H177" s="2354"/>
      <c r="I177" s="2354"/>
      <c r="J177" s="2390"/>
      <c r="K177" s="1986"/>
      <c r="L177" s="310"/>
      <c r="M177" s="311"/>
      <c r="N177" s="311" t="s">
        <v>211</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7175" customFormat="1" customHeight="1" ht="17.25">
      <c r="A179" s="1881"/>
      <c r="C179" s="1883"/>
      <c r="D179" s="1871"/>
      <c r="E179" s="1888"/>
      <c r="F179" s="1825"/>
      <c r="G179" s="1889"/>
      <c r="H179" s="1871"/>
      <c r="I179" s="1871"/>
      <c r="J179" s="1893"/>
      <c r="K179" s="1889"/>
      <c r="L179" s="1982"/>
      <c r="M179" s="1982" t="s">
        <v>128</v>
      </c>
      <c r="N179" s="2387" t="str">
        <f>IF(Z179="","",INDEX(TERRITORY_MR_LIST,MATCH(Z179,TERRITORY_LIST_ID,0)))</f>
        <v/>
      </c>
      <c r="O179" s="2044" t="s">
        <v>61</v>
      </c>
      <c r="P179" s="1982"/>
      <c r="Q179" s="1982" t="s">
        <v>128</v>
      </c>
      <c r="R179" s="2358" t="s">
        <v>24</v>
      </c>
      <c r="S179" s="2240" t="s">
        <v>56</v>
      </c>
      <c r="T179" s="1843"/>
      <c r="U179" s="1843" t="s">
        <v>128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7175"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7175" customFormat="1" customHeight="1" ht="17.25">
      <c r="A181" s="1881"/>
      <c r="C181" s="1886"/>
      <c r="D181" s="1871"/>
      <c r="E181" s="1888"/>
      <c r="F181" s="1825"/>
      <c r="G181" s="1889"/>
      <c r="H181" s="1871"/>
      <c r="I181" s="1871"/>
      <c r="J181" s="1893"/>
      <c r="K181" s="1889"/>
      <c r="L181" s="2354"/>
      <c r="M181" s="2354"/>
      <c r="N181" s="2388"/>
      <c r="O181" s="1986"/>
      <c r="P181" s="310"/>
      <c r="Q181" s="311"/>
      <c r="R181" s="311" t="s">
        <v>192</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7175" customFormat="1" customHeight="1" ht="17.25">
      <c r="A183" s="1881"/>
      <c r="C183" s="1883"/>
      <c r="D183" s="1871"/>
      <c r="E183" s="1888"/>
      <c r="F183" s="1825"/>
      <c r="G183" s="1889"/>
      <c r="H183" s="1871"/>
      <c r="I183" s="1871"/>
      <c r="J183" s="1893"/>
      <c r="K183" s="1889"/>
      <c r="L183" s="1871"/>
      <c r="M183" s="1871"/>
      <c r="N183" s="1891"/>
      <c r="O183" s="1828"/>
      <c r="P183" s="1982"/>
      <c r="Q183" s="1982" t="s">
        <v>128</v>
      </c>
      <c r="R183" s="2358" t="s">
        <v>24</v>
      </c>
      <c r="S183" s="2240" t="s">
        <v>56</v>
      </c>
      <c r="T183" s="1843"/>
      <c r="U183" s="1843" t="s">
        <v>128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7175"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6989" customFormat="1" customHeight="1" ht="17.25">
      <c r="A192" s="1856" t="s">
        <v>1234</v>
      </c>
    </row>
    <row customHeight="1" ht="17.25">
      <c r="G193" s="1880"/>
      <c r="H193" s="1880"/>
      <c r="I193" s="1880"/>
      <c r="M193" s="1876"/>
    </row>
    <row s="2666" customFormat="1" customHeight="1" ht="15">
      <c r="D194" s="2416"/>
      <c r="E194" s="2036"/>
      <c r="F194" s="2036"/>
      <c r="G194" s="2044"/>
      <c r="H194" s="1604"/>
      <c r="I194" s="2417">
        <v>1</v>
      </c>
      <c r="J194" s="2389"/>
      <c r="K194" s="1619"/>
      <c r="L194" s="2044" t="s">
        <v>61</v>
      </c>
      <c r="M194" s="2044" t="s">
        <v>61</v>
      </c>
      <c r="N194" s="1604"/>
      <c r="O194" s="1982" t="s">
        <v>128</v>
      </c>
      <c r="P194" s="2411"/>
      <c r="Q194" s="1620"/>
      <c r="R194" s="2044" t="s">
        <v>61</v>
      </c>
      <c r="S194" s="2044" t="s">
        <v>61</v>
      </c>
      <c r="T194" s="1897"/>
      <c r="U194" s="1982" t="s">
        <v>128</v>
      </c>
      <c r="V194" s="2413" t="str">
        <f>IF(AK194="","",INDEX(TERRITORY_MR_LIST,MATCH(AK194,TERRITORY_LIST_ID,0)))</f>
        <v/>
      </c>
      <c r="W194" s="1621"/>
      <c r="X194" s="2044" t="s">
        <v>61</v>
      </c>
      <c r="Y194" s="2044" t="s">
        <v>56</v>
      </c>
      <c r="Z194" s="1604"/>
      <c r="AA194" s="1982" t="s">
        <v>128</v>
      </c>
      <c r="AB194" s="2415"/>
      <c r="AC194" s="1622"/>
      <c r="AD194" s="2044" t="s">
        <v>61</v>
      </c>
      <c r="AE194" s="2044" t="s">
        <v>56</v>
      </c>
      <c r="AF194" s="1602"/>
      <c r="AG194" s="1852" t="s">
        <v>128</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1235</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1236</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122</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1237</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79" customFormat="1" customHeight="1" ht="11.25">
      <c r="D199" s="2416"/>
      <c r="E199" s="2036"/>
      <c r="F199" s="2036"/>
      <c r="G199" s="1986"/>
      <c r="H199" s="1610"/>
      <c r="I199" s="1611"/>
      <c r="J199" s="2419" t="s">
        <v>230</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79"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2A29E7-170B-0394-BDC9-4873980C81A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7338" width="32.57421875" customWidth="1"/>
    <col min="2" max="2" style="7339" width="11.00390625" customWidth="1"/>
    <col min="3" max="3" style="7339" width="9.140625"/>
    <col min="4" max="4" style="7339" width="26.57421875" customWidth="1"/>
    <col min="5" max="5" style="7253" width="27.7109375" customWidth="1"/>
    <col min="6" max="6" style="7253" width="23.57421875" customWidth="1"/>
    <col min="7" max="7" style="7253" width="31.421875" customWidth="1"/>
    <col min="8" max="8" style="7253" width="40.8515625" customWidth="1"/>
    <col min="9" max="9" style="7253" width="14.57421875" customWidth="1"/>
    <col min="10" max="10" style="7253" width="26.8515625" customWidth="1"/>
    <col min="11" max="11" style="7253" width="50.00390625" customWidth="1"/>
    <col min="12" max="12" style="7253" width="52.421875" customWidth="1"/>
    <col min="13" max="13" style="7253" width="10.7109375" customWidth="1"/>
    <col min="14" max="14" style="7253" width="55.140625" customWidth="1"/>
    <col min="15" max="15" style="7253" width="31.8515625" customWidth="1"/>
    <col min="16" max="16" style="7253" width="23.8515625" customWidth="1"/>
    <col min="17" max="17" style="7253" width="46.57421875" customWidth="1"/>
    <col min="18" max="18" style="7253" width="24.00390625" customWidth="1"/>
    <col min="19" max="19" style="7253" width="20.57421875" customWidth="1"/>
    <col min="20" max="20" style="7253" width="22.00390625" customWidth="1"/>
    <col min="21" max="22" style="7253" width="26.421875" customWidth="1"/>
    <col min="23" max="23" style="7253" width="8.28125" hidden="1" customWidth="1"/>
    <col min="24" max="24" style="7253" width="59.7109375" customWidth="1"/>
    <col min="25" max="25" style="7253" width="49.140625" customWidth="1"/>
    <col min="26" max="26" style="7253" width="11.140625" customWidth="1"/>
    <col min="27" max="30" style="7253" width="29.00390625" customWidth="1"/>
    <col min="31" max="31" style="7253" width="9.140625"/>
    <col min="32" max="32" style="7253" width="34.7109375" customWidth="1"/>
    <col min="33" max="33" style="7253" width="9.140625"/>
    <col min="34" max="35" style="7253" width="34.421875" customWidth="1"/>
    <col min="36" max="36" style="7253" width="9.140625"/>
    <col min="37" max="37" style="7253" width="24.57421875" customWidth="1"/>
    <col min="38" max="38" style="7253" width="9.140625"/>
    <col min="39" max="39" style="7253" width="26.140625" customWidth="1"/>
    <col min="40" max="40" style="7253" width="1.7109375" customWidth="1"/>
    <col min="41" max="41" style="7253" width="9.140625"/>
    <col min="42" max="43" style="7253" width="47.8515625" customWidth="1"/>
    <col min="44" max="44" style="7253" width="1.7109375" customWidth="1"/>
    <col min="45" max="45" style="7253" width="21.421875" customWidth="1"/>
    <col min="46" max="46" style="7253" width="1.7109375" customWidth="1"/>
    <col min="47" max="47" style="7253" width="31.28125" customWidth="1"/>
    <col min="48" max="48" style="7253" width="1.7109375" customWidth="1"/>
    <col min="49" max="50" style="7340" width="9.140625"/>
    <col min="51" max="51" style="7253" width="3.7109375" customWidth="1"/>
    <col min="52" max="52" style="7253" width="55.00390625" customWidth="1"/>
    <col min="53" max="53" style="7253" width="9.140625"/>
    <col min="54" max="54" style="7253" width="35.140625" customWidth="1"/>
    <col min="55" max="55" style="7253" width="9.140625"/>
    <col min="56" max="56" style="7253" width="1.7109375" customWidth="1"/>
    <col min="57" max="57" style="7341" width="12.57421875" customWidth="1"/>
    <col min="58" max="58" style="7341" width="14.28125" customWidth="1"/>
    <col min="59" max="59" style="7253" width="30.7109375" customWidth="1"/>
    <col min="60" max="60" style="7248" width="40.7109375" customWidth="1"/>
    <col min="61" max="61" style="7248" width="15.00390625" customWidth="1"/>
    <col min="62" max="62" style="7248" width="40.7109375" customWidth="1"/>
    <col min="63" max="63" style="7248" width="2.7109375" customWidth="1"/>
    <col min="64" max="64" style="7248" width="44.7109375" customWidth="1"/>
    <col min="65" max="65" style="7248" width="2.7109375" customWidth="1"/>
    <col min="66" max="66" style="7248" width="40.7109375" customWidth="1"/>
    <col min="67" max="68" style="7253" width="9.140625"/>
    <col min="69" max="69" style="7253" width="18.140625" customWidth="1"/>
    <col min="70" max="70" style="7253" width="57.8515625" customWidth="1"/>
    <col min="71" max="71" style="7308" width="1.7109375" customWidth="1"/>
    <col min="72" max="72" style="7253" width="22.57421875" customWidth="1"/>
    <col min="73" max="73" style="7253" width="57.8515625" customWidth="1"/>
    <col min="74" max="74" style="7253" width="1.7109375" customWidth="1"/>
    <col min="75" max="75" style="7253" width="22.57421875" customWidth="1"/>
    <col min="76" max="76" style="7253" width="57.8515625" customWidth="1"/>
    <col min="77" max="77" style="7253" width="1.7109375" customWidth="1"/>
    <col min="78" max="78" style="7253" width="22.57421875" customWidth="1"/>
    <col min="79" max="79" style="7253" width="57.8515625" customWidth="1"/>
    <col min="80" max="81" style="7253" width="9.140625"/>
    <col min="82" max="82" style="7253" width="49.57421875" customWidth="1"/>
  </cols>
  <sheetData>
    <row s="7243" customFormat="1" customHeight="1" ht="11.25">
      <c r="A1" s="1074" t="s">
        <v>1238</v>
      </c>
      <c r="B1" s="1074" t="s">
        <v>1239</v>
      </c>
      <c r="C1" s="1074" t="s">
        <v>1240</v>
      </c>
      <c r="D1" s="1074" t="s">
        <v>1241</v>
      </c>
      <c r="E1" s="1074" t="s">
        <v>1242</v>
      </c>
      <c r="F1" s="1074" t="s">
        <v>1243</v>
      </c>
      <c r="G1" s="1074" t="s">
        <v>1244</v>
      </c>
      <c r="H1" s="1074" t="s">
        <v>1245</v>
      </c>
      <c r="I1" s="1074" t="s">
        <v>1246</v>
      </c>
      <c r="J1" s="1074" t="s">
        <v>1247</v>
      </c>
      <c r="K1" s="1074" t="s">
        <v>1248</v>
      </c>
      <c r="L1" s="1074" t="s">
        <v>1249</v>
      </c>
      <c r="M1" s="1074"/>
      <c r="N1" s="1074" t="s">
        <v>1250</v>
      </c>
      <c r="O1" s="1074" t="s">
        <v>1251</v>
      </c>
      <c r="P1" s="1074" t="s">
        <v>1252</v>
      </c>
      <c r="Q1" s="1074" t="s">
        <v>1253</v>
      </c>
      <c r="R1" s="1074" t="s">
        <v>1254</v>
      </c>
      <c r="S1" s="1074" t="s">
        <v>1255</v>
      </c>
      <c r="T1" s="1074" t="s">
        <v>1256</v>
      </c>
      <c r="U1" s="1074" t="s">
        <v>1257</v>
      </c>
      <c r="V1" s="1074"/>
      <c r="W1" s="803" t="s">
        <v>1258</v>
      </c>
      <c r="X1" s="1074" t="s">
        <v>1259</v>
      </c>
      <c r="Y1" s="1074" t="s">
        <v>1260</v>
      </c>
      <c r="Z1" s="1074"/>
      <c r="AA1" s="1074" t="s">
        <v>1261</v>
      </c>
      <c r="AB1" s="1074"/>
      <c r="AC1" s="1074" t="s">
        <v>1262</v>
      </c>
      <c r="AD1" s="1074"/>
      <c r="AF1" s="1074" t="s">
        <v>1263</v>
      </c>
      <c r="AH1" s="1074" t="s">
        <v>1264</v>
      </c>
      <c r="AI1" s="1074" t="s">
        <v>1265</v>
      </c>
      <c r="AK1" s="1074" t="s">
        <v>1266</v>
      </c>
      <c r="AM1" s="1074" t="s">
        <v>1267</v>
      </c>
      <c r="AP1" s="1074" t="s">
        <v>1268</v>
      </c>
      <c r="AQ1" s="1074" t="s">
        <v>1269</v>
      </c>
      <c r="AS1" s="1074" t="s">
        <v>1270</v>
      </c>
      <c r="AU1" s="1074" t="s">
        <v>1271</v>
      </c>
      <c r="AW1" s="1074" t="s">
        <v>1272</v>
      </c>
      <c r="AX1" s="1074" t="s">
        <v>1273</v>
      </c>
      <c r="AZ1" s="1160" t="s">
        <v>1274</v>
      </c>
      <c r="BB1" s="1074" t="s">
        <v>1275</v>
      </c>
      <c r="BC1" s="1074"/>
      <c r="BE1" s="1074" t="s">
        <v>1276</v>
      </c>
      <c r="BF1" s="1074" t="s">
        <v>1277</v>
      </c>
      <c r="BH1" s="1076" t="s">
        <v>761</v>
      </c>
      <c r="BI1" s="1077"/>
      <c r="BJ1" s="1078" t="s">
        <v>1278</v>
      </c>
      <c r="BK1" s="1077"/>
      <c r="BL1" s="1079" t="s">
        <v>859</v>
      </c>
      <c r="BM1" s="1077"/>
      <c r="BN1" s="1080" t="s">
        <v>1279</v>
      </c>
      <c r="BS1" s="1457"/>
    </row>
    <row customHeight="1" ht="11.25">
      <c r="A2" s="1081" t="s">
        <v>1280</v>
      </c>
      <c r="B2" s="1082">
        <v>2000</v>
      </c>
      <c r="C2" s="1082">
        <v>2022</v>
      </c>
      <c r="D2" s="1082" t="s">
        <v>61</v>
      </c>
      <c r="E2" s="1083" t="s">
        <v>1281</v>
      </c>
      <c r="F2" s="1083" t="s">
        <v>1282</v>
      </c>
      <c r="G2" s="1083" t="s">
        <v>1283</v>
      </c>
      <c r="H2" s="1084" t="s">
        <v>54</v>
      </c>
      <c r="I2" s="1083" t="s">
        <v>128</v>
      </c>
      <c r="J2" s="1083" t="s">
        <v>1284</v>
      </c>
      <c r="K2" s="1085" t="s">
        <v>1285</v>
      </c>
      <c r="L2" s="1086"/>
      <c r="M2" s="1085">
        <v>1</v>
      </c>
      <c r="N2" s="1170" t="s">
        <v>1286</v>
      </c>
      <c r="O2" s="1084" t="s">
        <v>495</v>
      </c>
      <c r="P2" s="1087" t="s">
        <v>33</v>
      </c>
      <c r="Q2" s="1088" t="s">
        <v>1287</v>
      </c>
      <c r="R2" s="129" t="s">
        <v>1288</v>
      </c>
      <c r="S2" s="129" t="s">
        <v>1289</v>
      </c>
      <c r="T2" s="1089" t="s">
        <v>1290</v>
      </c>
      <c r="U2" s="1086" t="s">
        <v>1291</v>
      </c>
      <c r="V2" s="1090">
        <v>1</v>
      </c>
      <c r="W2" s="1091"/>
      <c r="X2" s="1091" t="s">
        <v>1292</v>
      </c>
      <c r="Y2" s="1082" t="s">
        <v>1293</v>
      </c>
      <c r="Z2" s="1092"/>
      <c r="AA2" s="1082" t="s">
        <v>183</v>
      </c>
      <c r="AB2" s="1093" t="s">
        <v>183</v>
      </c>
      <c r="AC2" s="1082" t="s">
        <v>1294</v>
      </c>
      <c r="AD2" s="1093" t="s">
        <v>1294</v>
      </c>
      <c r="AF2" s="1084" t="s">
        <v>1291</v>
      </c>
      <c r="AH2" s="1083" t="s">
        <v>1295</v>
      </c>
      <c r="AI2" s="1083" t="s">
        <v>1295</v>
      </c>
      <c r="AK2" s="1083" t="s">
        <v>1296</v>
      </c>
      <c r="AM2" s="1083" t="s">
        <v>1297</v>
      </c>
      <c r="AP2" s="1094" t="s">
        <v>1292</v>
      </c>
      <c r="AQ2" s="1095" t="s">
        <v>1292</v>
      </c>
      <c r="AS2" s="1082" t="s">
        <v>1298</v>
      </c>
      <c r="AU2" s="1128" t="s">
        <v>1299</v>
      </c>
      <c r="AW2" s="1128" t="s">
        <v>1300</v>
      </c>
      <c r="AX2" s="1128" t="s">
        <v>1300</v>
      </c>
      <c r="AZ2" s="1128" t="s">
        <v>52</v>
      </c>
      <c r="BB2" s="1128" t="s">
        <v>1301</v>
      </c>
      <c r="BC2" s="1128" t="s">
        <v>1302</v>
      </c>
      <c r="BE2" s="1128">
        <v>2000</v>
      </c>
      <c r="BF2" s="1128" t="s">
        <v>1303</v>
      </c>
    </row>
    <row customHeight="1" ht="11.25">
      <c r="A3" s="1081" t="s">
        <v>1304</v>
      </c>
      <c r="B3" s="1082">
        <v>2001</v>
      </c>
      <c r="C3" s="1082">
        <v>2023</v>
      </c>
      <c r="D3" s="1082" t="s">
        <v>56</v>
      </c>
      <c r="E3" s="1083" t="s">
        <v>1305</v>
      </c>
      <c r="F3" s="1083" t="s">
        <v>1306</v>
      </c>
      <c r="G3" s="1083" t="s">
        <v>1307</v>
      </c>
      <c r="H3" s="1084" t="s">
        <v>1308</v>
      </c>
      <c r="I3" s="1083" t="s">
        <v>102</v>
      </c>
      <c r="J3" s="1083" t="s">
        <v>595</v>
      </c>
      <c r="K3" s="1085" t="s">
        <v>1309</v>
      </c>
      <c r="L3" s="1086">
        <f>_xlfn.IFERROR(MATCH(K3,OFFER_METHOD,0),0)</f>
        <v>0</v>
      </c>
      <c r="M3" s="1085">
        <v>2</v>
      </c>
      <c r="N3" s="1170" t="s">
        <v>1310</v>
      </c>
      <c r="O3" s="1084" t="s">
        <v>1311</v>
      </c>
      <c r="P3" s="1087" t="s">
        <v>1312</v>
      </c>
      <c r="Q3" s="1088" t="s">
        <v>1313</v>
      </c>
      <c r="R3" s="129" t="s">
        <v>1314</v>
      </c>
      <c r="S3" s="129" t="s">
        <v>1315</v>
      </c>
      <c r="T3" s="1089" t="s">
        <v>1316</v>
      </c>
      <c r="U3" s="1086" t="s">
        <v>1317</v>
      </c>
      <c r="V3" s="1090">
        <v>2</v>
      </c>
      <c r="W3" s="1091"/>
      <c r="X3" s="1091" t="s">
        <v>1318</v>
      </c>
      <c r="Y3" s="1082" t="s">
        <v>1293</v>
      </c>
      <c r="Z3" s="1092"/>
      <c r="AA3" s="1082" t="s">
        <v>1319</v>
      </c>
      <c r="AB3" s="1093" t="s">
        <v>1319</v>
      </c>
      <c r="AC3" s="1082" t="s">
        <v>1320</v>
      </c>
      <c r="AD3" s="1093" t="s">
        <v>1320</v>
      </c>
      <c r="AF3" s="1084" t="s">
        <v>1317</v>
      </c>
      <c r="AH3" s="1083" t="s">
        <v>1321</v>
      </c>
      <c r="AI3" s="1083" t="s">
        <v>1322</v>
      </c>
      <c r="AK3" s="1083" t="s">
        <v>1323</v>
      </c>
      <c r="AM3" s="1083" t="s">
        <v>1324</v>
      </c>
      <c r="AP3" s="1094" t="s">
        <v>1325</v>
      </c>
      <c r="AQ3" s="1095" t="s">
        <v>1325</v>
      </c>
      <c r="AS3" s="1082" t="s">
        <v>1326</v>
      </c>
      <c r="AU3" s="1128" t="s">
        <v>1327</v>
      </c>
      <c r="AW3" s="1128" t="s">
        <v>1328</v>
      </c>
      <c r="AX3" s="1128" t="s">
        <v>1328</v>
      </c>
      <c r="AZ3" s="1128" t="s">
        <v>1329</v>
      </c>
      <c r="BB3" s="1128" t="s">
        <v>1330</v>
      </c>
      <c r="BC3" s="1128" t="s">
        <v>1302</v>
      </c>
      <c r="BE3" s="1128">
        <v>2001</v>
      </c>
      <c r="BF3" s="1128" t="s">
        <v>1331</v>
      </c>
      <c r="BH3" s="1074" t="s">
        <v>1332</v>
      </c>
      <c r="BJ3" s="1074" t="s">
        <v>1333</v>
      </c>
      <c r="BL3" s="1074" t="s">
        <v>1334</v>
      </c>
      <c r="BN3" s="1074" t="s">
        <v>1335</v>
      </c>
      <c r="BR3" s="1074" t="s">
        <v>1336</v>
      </c>
      <c r="BS3" s="1458"/>
      <c r="BT3" s="1077"/>
      <c r="BU3" s="1074" t="s">
        <v>1337</v>
      </c>
      <c r="BV3" s="1077"/>
      <c r="BW3" s="1730"/>
      <c r="BX3" s="1732" t="s">
        <v>1338</v>
      </c>
      <c r="CA3" s="1074" t="s">
        <v>1339</v>
      </c>
    </row>
    <row customHeight="1" ht="11.25">
      <c r="A4" s="1081" t="s">
        <v>1340</v>
      </c>
      <c r="B4" s="1082">
        <v>2002</v>
      </c>
      <c r="C4" s="1082">
        <v>2024</v>
      </c>
      <c r="E4" s="1083" t="s">
        <v>1341</v>
      </c>
      <c r="F4" s="1083" t="s">
        <v>1342</v>
      </c>
      <c r="H4" s="1084" t="s">
        <v>1343</v>
      </c>
      <c r="I4" s="1083" t="s">
        <v>89</v>
      </c>
      <c r="J4" s="1083" t="s">
        <v>1344</v>
      </c>
      <c r="K4" s="1085" t="s">
        <v>1345</v>
      </c>
      <c r="L4" s="1086">
        <f>_xlfn.IFERROR(MATCH(K4,OFFER_METHOD,0),0)</f>
        <v>0</v>
      </c>
      <c r="M4" s="1085">
        <v>3</v>
      </c>
      <c r="N4" s="1170" t="s">
        <v>1346</v>
      </c>
      <c r="O4" s="1083" t="s">
        <v>1347</v>
      </c>
      <c r="Q4" s="1088" t="s">
        <v>1348</v>
      </c>
      <c r="R4" s="129" t="s">
        <v>1349</v>
      </c>
      <c r="S4" s="129" t="s">
        <v>1350</v>
      </c>
      <c r="T4" s="1089" t="s">
        <v>1351</v>
      </c>
      <c r="U4" s="1086" t="s">
        <v>1352</v>
      </c>
      <c r="V4" s="1090">
        <v>3</v>
      </c>
      <c r="W4" s="1091"/>
      <c r="X4" s="1091" t="s">
        <v>1353</v>
      </c>
      <c r="Y4" s="1082" t="s">
        <v>1293</v>
      </c>
      <c r="Z4" s="1098"/>
      <c r="AC4" s="1082" t="s">
        <v>1354</v>
      </c>
      <c r="AD4" s="1093" t="s">
        <v>1354</v>
      </c>
      <c r="AF4" s="1084" t="s">
        <v>1352</v>
      </c>
      <c r="AH4" s="1084" t="s">
        <v>1355</v>
      </c>
      <c r="AK4" s="1083" t="s">
        <v>1356</v>
      </c>
      <c r="AM4" s="1083" t="s">
        <v>1357</v>
      </c>
      <c r="AP4" s="1094" t="s">
        <v>1318</v>
      </c>
      <c r="AQ4" s="1095" t="s">
        <v>1318</v>
      </c>
      <c r="AS4" s="1082" t="s">
        <v>1358</v>
      </c>
      <c r="AU4" s="1128" t="s">
        <v>1359</v>
      </c>
      <c r="AW4" s="1128" t="s">
        <v>1360</v>
      </c>
      <c r="AX4" s="1128" t="s">
        <v>1360</v>
      </c>
      <c r="AZ4" s="1128" t="s">
        <v>1361</v>
      </c>
      <c r="BB4" s="1128" t="s">
        <v>1362</v>
      </c>
      <c r="BC4" s="1128" t="s">
        <v>1363</v>
      </c>
      <c r="BE4" s="1128">
        <v>2002</v>
      </c>
      <c r="BF4" s="1128" t="s">
        <v>1364</v>
      </c>
      <c r="BH4" s="1075" t="s">
        <v>1365</v>
      </c>
      <c r="BJ4" s="1075" t="s">
        <v>1365</v>
      </c>
      <c r="BL4" s="1075" t="s">
        <v>1365</v>
      </c>
      <c r="BN4" s="1075" t="s">
        <v>1365</v>
      </c>
      <c r="BQ4" s="1462" t="s">
        <v>1366</v>
      </c>
      <c r="BR4" s="1167" t="s">
        <v>1367</v>
      </c>
      <c r="BS4" s="260"/>
      <c r="BT4" s="1462" t="s">
        <v>1368</v>
      </c>
      <c r="BU4" s="1167" t="s">
        <v>1369</v>
      </c>
      <c r="BV4" s="1077"/>
      <c r="BW4" s="1737" t="s">
        <v>1370</v>
      </c>
      <c r="BX4" s="1731" t="s">
        <v>1371</v>
      </c>
      <c r="BZ4" s="1462" t="s">
        <v>1372</v>
      </c>
      <c r="CA4" s="1167" t="s">
        <v>1373</v>
      </c>
    </row>
    <row customHeight="1" ht="11.25">
      <c r="A5" s="1081" t="s">
        <v>1374</v>
      </c>
      <c r="B5" s="1082">
        <v>2003</v>
      </c>
      <c r="C5" s="1082">
        <v>2025</v>
      </c>
      <c r="E5" s="1083" t="s">
        <v>1375</v>
      </c>
      <c r="F5" s="1083" t="s">
        <v>1376</v>
      </c>
      <c r="H5" s="1084" t="s">
        <v>1377</v>
      </c>
      <c r="I5" s="1083" t="s">
        <v>90</v>
      </c>
      <c r="K5" s="1085" t="s">
        <v>1378</v>
      </c>
      <c r="L5" s="1086">
        <f>_xlfn.IFERROR(MATCH(K5,OFFER_METHOD,0),0)</f>
        <v>0</v>
      </c>
      <c r="M5" s="1085">
        <v>4</v>
      </c>
      <c r="N5" s="1099" t="s">
        <v>1379</v>
      </c>
      <c r="O5" s="1083" t="s">
        <v>1380</v>
      </c>
      <c r="Q5" s="1088" t="s">
        <v>1381</v>
      </c>
      <c r="R5" s="129" t="s">
        <v>494</v>
      </c>
      <c r="T5" s="1084" t="s">
        <v>1382</v>
      </c>
      <c r="U5" s="1086" t="s">
        <v>1383</v>
      </c>
      <c r="V5" s="1090">
        <v>4</v>
      </c>
      <c r="W5" s="1091"/>
      <c r="X5" s="1091" t="s">
        <v>182</v>
      </c>
      <c r="Y5" s="1082" t="s">
        <v>1384</v>
      </c>
      <c r="Z5" s="1098">
        <v>1</v>
      </c>
      <c r="AF5" s="1084" t="s">
        <v>1385</v>
      </c>
      <c r="AH5" s="1083" t="s">
        <v>1386</v>
      </c>
      <c r="AK5" s="1083" t="s">
        <v>1387</v>
      </c>
      <c r="AM5" s="1083" t="s">
        <v>1388</v>
      </c>
      <c r="AP5" s="1094" t="s">
        <v>182</v>
      </c>
      <c r="AQ5" s="1095" t="s">
        <v>182</v>
      </c>
      <c r="AU5" s="1128" t="s">
        <v>1389</v>
      </c>
      <c r="AW5" s="1128" t="s">
        <v>1390</v>
      </c>
      <c r="AX5" s="1128" t="s">
        <v>1390</v>
      </c>
      <c r="AZ5" s="1128" t="s">
        <v>1391</v>
      </c>
      <c r="BB5" s="1128" t="s">
        <v>1392</v>
      </c>
      <c r="BC5" s="1128" t="s">
        <v>1393</v>
      </c>
      <c r="BE5" s="1128">
        <v>2003</v>
      </c>
      <c r="BF5" s="1128" t="s">
        <v>1394</v>
      </c>
      <c r="BH5" s="1075" t="s">
        <v>1395</v>
      </c>
      <c r="BJ5" s="1075" t="s">
        <v>1395</v>
      </c>
      <c r="BL5" s="1075" t="s">
        <v>1395</v>
      </c>
      <c r="BN5" s="1075" t="s">
        <v>1396</v>
      </c>
      <c r="BQ5" s="1311">
        <v>4213775</v>
      </c>
      <c r="BR5" s="1075" t="s">
        <v>1292</v>
      </c>
      <c r="BS5" s="1459"/>
      <c r="BT5" s="1311">
        <v>64236871</v>
      </c>
      <c r="BU5" s="1075" t="s">
        <v>274</v>
      </c>
      <c r="BV5" s="1077"/>
      <c r="BW5" s="1735">
        <v>4213767</v>
      </c>
      <c r="BX5" s="1733" t="s">
        <v>1397</v>
      </c>
      <c r="BZ5" s="1311">
        <v>64237509</v>
      </c>
      <c r="CA5" s="1325" t="s">
        <v>1398</v>
      </c>
    </row>
    <row customHeight="1" ht="11.25">
      <c r="A6" s="1081" t="s">
        <v>1399</v>
      </c>
      <c r="B6" s="1082">
        <v>2004</v>
      </c>
      <c r="C6" s="1082">
        <v>2026</v>
      </c>
      <c r="E6" s="1083" t="s">
        <v>1400</v>
      </c>
      <c r="F6" s="1100"/>
      <c r="H6" s="1084" t="s">
        <v>1401</v>
      </c>
      <c r="I6" s="1083" t="s">
        <v>116</v>
      </c>
      <c r="J6" s="1074" t="s">
        <v>1402</v>
      </c>
      <c r="L6" s="1086">
        <f>SUM(kind_of_control_method_filter)</f>
        <v>0</v>
      </c>
      <c r="N6" s="1099" t="s">
        <v>1403</v>
      </c>
      <c r="O6" s="1083" t="s">
        <v>1404</v>
      </c>
      <c r="R6" s="129" t="s">
        <v>1287</v>
      </c>
      <c r="T6" s="1084" t="s">
        <v>1405</v>
      </c>
      <c r="U6" s="1086" t="s">
        <v>1385</v>
      </c>
      <c r="V6" s="1090">
        <v>5</v>
      </c>
      <c r="W6" s="1091"/>
      <c r="X6" s="1082" t="s">
        <v>231</v>
      </c>
      <c r="Y6" s="1082" t="s">
        <v>1406</v>
      </c>
      <c r="Z6" s="1098"/>
      <c r="AA6" s="1101"/>
      <c r="AH6" s="1083" t="s">
        <v>1407</v>
      </c>
      <c r="AK6" s="1083" t="s">
        <v>1408</v>
      </c>
      <c r="AM6" s="1083" t="s">
        <v>1409</v>
      </c>
      <c r="AP6" s="1094" t="s">
        <v>231</v>
      </c>
      <c r="AQ6" s="1095" t="s">
        <v>231</v>
      </c>
      <c r="AU6" s="1128" t="s">
        <v>1410</v>
      </c>
      <c r="AW6" s="1128" t="s">
        <v>1411</v>
      </c>
      <c r="AX6" s="1128" t="s">
        <v>1411</v>
      </c>
      <c r="BB6" s="1128" t="s">
        <v>1412</v>
      </c>
      <c r="BC6" s="1128" t="s">
        <v>1393</v>
      </c>
      <c r="BE6" s="1128">
        <v>2004</v>
      </c>
      <c r="BF6" s="1128" t="s">
        <v>1413</v>
      </c>
      <c r="BH6" s="1075" t="s">
        <v>1414</v>
      </c>
      <c r="BJ6" s="1075" t="s">
        <v>1415</v>
      </c>
      <c r="BL6" s="1075" t="s">
        <v>1415</v>
      </c>
      <c r="BN6" s="1075" t="s">
        <v>1416</v>
      </c>
      <c r="BQ6" s="1311">
        <v>4213784</v>
      </c>
      <c r="BR6" s="1325" t="s">
        <v>1325</v>
      </c>
      <c r="BS6" s="1460"/>
      <c r="BT6" s="1311">
        <v>64236872</v>
      </c>
      <c r="BU6" s="1075" t="s">
        <v>279</v>
      </c>
      <c r="BV6" s="1077"/>
      <c r="BW6" s="1735">
        <v>4213768</v>
      </c>
      <c r="BX6" s="1733" t="s">
        <v>299</v>
      </c>
      <c r="BZ6" s="1311">
        <v>64237510</v>
      </c>
      <c r="CA6" s="1075" t="s">
        <v>1417</v>
      </c>
    </row>
    <row customHeight="1" ht="11.25">
      <c r="A7" s="1081" t="s">
        <v>1418</v>
      </c>
      <c r="B7" s="1082">
        <v>2005</v>
      </c>
      <c r="E7" s="1083" t="s">
        <v>1419</v>
      </c>
      <c r="F7" s="1100"/>
      <c r="H7" s="1084" t="s">
        <v>1420</v>
      </c>
      <c r="I7" s="1083" t="s">
        <v>91</v>
      </c>
      <c r="J7" s="1083" t="s">
        <v>1421</v>
      </c>
      <c r="N7" s="1103" t="s">
        <v>1422</v>
      </c>
      <c r="O7" s="1083" t="s">
        <v>1423</v>
      </c>
      <c r="U7" s="1086" t="s">
        <v>56</v>
      </c>
      <c r="V7" s="370" t="s">
        <v>91</v>
      </c>
      <c r="W7" s="1091"/>
      <c r="X7" s="1082" t="s">
        <v>237</v>
      </c>
      <c r="Y7" s="1082" t="s">
        <v>1384</v>
      </c>
      <c r="Z7" s="1098"/>
      <c r="AA7" s="1101"/>
      <c r="AH7" s="1083" t="s">
        <v>1424</v>
      </c>
      <c r="AK7" s="1083" t="s">
        <v>1425</v>
      </c>
      <c r="AM7" s="1083" t="s">
        <v>1426</v>
      </c>
      <c r="AP7" s="1094" t="s">
        <v>237</v>
      </c>
      <c r="AQ7" s="1095" t="s">
        <v>237</v>
      </c>
      <c r="AU7" s="1128" t="s">
        <v>1427</v>
      </c>
      <c r="AW7" s="1128" t="s">
        <v>1428</v>
      </c>
      <c r="AX7" s="1128" t="s">
        <v>1428</v>
      </c>
      <c r="AZ7" s="1074" t="s">
        <v>1429</v>
      </c>
      <c r="BB7" s="1128" t="s">
        <v>1430</v>
      </c>
      <c r="BC7" s="1128" t="s">
        <v>1393</v>
      </c>
      <c r="BE7" s="1128">
        <v>2005</v>
      </c>
      <c r="BF7" s="1128" t="s">
        <v>1431</v>
      </c>
      <c r="BH7" s="1075" t="s">
        <v>1432</v>
      </c>
      <c r="BJ7" s="1075" t="s">
        <v>1414</v>
      </c>
      <c r="BL7" s="1075" t="s">
        <v>1414</v>
      </c>
      <c r="BN7" s="1075" t="s">
        <v>1433</v>
      </c>
      <c r="BQ7" s="1311">
        <v>4213781</v>
      </c>
      <c r="BR7" s="1075" t="s">
        <v>1318</v>
      </c>
      <c r="BS7" s="1459"/>
      <c r="BT7" s="1311">
        <v>64236873</v>
      </c>
      <c r="BU7" s="1075" t="s">
        <v>284</v>
      </c>
      <c r="BV7" s="1077"/>
      <c r="BW7" s="1735">
        <v>4213769</v>
      </c>
      <c r="BX7" s="1733" t="s">
        <v>1434</v>
      </c>
      <c r="BZ7" s="1311">
        <v>64237511</v>
      </c>
      <c r="CA7" s="1075" t="s">
        <v>314</v>
      </c>
    </row>
    <row customHeight="1" ht="11.25">
      <c r="A8" s="1081" t="s">
        <v>1435</v>
      </c>
      <c r="B8" s="1082">
        <v>2006</v>
      </c>
      <c r="E8" s="1083" t="s">
        <v>1436</v>
      </c>
      <c r="F8" s="1100"/>
      <c r="I8" s="1083" t="s">
        <v>92</v>
      </c>
      <c r="J8" s="1083" t="s">
        <v>1437</v>
      </c>
      <c r="N8" s="1171" t="s">
        <v>1438</v>
      </c>
      <c r="O8" s="1083" t="s">
        <v>1439</v>
      </c>
      <c r="V8" s="370" t="s">
        <v>92</v>
      </c>
      <c r="W8" s="1091"/>
      <c r="X8" s="1082" t="s">
        <v>243</v>
      </c>
      <c r="Y8" s="1082" t="s">
        <v>1384</v>
      </c>
      <c r="Z8" s="1098"/>
      <c r="AA8" s="1101"/>
      <c r="AK8" s="1083" t="s">
        <v>1440</v>
      </c>
      <c r="AP8" s="1094" t="s">
        <v>243</v>
      </c>
      <c r="AQ8" s="1095" t="s">
        <v>243</v>
      </c>
      <c r="AU8" s="1128" t="s">
        <v>1441</v>
      </c>
      <c r="AW8" s="1128" t="s">
        <v>1442</v>
      </c>
      <c r="AX8" s="1128" t="s">
        <v>1442</v>
      </c>
      <c r="AZ8" s="1128" t="s">
        <v>1443</v>
      </c>
      <c r="BB8" s="1128" t="s">
        <v>1444</v>
      </c>
      <c r="BC8" s="1128" t="s">
        <v>1393</v>
      </c>
      <c r="BE8" s="1128">
        <v>2006</v>
      </c>
      <c r="BF8" s="1128" t="s">
        <v>1445</v>
      </c>
      <c r="BH8" s="1075" t="s">
        <v>1446</v>
      </c>
      <c r="BJ8" s="1075" t="s">
        <v>1447</v>
      </c>
      <c r="BL8" s="1075" t="s">
        <v>1447</v>
      </c>
      <c r="BN8" s="1075" t="s">
        <v>1448</v>
      </c>
      <c r="BQ8" s="1311">
        <v>4213776</v>
      </c>
      <c r="BR8" s="1075" t="s">
        <v>182</v>
      </c>
      <c r="BS8" s="1459"/>
      <c r="BT8" s="1311">
        <v>64236874</v>
      </c>
      <c r="BU8" s="1325" t="s">
        <v>1449</v>
      </c>
      <c r="BV8" s="1077"/>
      <c r="BW8" s="1735">
        <v>4213770</v>
      </c>
      <c r="BX8" s="1736" t="s">
        <v>1450</v>
      </c>
      <c r="BZ8" s="1311">
        <v>64237512</v>
      </c>
      <c r="CA8" s="1075" t="s">
        <v>309</v>
      </c>
    </row>
    <row customHeight="1" ht="11.25">
      <c r="A9" s="1081" t="s">
        <v>1451</v>
      </c>
      <c r="B9" s="1082">
        <v>2007</v>
      </c>
      <c r="E9" s="1083" t="s">
        <v>1452</v>
      </c>
      <c r="F9" s="1100"/>
      <c r="G9" s="1074" t="s">
        <v>1453</v>
      </c>
      <c r="H9" s="1074" t="s">
        <v>1454</v>
      </c>
      <c r="I9" s="1083" t="s">
        <v>129</v>
      </c>
      <c r="O9" s="1083" t="s">
        <v>1455</v>
      </c>
      <c r="V9" s="370" t="s">
        <v>129</v>
      </c>
      <c r="W9" s="1091"/>
      <c r="X9" s="1082" t="s">
        <v>249</v>
      </c>
      <c r="Y9" s="1082" t="s">
        <v>1293</v>
      </c>
      <c r="Z9" s="1098">
        <v>1</v>
      </c>
      <c r="AA9" s="1101"/>
      <c r="AK9" s="1083" t="s">
        <v>1456</v>
      </c>
      <c r="AP9" s="1094" t="s">
        <v>1457</v>
      </c>
      <c r="AQ9" s="1095" t="s">
        <v>1457</v>
      </c>
      <c r="AW9" s="1128" t="s">
        <v>1458</v>
      </c>
      <c r="AX9" s="1128" t="s">
        <v>1458</v>
      </c>
      <c r="AZ9" s="1128" t="s">
        <v>1459</v>
      </c>
      <c r="BB9" s="1128" t="s">
        <v>1460</v>
      </c>
      <c r="BC9" s="1128" t="s">
        <v>1393</v>
      </c>
      <c r="BE9" s="1128">
        <v>2007</v>
      </c>
      <c r="BF9" s="1128" t="s">
        <v>1461</v>
      </c>
      <c r="BH9" s="1075" t="s">
        <v>1462</v>
      </c>
      <c r="BJ9" s="1075" t="s">
        <v>1463</v>
      </c>
      <c r="BL9" s="1075" t="s">
        <v>1463</v>
      </c>
      <c r="BN9" s="1075" t="s">
        <v>1464</v>
      </c>
      <c r="BQ9" s="1311">
        <v>4213777</v>
      </c>
      <c r="BR9" s="1075" t="s">
        <v>231</v>
      </c>
      <c r="BS9" s="1459"/>
      <c r="BT9" s="1311">
        <v>64236875</v>
      </c>
      <c r="BU9" s="1075" t="s">
        <v>289</v>
      </c>
      <c r="BV9" s="1077"/>
      <c r="BW9" s="1730"/>
      <c r="BX9" s="1730"/>
    </row>
    <row customHeight="1" ht="11.25">
      <c r="A10" s="1081" t="s">
        <v>1465</v>
      </c>
      <c r="B10" s="1082">
        <v>2008</v>
      </c>
      <c r="E10" s="1083" t="s">
        <v>1466</v>
      </c>
      <c r="F10" s="1100"/>
      <c r="G10" s="1083" t="s">
        <v>1467</v>
      </c>
      <c r="H10" s="1083" t="s">
        <v>1468</v>
      </c>
      <c r="I10" s="1083" t="s">
        <v>165</v>
      </c>
      <c r="J10" s="1074" t="s">
        <v>1469</v>
      </c>
      <c r="K10" s="1074" t="s">
        <v>1470</v>
      </c>
      <c r="O10" s="1083" t="s">
        <v>1471</v>
      </c>
      <c r="V10" s="371" t="s">
        <v>165</v>
      </c>
      <c r="W10" s="1104"/>
      <c r="X10" s="1104" t="s">
        <v>1472</v>
      </c>
      <c r="Y10" s="1105" t="s">
        <v>1473</v>
      </c>
      <c r="Z10" s="1098"/>
      <c r="AP10" s="1094" t="s">
        <v>1472</v>
      </c>
      <c r="AQ10" s="1095" t="s">
        <v>1472</v>
      </c>
      <c r="AW10" s="1128" t="s">
        <v>1474</v>
      </c>
      <c r="AX10" s="1128" t="s">
        <v>1474</v>
      </c>
      <c r="AZ10" s="1128" t="s">
        <v>1475</v>
      </c>
      <c r="BB10" s="1128" t="s">
        <v>1476</v>
      </c>
      <c r="BC10" s="1128" t="s">
        <v>1393</v>
      </c>
      <c r="BE10" s="1128">
        <v>2008</v>
      </c>
      <c r="BF10" s="1128" t="s">
        <v>1477</v>
      </c>
      <c r="BH10" s="1075" t="s">
        <v>1478</v>
      </c>
      <c r="BJ10" s="1075" t="s">
        <v>1479</v>
      </c>
      <c r="BL10" s="1075" t="s">
        <v>1479</v>
      </c>
      <c r="BN10" s="1075" t="s">
        <v>1480</v>
      </c>
      <c r="BQ10" s="1311">
        <v>4213778</v>
      </c>
      <c r="BR10" s="1075" t="s">
        <v>237</v>
      </c>
      <c r="BS10" s="1459"/>
      <c r="BT10" s="1311">
        <v>64236876</v>
      </c>
      <c r="BU10" s="1075" t="s">
        <v>269</v>
      </c>
      <c r="BV10" s="1077"/>
      <c r="BW10" s="1730"/>
      <c r="BX10" s="1730"/>
    </row>
    <row customHeight="1" ht="11.25">
      <c r="A11" s="1081" t="s">
        <v>1481</v>
      </c>
      <c r="B11" s="1082">
        <v>2009</v>
      </c>
      <c r="E11" s="1083" t="s">
        <v>1482</v>
      </c>
      <c r="F11" s="1100"/>
      <c r="G11" s="1083" t="s">
        <v>1483</v>
      </c>
      <c r="H11" s="1083" t="s">
        <v>1484</v>
      </c>
      <c r="I11" s="1083" t="s">
        <v>166</v>
      </c>
      <c r="J11" s="1084" t="s">
        <v>1485</v>
      </c>
      <c r="K11" s="1106" t="s">
        <v>1486</v>
      </c>
      <c r="O11" s="1084" t="s">
        <v>1487</v>
      </c>
      <c r="V11" s="370" t="s">
        <v>166</v>
      </c>
      <c r="W11" s="261"/>
      <c r="X11" s="1091" t="s">
        <v>1457</v>
      </c>
      <c r="Y11" s="1082" t="s">
        <v>1488</v>
      </c>
      <c r="Z11" s="1098"/>
      <c r="AP11" s="1094" t="s">
        <v>249</v>
      </c>
      <c r="AQ11" s="1096" t="s">
        <v>249</v>
      </c>
      <c r="AW11" s="1128" t="s">
        <v>1489</v>
      </c>
      <c r="AX11" s="1128" t="s">
        <v>1489</v>
      </c>
      <c r="AZ11" s="1128" t="s">
        <v>1490</v>
      </c>
      <c r="BB11" s="1128" t="s">
        <v>1491</v>
      </c>
      <c r="BC11" s="1128" t="s">
        <v>1393</v>
      </c>
      <c r="BE11" s="1128">
        <v>2009</v>
      </c>
      <c r="BF11" s="1128" t="s">
        <v>1492</v>
      </c>
      <c r="BH11" s="1075" t="s">
        <v>1493</v>
      </c>
      <c r="BJ11" s="1075" t="s">
        <v>1462</v>
      </c>
      <c r="BL11" s="1075" t="s">
        <v>1462</v>
      </c>
      <c r="BN11" s="1075" t="s">
        <v>1494</v>
      </c>
      <c r="BQ11" s="1311">
        <v>4213780</v>
      </c>
      <c r="BR11" s="1075" t="s">
        <v>243</v>
      </c>
      <c r="BS11" s="1459"/>
      <c r="BW11" s="1730"/>
      <c r="BX11" s="1730"/>
    </row>
    <row customHeight="1" ht="11.25">
      <c r="A12" s="1081" t="s">
        <v>1495</v>
      </c>
      <c r="B12" s="1082">
        <v>2010</v>
      </c>
      <c r="E12" s="1083" t="s">
        <v>1496</v>
      </c>
      <c r="F12" s="1100"/>
      <c r="G12" s="1083" t="s">
        <v>1484</v>
      </c>
      <c r="I12" s="1083" t="s">
        <v>167</v>
      </c>
      <c r="J12" s="1084" t="s">
        <v>1497</v>
      </c>
      <c r="K12" s="1106" t="s">
        <v>1498</v>
      </c>
      <c r="O12" s="1084" t="s">
        <v>1287</v>
      </c>
      <c r="V12" s="370" t="s">
        <v>167</v>
      </c>
      <c r="W12" s="1096"/>
      <c r="X12" s="1091" t="s">
        <v>1499</v>
      </c>
      <c r="Y12" s="1082" t="s">
        <v>1293</v>
      </c>
      <c r="AP12" s="1094"/>
      <c r="AW12" s="1128" t="s">
        <v>166</v>
      </c>
      <c r="AX12" s="1128" t="s">
        <v>166</v>
      </c>
      <c r="AZ12" s="1128" t="s">
        <v>1500</v>
      </c>
      <c r="BB12" s="1128" t="s">
        <v>1501</v>
      </c>
      <c r="BC12" s="1128" t="s">
        <v>1393</v>
      </c>
      <c r="BE12" s="1128">
        <v>2010</v>
      </c>
      <c r="BF12" s="1128" t="s">
        <v>1502</v>
      </c>
      <c r="BH12" s="1075" t="s">
        <v>1503</v>
      </c>
      <c r="BJ12" s="1075" t="s">
        <v>1504</v>
      </c>
      <c r="BL12" s="1075" t="s">
        <v>1504</v>
      </c>
      <c r="BN12" s="1075" t="s">
        <v>1505</v>
      </c>
      <c r="BQ12" s="1311">
        <v>4213779</v>
      </c>
      <c r="BR12" s="1075" t="s">
        <v>1457</v>
      </c>
      <c r="BS12" s="1459"/>
      <c r="BT12" s="1077"/>
      <c r="BU12" s="1077"/>
      <c r="BV12" s="1077"/>
      <c r="BW12" s="1730"/>
      <c r="BX12" s="1730"/>
    </row>
    <row customHeight="1" ht="11.25">
      <c r="A13" s="1081" t="s">
        <v>1506</v>
      </c>
      <c r="B13" s="1082">
        <v>2011</v>
      </c>
      <c r="E13" s="1083" t="s">
        <v>1507</v>
      </c>
      <c r="F13" s="1100"/>
      <c r="I13" s="1083" t="s">
        <v>118</v>
      </c>
      <c r="K13" s="1106" t="s">
        <v>1456</v>
      </c>
      <c r="V13" s="370" t="s">
        <v>118</v>
      </c>
      <c r="W13" s="1096"/>
      <c r="X13" s="1096"/>
      <c r="Y13" s="1096"/>
      <c r="AW13" s="1128" t="s">
        <v>167</v>
      </c>
      <c r="AX13" s="1128" t="s">
        <v>167</v>
      </c>
      <c r="BB13" s="1128" t="s">
        <v>1508</v>
      </c>
      <c r="BC13" s="1128" t="s">
        <v>1509</v>
      </c>
      <c r="BE13" s="1128">
        <v>2011</v>
      </c>
      <c r="BF13" s="1128" t="s">
        <v>1510</v>
      </c>
      <c r="BH13" s="1075" t="s">
        <v>1511</v>
      </c>
      <c r="BJ13" s="1075" t="s">
        <v>1493</v>
      </c>
      <c r="BL13" s="1075" t="s">
        <v>1493</v>
      </c>
      <c r="BN13" s="1075" t="s">
        <v>1512</v>
      </c>
      <c r="BQ13" s="1311">
        <v>4213783</v>
      </c>
      <c r="BR13" s="1075" t="s">
        <v>1472</v>
      </c>
      <c r="BS13" s="1459"/>
      <c r="BT13" s="1077"/>
      <c r="BU13" s="1077"/>
      <c r="BV13" s="1077"/>
      <c r="BW13" s="1734"/>
      <c r="BX13" s="1730"/>
    </row>
    <row customHeight="1" ht="11.25">
      <c r="A14" s="1081" t="s">
        <v>1513</v>
      </c>
      <c r="B14" s="1082">
        <v>2012</v>
      </c>
      <c r="I14" s="1083" t="s">
        <v>168</v>
      </c>
      <c r="J14" s="1074" t="s">
        <v>1514</v>
      </c>
      <c r="N14" s="1074" t="s">
        <v>1515</v>
      </c>
      <c r="V14" s="1090">
        <v>13</v>
      </c>
      <c r="W14" s="1091"/>
      <c r="X14" s="1091" t="s">
        <v>1325</v>
      </c>
      <c r="Y14" s="1082" t="s">
        <v>1293</v>
      </c>
      <c r="AW14" s="1128" t="s">
        <v>118</v>
      </c>
      <c r="AX14" s="1128" t="s">
        <v>118</v>
      </c>
      <c r="AZ14" s="1074" t="s">
        <v>1516</v>
      </c>
      <c r="BB14" s="1128" t="s">
        <v>1517</v>
      </c>
      <c r="BC14" s="1128" t="s">
        <v>1509</v>
      </c>
      <c r="BE14" s="1128">
        <v>2012</v>
      </c>
      <c r="BH14" s="1075" t="s">
        <v>1433</v>
      </c>
      <c r="BJ14" s="1229" t="s">
        <v>1518</v>
      </c>
      <c r="BL14" s="1229" t="s">
        <v>1518</v>
      </c>
      <c r="BN14" s="1075" t="s">
        <v>1519</v>
      </c>
      <c r="BQ14" s="1311">
        <v>4213782</v>
      </c>
      <c r="BR14" s="1075" t="s">
        <v>249</v>
      </c>
      <c r="BS14" s="1459"/>
      <c r="BT14" s="1077"/>
      <c r="BU14" s="1077"/>
      <c r="BV14" s="1077"/>
      <c r="BW14" s="1734"/>
      <c r="BX14" s="1730"/>
    </row>
    <row customHeight="1" ht="19.5">
      <c r="A15" s="1081" t="s">
        <v>1520</v>
      </c>
      <c r="B15" s="1082">
        <v>2013</v>
      </c>
      <c r="E15" s="1738" t="s">
        <v>1521</v>
      </c>
      <c r="G15" s="1074" t="s">
        <v>1522</v>
      </c>
      <c r="H15" s="1074" t="s">
        <v>1523</v>
      </c>
      <c r="I15" s="1085" t="s">
        <v>169</v>
      </c>
      <c r="J15" s="1096" t="s">
        <v>622</v>
      </c>
      <c r="N15" s="1166" t="s">
        <v>1524</v>
      </c>
      <c r="X15" s="1094"/>
      <c r="AW15" s="1128" t="s">
        <v>168</v>
      </c>
      <c r="AX15" s="1128" t="s">
        <v>168</v>
      </c>
      <c r="AZ15" s="1128" t="s">
        <v>1443</v>
      </c>
      <c r="BB15" s="1128" t="s">
        <v>1525</v>
      </c>
      <c r="BC15" s="1128" t="s">
        <v>1509</v>
      </c>
      <c r="BE15" s="1128">
        <v>2013</v>
      </c>
      <c r="BH15" s="1075" t="s">
        <v>1448</v>
      </c>
      <c r="BJ15" s="1229" t="s">
        <v>1526</v>
      </c>
      <c r="BL15" s="1229" t="s">
        <v>1526</v>
      </c>
      <c r="BN15" s="1075" t="s">
        <v>1527</v>
      </c>
      <c r="BR15" s="1077"/>
      <c r="BS15" s="1461"/>
      <c r="BT15" s="1077"/>
      <c r="BU15" s="1077"/>
      <c r="BV15" s="1077"/>
      <c r="BW15" s="1734"/>
      <c r="BX15" s="1730"/>
    </row>
    <row customHeight="1" ht="21">
      <c r="A16" s="1913" t="s">
        <v>1528</v>
      </c>
      <c r="B16" s="1082">
        <v>2014</v>
      </c>
      <c r="E16" s="1739" t="s">
        <v>1529</v>
      </c>
      <c r="G16" s="1083" t="s">
        <v>1530</v>
      </c>
      <c r="H16" s="1083" t="s">
        <v>1531</v>
      </c>
      <c r="I16" s="1085" t="s">
        <v>1532</v>
      </c>
      <c r="J16" s="1096" t="s">
        <v>595</v>
      </c>
      <c r="N16" s="1166" t="s">
        <v>1533</v>
      </c>
      <c r="AW16" s="1128" t="s">
        <v>169</v>
      </c>
      <c r="AX16" s="1128" t="s">
        <v>169</v>
      </c>
      <c r="AZ16" s="1128" t="s">
        <v>1459</v>
      </c>
      <c r="BB16" s="1128" t="s">
        <v>1534</v>
      </c>
      <c r="BC16" s="1128" t="s">
        <v>1509</v>
      </c>
      <c r="BE16" s="1128">
        <v>2014</v>
      </c>
      <c r="BH16" s="1075" t="s">
        <v>1464</v>
      </c>
      <c r="BJ16" s="1229" t="s">
        <v>1535</v>
      </c>
      <c r="BL16" s="1229" t="s">
        <v>1535</v>
      </c>
      <c r="BN16" s="1075" t="s">
        <v>1536</v>
      </c>
      <c r="BR16" s="1077"/>
      <c r="BS16" s="1461"/>
      <c r="BT16" s="1077"/>
      <c r="BU16" s="1077"/>
      <c r="BV16" s="1077"/>
      <c r="BW16" s="1734"/>
      <c r="BX16" s="1730"/>
    </row>
    <row customHeight="1" ht="21">
      <c r="A17" s="1081" t="s">
        <v>1537</v>
      </c>
      <c r="B17" s="1082">
        <v>2015</v>
      </c>
      <c r="G17" s="1083" t="s">
        <v>1484</v>
      </c>
      <c r="H17" s="1083" t="s">
        <v>1484</v>
      </c>
      <c r="I17" s="1083" t="s">
        <v>1538</v>
      </c>
      <c r="N17" s="1166" t="s">
        <v>1539</v>
      </c>
      <c r="X17" s="1094"/>
      <c r="AW17" s="1128" t="s">
        <v>1532</v>
      </c>
      <c r="AX17" s="1128" t="s">
        <v>1532</v>
      </c>
      <c r="AZ17" s="1128" t="s">
        <v>1540</v>
      </c>
      <c r="BB17" s="1128" t="s">
        <v>1541</v>
      </c>
      <c r="BC17" s="1128" t="s">
        <v>1393</v>
      </c>
      <c r="BE17" s="1128">
        <v>2015</v>
      </c>
      <c r="BH17" s="1075" t="s">
        <v>1480</v>
      </c>
      <c r="BJ17" s="1229" t="s">
        <v>1542</v>
      </c>
      <c r="BL17" s="1229" t="s">
        <v>1542</v>
      </c>
      <c r="BN17" s="1075" t="s">
        <v>1543</v>
      </c>
      <c r="BR17" s="1074" t="s">
        <v>1336</v>
      </c>
      <c r="BS17" s="1458"/>
      <c r="BU17" s="1074" t="s">
        <v>1544</v>
      </c>
      <c r="BV17" s="1077"/>
      <c r="BW17" s="1730"/>
      <c r="BX17" s="1732" t="s">
        <v>1545</v>
      </c>
      <c r="CA17" s="1074" t="s">
        <v>1546</v>
      </c>
      <c r="CD17" s="1074" t="s">
        <v>1547</v>
      </c>
    </row>
    <row customHeight="1" ht="21">
      <c r="A18" s="1081" t="s">
        <v>1548</v>
      </c>
      <c r="B18" s="1082">
        <v>2016</v>
      </c>
      <c r="I18" s="1083" t="s">
        <v>1549</v>
      </c>
      <c r="N18" s="1166" t="s">
        <v>1550</v>
      </c>
      <c r="X18" s="1094"/>
      <c r="AW18" s="1128" t="s">
        <v>1538</v>
      </c>
      <c r="AX18" s="1128" t="s">
        <v>1538</v>
      </c>
      <c r="BB18" s="1128" t="s">
        <v>1551</v>
      </c>
      <c r="BC18" s="1128" t="s">
        <v>1393</v>
      </c>
      <c r="BE18" s="1128">
        <v>2016</v>
      </c>
      <c r="BH18" s="1075" t="s">
        <v>1494</v>
      </c>
      <c r="BJ18" s="1229" t="s">
        <v>1552</v>
      </c>
      <c r="BL18" s="1229" t="s">
        <v>1552</v>
      </c>
      <c r="BN18" s="1075" t="s">
        <v>1553</v>
      </c>
      <c r="BQ18" s="1462" t="s">
        <v>1366</v>
      </c>
      <c r="BR18" s="1167" t="s">
        <v>1367</v>
      </c>
      <c r="BS18" s="260"/>
      <c r="BT18" s="1462" t="s">
        <v>1554</v>
      </c>
      <c r="BU18" s="1167" t="s">
        <v>1555</v>
      </c>
      <c r="BV18" s="1077"/>
      <c r="BW18" s="1737" t="s">
        <v>1556</v>
      </c>
      <c r="BX18" s="1731" t="s">
        <v>1557</v>
      </c>
      <c r="BZ18" s="1462" t="s">
        <v>1558</v>
      </c>
      <c r="CA18" s="1167" t="s">
        <v>1559</v>
      </c>
      <c r="CC18" s="1462" t="s">
        <v>1560</v>
      </c>
      <c r="CD18" s="1167" t="s">
        <v>1561</v>
      </c>
    </row>
    <row customHeight="1" ht="21">
      <c r="A19" s="1913" t="s">
        <v>1562</v>
      </c>
      <c r="B19" s="1082">
        <v>2017</v>
      </c>
      <c r="I19" s="1083" t="s">
        <v>1563</v>
      </c>
      <c r="N19" s="1166" t="s">
        <v>1564</v>
      </c>
      <c r="X19" s="1094"/>
      <c r="AW19" s="1128" t="s">
        <v>1549</v>
      </c>
      <c r="AX19" s="1128" t="s">
        <v>1549</v>
      </c>
      <c r="AZ19" s="1074" t="s">
        <v>1565</v>
      </c>
      <c r="BB19" s="1128" t="s">
        <v>1566</v>
      </c>
      <c r="BC19" s="1128" t="s">
        <v>1393</v>
      </c>
      <c r="BE19" s="1128">
        <v>2017</v>
      </c>
      <c r="BH19" s="1075" t="s">
        <v>1567</v>
      </c>
      <c r="BJ19" s="1229" t="s">
        <v>1568</v>
      </c>
      <c r="BL19" s="1229" t="s">
        <v>1568</v>
      </c>
      <c r="BQ19" s="1311">
        <v>4190064</v>
      </c>
      <c r="BR19" s="1075" t="s">
        <v>1569</v>
      </c>
      <c r="BS19" s="1459"/>
      <c r="BT19" s="1311">
        <v>4189671</v>
      </c>
      <c r="BU19" s="1075" t="s">
        <v>1570</v>
      </c>
      <c r="BV19" s="1077"/>
      <c r="BW19" s="1735">
        <v>4189706</v>
      </c>
      <c r="BX19" s="1733" t="s">
        <v>1571</v>
      </c>
      <c r="BZ19" s="1311">
        <v>4189714</v>
      </c>
      <c r="CA19" s="1075" t="s">
        <v>1572</v>
      </c>
      <c r="CC19" s="1311">
        <v>4189708</v>
      </c>
      <c r="CD19" s="1075" t="s">
        <v>1573</v>
      </c>
    </row>
    <row customHeight="1" ht="21">
      <c r="A20" s="1081" t="s">
        <v>1574</v>
      </c>
      <c r="B20" s="1082">
        <v>2018</v>
      </c>
      <c r="I20" s="1083" t="s">
        <v>1575</v>
      </c>
      <c r="N20" s="1166" t="s">
        <v>1576</v>
      </c>
      <c r="AW20" s="1128" t="s">
        <v>1563</v>
      </c>
      <c r="AX20" s="1128" t="s">
        <v>1563</v>
      </c>
      <c r="AZ20" s="1128" t="s">
        <v>1577</v>
      </c>
      <c r="BB20" s="1128" t="s">
        <v>1578</v>
      </c>
      <c r="BC20" s="1128" t="s">
        <v>1509</v>
      </c>
      <c r="BE20" s="1128">
        <v>2018</v>
      </c>
      <c r="BH20" s="1075" t="s">
        <v>1505</v>
      </c>
      <c r="BJ20" s="1075" t="s">
        <v>1433</v>
      </c>
      <c r="BL20" s="1075" t="s">
        <v>1433</v>
      </c>
      <c r="BQ20" s="1311">
        <v>4190065</v>
      </c>
      <c r="BR20" s="1075" t="s">
        <v>1579</v>
      </c>
      <c r="BS20" s="1459"/>
      <c r="BT20" s="1311">
        <v>4189672</v>
      </c>
      <c r="BU20" s="1075" t="s">
        <v>1580</v>
      </c>
      <c r="BV20" s="1077"/>
      <c r="BW20" s="1735">
        <v>4189705</v>
      </c>
      <c r="BX20" s="1733" t="s">
        <v>1581</v>
      </c>
      <c r="BZ20" s="1311">
        <v>4189713</v>
      </c>
      <c r="CA20" s="1075" t="s">
        <v>1581</v>
      </c>
      <c r="CC20" s="1311">
        <v>4189709</v>
      </c>
      <c r="CD20" s="1075" t="s">
        <v>1582</v>
      </c>
    </row>
    <row customHeight="1" ht="21">
      <c r="A21" s="1081" t="s">
        <v>1583</v>
      </c>
      <c r="B21" s="1082">
        <v>2019</v>
      </c>
      <c r="I21" s="1083" t="s">
        <v>1584</v>
      </c>
      <c r="N21" s="1166" t="s">
        <v>1585</v>
      </c>
      <c r="AW21" s="1128" t="s">
        <v>1575</v>
      </c>
      <c r="AX21" s="1128" t="s">
        <v>1575</v>
      </c>
      <c r="AZ21" s="1128" t="s">
        <v>1586</v>
      </c>
      <c r="BB21" s="1128" t="s">
        <v>1587</v>
      </c>
      <c r="BC21" s="1128" t="s">
        <v>1393</v>
      </c>
      <c r="BE21" s="1128">
        <v>2019</v>
      </c>
      <c r="BH21" s="1075" t="s">
        <v>1512</v>
      </c>
      <c r="BJ21" s="1075" t="s">
        <v>1448</v>
      </c>
      <c r="BL21" s="1075" t="s">
        <v>1448</v>
      </c>
      <c r="BQ21" s="1311">
        <v>4190066</v>
      </c>
      <c r="BR21" s="1075" t="s">
        <v>1588</v>
      </c>
      <c r="BS21" s="1459"/>
      <c r="BT21" s="1311">
        <v>4189673</v>
      </c>
      <c r="BU21" s="1075" t="s">
        <v>1589</v>
      </c>
      <c r="BV21" s="1077"/>
      <c r="BW21" s="1735">
        <v>4189707</v>
      </c>
      <c r="BX21" s="1733" t="s">
        <v>1590</v>
      </c>
      <c r="BZ21" s="1311">
        <v>4189712</v>
      </c>
      <c r="CA21" s="1075" t="s">
        <v>1591</v>
      </c>
      <c r="CC21" s="1311">
        <v>4189710</v>
      </c>
      <c r="CD21" s="1075" t="s">
        <v>1592</v>
      </c>
    </row>
    <row customHeight="1" ht="21">
      <c r="A22" s="1081" t="s">
        <v>1593</v>
      </c>
      <c r="B22" s="1082">
        <v>2020</v>
      </c>
      <c r="N22" s="1166" t="s">
        <v>1594</v>
      </c>
      <c r="AW22" s="1128" t="s">
        <v>1584</v>
      </c>
      <c r="AX22" s="1128" t="s">
        <v>1584</v>
      </c>
      <c r="AZ22" s="1128" t="s">
        <v>1595</v>
      </c>
      <c r="BB22" s="1128" t="s">
        <v>1596</v>
      </c>
      <c r="BC22" s="1128" t="s">
        <v>1393</v>
      </c>
      <c r="BE22" s="1128">
        <v>2020</v>
      </c>
      <c r="BH22" s="1075" t="s">
        <v>1519</v>
      </c>
      <c r="BJ22" s="1075" t="s">
        <v>1464</v>
      </c>
      <c r="BL22" s="1075" t="s">
        <v>1464</v>
      </c>
      <c r="BQ22" s="1311">
        <v>4190067</v>
      </c>
      <c r="BR22" s="1075" t="s">
        <v>1597</v>
      </c>
      <c r="BS22" s="1459"/>
      <c r="BT22" s="1311">
        <v>4189674</v>
      </c>
      <c r="BU22" s="1075" t="s">
        <v>1598</v>
      </c>
      <c r="BV22" s="1077"/>
      <c r="BW22" s="1077"/>
      <c r="CC22" s="1311">
        <v>4189711</v>
      </c>
      <c r="CD22" s="1075" t="s">
        <v>338</v>
      </c>
    </row>
    <row customHeight="1" ht="21">
      <c r="A23" s="1081" t="s">
        <v>1599</v>
      </c>
      <c r="B23" s="1082">
        <v>2021</v>
      </c>
      <c r="AW23" s="1128" t="s">
        <v>1600</v>
      </c>
      <c r="AX23" s="1128" t="s">
        <v>1600</v>
      </c>
      <c r="AZ23" s="1128" t="s">
        <v>1601</v>
      </c>
      <c r="BB23" s="1128" t="s">
        <v>1602</v>
      </c>
      <c r="BC23" s="1128" t="s">
        <v>1302</v>
      </c>
      <c r="BE23" s="1128">
        <v>2021</v>
      </c>
      <c r="BH23" s="1075" t="s">
        <v>1527</v>
      </c>
      <c r="BJ23" s="1075" t="s">
        <v>1480</v>
      </c>
      <c r="BL23" s="1075" t="s">
        <v>1480</v>
      </c>
      <c r="BQ23" s="1311">
        <v>4190068</v>
      </c>
      <c r="BR23" s="1075" t="s">
        <v>1603</v>
      </c>
      <c r="BS23" s="1459"/>
      <c r="BT23" s="1311">
        <v>4189675</v>
      </c>
      <c r="BU23" s="1075" t="s">
        <v>1604</v>
      </c>
      <c r="BV23" s="1077"/>
      <c r="BW23" s="1077"/>
      <c r="CC23" s="1311">
        <v>5110778</v>
      </c>
      <c r="CD23" s="1075" t="s">
        <v>1605</v>
      </c>
    </row>
    <row customHeight="1" ht="21">
      <c r="A24" s="1081" t="s">
        <v>1606</v>
      </c>
      <c r="B24" s="1082">
        <v>2022</v>
      </c>
      <c r="AW24" s="1128" t="s">
        <v>1607</v>
      </c>
      <c r="AX24" s="1128" t="s">
        <v>1607</v>
      </c>
      <c r="AZ24" s="1128" t="s">
        <v>1608</v>
      </c>
      <c r="BB24" s="1128" t="s">
        <v>1609</v>
      </c>
      <c r="BC24" s="1128" t="s">
        <v>1610</v>
      </c>
      <c r="BE24" s="1128">
        <v>2022</v>
      </c>
      <c r="BH24" s="1075" t="s">
        <v>1536</v>
      </c>
      <c r="BJ24" s="1075" t="s">
        <v>1494</v>
      </c>
      <c r="BL24" s="1075" t="s">
        <v>1494</v>
      </c>
      <c r="BQ24" s="1311">
        <v>4190069</v>
      </c>
      <c r="BR24" s="1075" t="s">
        <v>1611</v>
      </c>
      <c r="BS24" s="1459"/>
      <c r="BT24" s="1311">
        <v>4189676</v>
      </c>
      <c r="BU24" s="1075" t="s">
        <v>1612</v>
      </c>
      <c r="BV24" s="1077"/>
      <c r="BW24" s="1077"/>
      <c r="CC24" s="1311">
        <v>25575374</v>
      </c>
      <c r="CD24" s="1075" t="s">
        <v>1613</v>
      </c>
    </row>
    <row customHeight="1" ht="11.25">
      <c r="A25" s="1081" t="s">
        <v>1614</v>
      </c>
      <c r="B25" s="1082">
        <v>2023</v>
      </c>
      <c r="AW25" s="1128" t="s">
        <v>1615</v>
      </c>
      <c r="AX25" s="1128" t="s">
        <v>1615</v>
      </c>
      <c r="AZ25" s="1128" t="s">
        <v>1616</v>
      </c>
      <c r="BB25" s="1128" t="s">
        <v>1617</v>
      </c>
      <c r="BC25" s="1128" t="s">
        <v>1610</v>
      </c>
      <c r="BE25" s="1128">
        <v>2023</v>
      </c>
      <c r="BH25" s="1075" t="s">
        <v>1543</v>
      </c>
      <c r="BJ25" s="1075" t="s">
        <v>1567</v>
      </c>
      <c r="BL25" s="1075" t="s">
        <v>1567</v>
      </c>
      <c r="BQ25" s="1311">
        <v>4190070</v>
      </c>
      <c r="BR25" s="1075" t="s">
        <v>1618</v>
      </c>
      <c r="BS25" s="1459"/>
      <c r="BT25" s="1311">
        <v>4189677</v>
      </c>
      <c r="BU25" s="1075" t="s">
        <v>1619</v>
      </c>
      <c r="BV25" s="1077"/>
      <c r="BW25" s="1077"/>
    </row>
    <row customHeight="1" ht="11.25">
      <c r="A26" s="1081" t="s">
        <v>1620</v>
      </c>
      <c r="B26" s="1082">
        <v>2024</v>
      </c>
      <c r="J26" s="1771" t="s">
        <v>1621</v>
      </c>
      <c r="AX26" s="1128" t="s">
        <v>1622</v>
      </c>
      <c r="AZ26" s="1128" t="s">
        <v>1487</v>
      </c>
      <c r="BB26" s="1128" t="s">
        <v>1623</v>
      </c>
      <c r="BC26" s="1128" t="s">
        <v>1610</v>
      </c>
      <c r="BE26" s="1128">
        <v>2024</v>
      </c>
      <c r="BH26" s="1075" t="s">
        <v>1553</v>
      </c>
      <c r="BJ26" s="1075" t="s">
        <v>1505</v>
      </c>
      <c r="BL26" s="1075" t="s">
        <v>1505</v>
      </c>
      <c r="BQ26" s="1311">
        <v>4190071</v>
      </c>
      <c r="BR26" s="1075" t="s">
        <v>1624</v>
      </c>
      <c r="BS26" s="1459"/>
      <c r="BV26" s="1077"/>
      <c r="BW26" s="1077"/>
    </row>
    <row customHeight="1" ht="11.25">
      <c r="A27" s="1081" t="s">
        <v>1625</v>
      </c>
      <c r="B27" s="1082">
        <v>2025</v>
      </c>
      <c r="J27" s="162" t="s">
        <v>103</v>
      </c>
      <c r="AX27" s="1128" t="s">
        <v>1626</v>
      </c>
      <c r="BB27" s="1128" t="s">
        <v>1627</v>
      </c>
      <c r="BC27" s="1128" t="s">
        <v>1610</v>
      </c>
      <c r="BE27" s="1128">
        <v>2025</v>
      </c>
      <c r="BH27" s="1077" t="s">
        <v>24</v>
      </c>
      <c r="BJ27" s="1075" t="s">
        <v>1512</v>
      </c>
      <c r="BL27" s="1075" t="s">
        <v>1512</v>
      </c>
      <c r="BN27" s="1077" t="s">
        <v>24</v>
      </c>
      <c r="BQ27" s="1311">
        <v>4190072</v>
      </c>
      <c r="BR27" s="1075" t="s">
        <v>1628</v>
      </c>
      <c r="BS27" s="1459"/>
      <c r="BV27" s="1077"/>
      <c r="BW27" s="1077"/>
    </row>
    <row customHeight="1" ht="11.25">
      <c r="A28" s="1081" t="s">
        <v>1629</v>
      </c>
      <c r="D28" s="1108"/>
      <c r="E28" s="1109"/>
      <c r="F28" s="1109"/>
      <c r="H28" s="1110" t="s">
        <v>1630</v>
      </c>
      <c r="AX28" s="1128" t="s">
        <v>1631</v>
      </c>
      <c r="AZ28" s="1074" t="s">
        <v>1632</v>
      </c>
      <c r="BB28" s="1128" t="s">
        <v>1633</v>
      </c>
      <c r="BC28" s="1128" t="s">
        <v>1634</v>
      </c>
      <c r="BE28" s="1128">
        <v>2026</v>
      </c>
      <c r="BH28" s="1077" t="s">
        <v>24</v>
      </c>
      <c r="BJ28" s="1075" t="s">
        <v>1519</v>
      </c>
      <c r="BL28" s="1075" t="s">
        <v>1519</v>
      </c>
      <c r="BN28" s="1077" t="s">
        <v>24</v>
      </c>
      <c r="BQ28" s="1311">
        <v>4190073</v>
      </c>
      <c r="BR28" s="1075" t="s">
        <v>1635</v>
      </c>
      <c r="BS28" s="1459"/>
      <c r="BV28" s="1077"/>
      <c r="BW28" s="1077"/>
    </row>
    <row customHeight="1" ht="11.25">
      <c r="A29" s="1081" t="s">
        <v>1636</v>
      </c>
      <c r="D29" s="1111" t="s">
        <v>1637</v>
      </c>
      <c r="E29" s="1112" t="str">
        <f>IF(TEMPLATE_GROUP="","",INDEX(StartDateList,MATCH(TEMPLATE_GROUP,CodeTemplateList,0),1))</f>
        <v>45292</v>
      </c>
      <c r="F29" s="1112" t="str">
        <f>IF(TEMPLATE_GROUP="","",INDEX(EndDateList,MATCH(TEMPLATE_GROUP,CodeTemplateList,0),1))</f>
        <v>47118</v>
      </c>
      <c r="H29" s="1113" t="s">
        <v>1638</v>
      </c>
      <c r="AX29" s="1128" t="s">
        <v>1639</v>
      </c>
      <c r="AZ29" s="1128" t="s">
        <v>1288</v>
      </c>
      <c r="BB29" s="1128" t="s">
        <v>1487</v>
      </c>
      <c r="BC29" s="1098"/>
      <c r="BE29" s="1128">
        <v>2027</v>
      </c>
      <c r="BJ29" s="1075" t="s">
        <v>1527</v>
      </c>
      <c r="BL29" s="1075" t="s">
        <v>1527</v>
      </c>
    </row>
    <row customHeight="1" ht="11.25">
      <c r="A30" s="1081" t="s">
        <v>1640</v>
      </c>
      <c r="D30" s="1114"/>
      <c r="E30" s="1115"/>
      <c r="F30" s="1115"/>
      <c r="AX30" s="1128" t="s">
        <v>1641</v>
      </c>
      <c r="AZ30" s="1128" t="s">
        <v>1314</v>
      </c>
      <c r="BE30" s="1128">
        <v>2028</v>
      </c>
      <c r="BJ30" s="1075" t="s">
        <v>1642</v>
      </c>
      <c r="BL30" s="1075" t="s">
        <v>1642</v>
      </c>
    </row>
    <row customHeight="1" ht="12.75">
      <c r="A31" s="1081" t="s">
        <v>1643</v>
      </c>
      <c r="D31" s="1108"/>
      <c r="E31" s="1109"/>
      <c r="F31" s="1109"/>
      <c r="H31" s="1116"/>
      <c r="AX31" s="1128" t="s">
        <v>1644</v>
      </c>
      <c r="AZ31" s="1128" t="s">
        <v>497</v>
      </c>
      <c r="BE31" s="1128">
        <v>2029</v>
      </c>
      <c r="BJ31" s="1075" t="s">
        <v>1645</v>
      </c>
      <c r="BL31" s="1075" t="s">
        <v>1645</v>
      </c>
    </row>
    <row customHeight="1" ht="11.25">
      <c r="A32" s="1081" t="s">
        <v>1646</v>
      </c>
      <c r="D32" s="1111" t="s">
        <v>1647</v>
      </c>
      <c r="E32" s="1112" t="str">
        <f>IF(TEMPLATE_GROUP="","",INDEX(StartDateList,MATCH(TEMPLATE_GROUP,CodeTemplateList,0),1))</f>
        <v>45292</v>
      </c>
      <c r="F32" s="1112" t="str">
        <f>IF(TEMPLATE_GROUP="","",INDEX(EndDateList,MATCH(TEMPLATE_GROUP,CodeTemplateList,0),1))</f>
        <v>47118</v>
      </c>
      <c r="H32" s="1117" t="s">
        <v>1648</v>
      </c>
      <c r="O32" s="1081" t="s">
        <v>495</v>
      </c>
      <c r="AX32" s="1128" t="s">
        <v>1649</v>
      </c>
      <c r="AZ32" s="1128" t="s">
        <v>494</v>
      </c>
      <c r="BE32" s="1128">
        <v>2030</v>
      </c>
      <c r="BJ32" s="1075" t="s">
        <v>1536</v>
      </c>
      <c r="BL32" s="1075" t="s">
        <v>1536</v>
      </c>
    </row>
    <row customHeight="1" ht="11.25">
      <c r="A33" s="1081" t="s">
        <v>1650</v>
      </c>
      <c r="O33" s="1081" t="s">
        <v>1311</v>
      </c>
      <c r="AX33" s="1128" t="s">
        <v>1651</v>
      </c>
      <c r="AZ33" s="1128" t="s">
        <v>1287</v>
      </c>
      <c r="BE33" s="1128">
        <v>2031</v>
      </c>
      <c r="BJ33" s="1075" t="s">
        <v>1543</v>
      </c>
      <c r="BL33" s="1075" t="s">
        <v>1543</v>
      </c>
    </row>
    <row customHeight="1" ht="11.25">
      <c r="A34" s="1081" t="s">
        <v>1652</v>
      </c>
      <c r="O34" s="1081" t="s">
        <v>1347</v>
      </c>
      <c r="AX34" s="1128" t="s">
        <v>1653</v>
      </c>
      <c r="BE34" s="1128">
        <v>2032</v>
      </c>
      <c r="BJ34" s="1075" t="s">
        <v>1553</v>
      </c>
      <c r="BL34" s="1075" t="s">
        <v>1553</v>
      </c>
    </row>
    <row customHeight="1" ht="11.25">
      <c r="A35" s="1081" t="s">
        <v>1654</v>
      </c>
      <c r="O35" s="1081" t="s">
        <v>1380</v>
      </c>
      <c r="AX35" s="1128" t="s">
        <v>1655</v>
      </c>
      <c r="AZ35" s="1074" t="s">
        <v>1656</v>
      </c>
      <c r="BE35" s="1128">
        <v>2033</v>
      </c>
      <c r="BL35" s="1075" t="s">
        <v>1657</v>
      </c>
    </row>
    <row customHeight="1" ht="11.25">
      <c r="A36" s="1913" t="s">
        <v>1658</v>
      </c>
      <c r="D36" s="1118" t="s">
        <v>1659</v>
      </c>
      <c r="E36" s="1119" t="s">
        <v>761</v>
      </c>
      <c r="F36" s="1120" t="str">
        <f>INDEX(E37:E41,MATCH(TEMPLATE_SPHERE,F37:F41,0))</f>
        <v>теплоснабжения</v>
      </c>
      <c r="G36" s="1120" t="str">
        <f>INDEX(G37:G41,MATCH(TEMPLATE_SPHERE,F37:F41,0))</f>
        <v>теплоснабжение</v>
      </c>
      <c r="O36" s="1081" t="s">
        <v>1404</v>
      </c>
      <c r="AX36" s="1128" t="s">
        <v>113</v>
      </c>
      <c r="AZ36" s="1128" t="s">
        <v>1287</v>
      </c>
      <c r="BE36" s="1128">
        <v>2034</v>
      </c>
      <c r="BL36" s="1075" t="s">
        <v>1660</v>
      </c>
    </row>
    <row customHeight="1" ht="11.25">
      <c r="A37" s="1081" t="s">
        <v>1661</v>
      </c>
      <c r="E37" s="413" t="s">
        <v>1662</v>
      </c>
      <c r="F37" s="1121" t="s">
        <v>761</v>
      </c>
      <c r="G37" s="413" t="s">
        <v>1663</v>
      </c>
      <c r="O37" s="1081" t="s">
        <v>1423</v>
      </c>
      <c r="AX37" s="1128" t="s">
        <v>1664</v>
      </c>
      <c r="AZ37" s="1128" t="s">
        <v>1313</v>
      </c>
      <c r="BE37" s="1128">
        <v>2035</v>
      </c>
    </row>
    <row customHeight="1" ht="11.25">
      <c r="A38" s="1081" t="s">
        <v>1665</v>
      </c>
      <c r="E38" s="413" t="s">
        <v>1666</v>
      </c>
      <c r="F38" s="1122" t="s">
        <v>807</v>
      </c>
      <c r="G38" s="413" t="s">
        <v>1667</v>
      </c>
      <c r="O38" s="1081" t="s">
        <v>1439</v>
      </c>
      <c r="AX38" s="1128" t="s">
        <v>108</v>
      </c>
      <c r="AZ38" s="1128" t="s">
        <v>1348</v>
      </c>
      <c r="BE38" s="1128">
        <v>2036</v>
      </c>
      <c r="BH38" s="1074" t="s">
        <v>1668</v>
      </c>
      <c r="BJ38" s="1074" t="s">
        <v>1669</v>
      </c>
      <c r="BL38" s="1074" t="s">
        <v>1670</v>
      </c>
      <c r="BN38" s="1074" t="s">
        <v>1671</v>
      </c>
    </row>
    <row customHeight="1" ht="11.25">
      <c r="A39" s="1081" t="s">
        <v>14</v>
      </c>
      <c r="E39" s="413" t="s">
        <v>1672</v>
      </c>
      <c r="F39" s="1122" t="s">
        <v>859</v>
      </c>
      <c r="G39" s="413" t="s">
        <v>1673</v>
      </c>
      <c r="O39" s="1081" t="s">
        <v>1455</v>
      </c>
      <c r="AX39" s="1128" t="s">
        <v>1674</v>
      </c>
      <c r="AZ39" s="1128" t="s">
        <v>1381</v>
      </c>
      <c r="BE39" s="1128">
        <v>2037</v>
      </c>
      <c r="BH39" s="1075" t="s">
        <v>1675</v>
      </c>
      <c r="BJ39" s="1229" t="s">
        <v>1675</v>
      </c>
      <c r="BL39" s="1229" t="s">
        <v>1675</v>
      </c>
      <c r="BN39" s="1075" t="s">
        <v>1676</v>
      </c>
    </row>
    <row customHeight="1" ht="11.25">
      <c r="A40" s="1081" t="s">
        <v>1677</v>
      </c>
      <c r="E40" s="413" t="s">
        <v>1678</v>
      </c>
      <c r="F40" s="1122" t="s">
        <v>845</v>
      </c>
      <c r="G40" s="413" t="s">
        <v>1679</v>
      </c>
      <c r="O40" s="1081" t="s">
        <v>1471</v>
      </c>
      <c r="AX40" s="1128" t="s">
        <v>1680</v>
      </c>
      <c r="BE40" s="1128">
        <v>2038</v>
      </c>
      <c r="BH40" s="1075" t="s">
        <v>1681</v>
      </c>
      <c r="BJ40" s="1229" t="s">
        <v>980</v>
      </c>
      <c r="BL40" s="1229" t="s">
        <v>980</v>
      </c>
      <c r="BN40" s="1075" t="s">
        <v>1014</v>
      </c>
    </row>
    <row customHeight="1" ht="11.25">
      <c r="A41" s="1081" t="s">
        <v>1682</v>
      </c>
      <c r="E41" s="413" t="s">
        <v>1683</v>
      </c>
      <c r="F41" s="1122" t="s">
        <v>1684</v>
      </c>
      <c r="G41" s="413" t="s">
        <v>1683</v>
      </c>
      <c r="O41" s="1081" t="s">
        <v>1487</v>
      </c>
      <c r="AX41" s="1128" t="s">
        <v>1685</v>
      </c>
      <c r="AZ41" s="1074" t="s">
        <v>1686</v>
      </c>
      <c r="BE41" s="1128">
        <v>2039</v>
      </c>
      <c r="BH41" s="1075" t="s">
        <v>1687</v>
      </c>
      <c r="BJ41" s="1229" t="s">
        <v>976</v>
      </c>
      <c r="BL41" s="1229" t="s">
        <v>976</v>
      </c>
      <c r="BN41" s="1075" t="s">
        <v>1001</v>
      </c>
    </row>
    <row customHeight="1" ht="11.25">
      <c r="A42" s="1081" t="s">
        <v>1688</v>
      </c>
      <c r="AX42" s="1128" t="s">
        <v>1689</v>
      </c>
      <c r="AZ42" s="1128" t="s">
        <v>495</v>
      </c>
      <c r="BE42" s="1128">
        <v>2040</v>
      </c>
      <c r="BH42" s="1075" t="s">
        <v>998</v>
      </c>
      <c r="BJ42" s="1229" t="s">
        <v>978</v>
      </c>
      <c r="BL42" s="1229" t="s">
        <v>978</v>
      </c>
      <c r="BN42" s="1075" t="s">
        <v>1690</v>
      </c>
    </row>
    <row customHeight="1" ht="11.25">
      <c r="A43" s="1081" t="s">
        <v>1691</v>
      </c>
      <c r="AX43" s="1128" t="s">
        <v>1692</v>
      </c>
      <c r="AZ43" s="1128" t="s">
        <v>1311</v>
      </c>
      <c r="BE43" s="1128">
        <v>2041</v>
      </c>
      <c r="BH43" s="1075" t="s">
        <v>1693</v>
      </c>
      <c r="BJ43" s="1229" t="s">
        <v>1687</v>
      </c>
      <c r="BL43" s="1229" t="s">
        <v>1687</v>
      </c>
      <c r="BN43" s="1075" t="s">
        <v>1694</v>
      </c>
    </row>
    <row customHeight="1" ht="11.25">
      <c r="A44" s="1081" t="s">
        <v>1695</v>
      </c>
      <c r="I44" s="805" t="s">
        <v>1696</v>
      </c>
      <c r="J44" s="1096" t="s">
        <v>1697</v>
      </c>
      <c r="K44" s="1096" t="s">
        <v>1698</v>
      </c>
      <c r="AX44" s="1128" t="s">
        <v>1699</v>
      </c>
      <c r="AZ44" s="1128" t="s">
        <v>1347</v>
      </c>
      <c r="BE44" s="1128">
        <v>2042</v>
      </c>
      <c r="BH44" s="1075" t="s">
        <v>1700</v>
      </c>
      <c r="BJ44" s="1229" t="s">
        <v>998</v>
      </c>
      <c r="BL44" s="1229" t="s">
        <v>998</v>
      </c>
      <c r="BN44" s="1075" t="s">
        <v>1701</v>
      </c>
    </row>
    <row customHeight="1" ht="11.25">
      <c r="A45" s="1081" t="s">
        <v>1702</v>
      </c>
      <c r="D45" s="1118" t="s">
        <v>1703</v>
      </c>
      <c r="E45" s="1119" t="s">
        <v>1704</v>
      </c>
      <c r="F45" s="803" t="s">
        <v>1705</v>
      </c>
      <c r="G45" s="802" t="s">
        <v>1706</v>
      </c>
      <c r="H45" s="805" t="s">
        <v>1707</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1708</v>
      </c>
      <c r="AZ45" s="1128" t="s">
        <v>1380</v>
      </c>
      <c r="BE45" s="1128">
        <v>2043</v>
      </c>
      <c r="BH45" s="1075" t="s">
        <v>1709</v>
      </c>
      <c r="BJ45" s="1229" t="s">
        <v>992</v>
      </c>
      <c r="BL45" s="1229" t="s">
        <v>992</v>
      </c>
      <c r="BN45" s="1075" t="s">
        <v>1710</v>
      </c>
    </row>
    <row customHeight="1" ht="11.25">
      <c r="A46" s="1081" t="s">
        <v>1711</v>
      </c>
      <c r="E46" s="413" t="s">
        <v>22</v>
      </c>
      <c r="F46" s="1121" t="s">
        <v>1712</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1713</v>
      </c>
      <c r="AZ46" s="1128" t="s">
        <v>1404</v>
      </c>
      <c r="BE46" s="1128">
        <v>2044</v>
      </c>
      <c r="BH46" s="1075" t="s">
        <v>1001</v>
      </c>
      <c r="BJ46" s="1229" t="s">
        <v>982</v>
      </c>
      <c r="BL46" s="1229" t="s">
        <v>982</v>
      </c>
      <c r="BN46" s="1075" t="s">
        <v>1714</v>
      </c>
    </row>
    <row customHeight="1" ht="11.25">
      <c r="A47" s="1081" t="s">
        <v>1715</v>
      </c>
      <c r="E47" s="413" t="s">
        <v>29</v>
      </c>
      <c r="F47" s="1122" t="s">
        <v>1716</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1717</v>
      </c>
      <c r="AZ47" s="1128" t="s">
        <v>1423</v>
      </c>
      <c r="BE47" s="1128">
        <v>2045</v>
      </c>
      <c r="BH47" s="1075" t="s">
        <v>1690</v>
      </c>
      <c r="BJ47" s="1229" t="s">
        <v>984</v>
      </c>
      <c r="BL47" s="1229" t="s">
        <v>984</v>
      </c>
      <c r="BN47" s="1075" t="s">
        <v>1718</v>
      </c>
    </row>
    <row customHeight="1" ht="11.25">
      <c r="A48" s="1081" t="s">
        <v>1719</v>
      </c>
      <c r="E48" s="413" t="s">
        <v>1720</v>
      </c>
      <c r="F48" s="1122" t="s">
        <v>1721</v>
      </c>
      <c r="G48" s="1124" t="str">
        <f>IF(f_year="","","01.01."&amp;f_year)</f>
        <v/>
      </c>
      <c r="H48" s="1124" t="str">
        <f>IF(f_year="","","31.12."&amp;f_year)</f>
        <v/>
      </c>
      <c r="I48" s="1782">
        <f>IF(f_year="",TRUE,FALSE)</f>
        <v>1</v>
      </c>
      <c r="J48" s="1785" t="s">
        <v>1722</v>
      </c>
      <c r="K48" s="1786"/>
      <c r="AX48" s="1128" t="s">
        <v>1723</v>
      </c>
      <c r="AZ48" s="1128" t="s">
        <v>1439</v>
      </c>
      <c r="BE48" s="1128">
        <v>2046</v>
      </c>
      <c r="BH48" s="1075" t="s">
        <v>1694</v>
      </c>
      <c r="BJ48" s="1229" t="s">
        <v>986</v>
      </c>
      <c r="BL48" s="1229" t="s">
        <v>986</v>
      </c>
      <c r="BN48" s="1075" t="s">
        <v>1724</v>
      </c>
    </row>
    <row customHeight="1" ht="11.25">
      <c r="A49" s="1081" t="s">
        <v>1725</v>
      </c>
      <c r="E49" s="413" t="s">
        <v>1726</v>
      </c>
      <c r="F49" s="1122" t="s">
        <v>1727</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98</v>
      </c>
      <c r="AZ49" s="1128" t="s">
        <v>1455</v>
      </c>
      <c r="BE49" s="1128">
        <v>2047</v>
      </c>
      <c r="BH49" s="1075" t="s">
        <v>1002</v>
      </c>
      <c r="BJ49" s="1229" t="s">
        <v>988</v>
      </c>
      <c r="BL49" s="1229" t="s">
        <v>988</v>
      </c>
    </row>
    <row customHeight="1" ht="11.25">
      <c r="A50" s="1081" t="s">
        <v>1728</v>
      </c>
      <c r="E50" s="413" t="s">
        <v>1729</v>
      </c>
      <c r="F50" s="1122" t="s">
        <v>972</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1730</v>
      </c>
      <c r="AZ50" s="1128" t="s">
        <v>1471</v>
      </c>
      <c r="BE50" s="1128">
        <v>2048</v>
      </c>
      <c r="BH50" s="1075" t="s">
        <v>1701</v>
      </c>
      <c r="BJ50" s="1229" t="s">
        <v>990</v>
      </c>
      <c r="BL50" s="1229" t="s">
        <v>990</v>
      </c>
    </row>
    <row customHeight="1" ht="11.25">
      <c r="A51" s="1081" t="s">
        <v>1731</v>
      </c>
      <c r="E51" s="413" t="s">
        <v>1732</v>
      </c>
      <c r="F51" s="1122" t="s">
        <v>1733</v>
      </c>
      <c r="G51" s="1124" t="str">
        <f>IF(TITLE_PERIOD_START="","",TITLE_PERIOD_START)</f>
        <v>45292</v>
      </c>
      <c r="H51" s="1124" t="str">
        <f>IF(TITLE_PERIOD_END="","",TITLE_PERIOD_END)</f>
        <v>47118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1734</v>
      </c>
      <c r="AZ51" s="1128" t="s">
        <v>1487</v>
      </c>
      <c r="BE51" s="1128">
        <v>2049</v>
      </c>
      <c r="BH51" s="1075" t="s">
        <v>1710</v>
      </c>
      <c r="BJ51" s="1229" t="s">
        <v>1735</v>
      </c>
      <c r="BL51" s="1229" t="s">
        <v>1735</v>
      </c>
    </row>
    <row customHeight="1" ht="11.25">
      <c r="A52" s="1081" t="s">
        <v>1736</v>
      </c>
      <c r="E52" s="413" t="s">
        <v>1737</v>
      </c>
      <c r="F52" s="1122" t="s">
        <v>1704</v>
      </c>
      <c r="G52" s="1124" t="str">
        <f>IF(TITLE_PERIOD_START="","",TITLE_PERIOD_START)</f>
        <v>45292</v>
      </c>
      <c r="H52" s="1124" t="str">
        <f>IF(TITLE_PERIOD_END="","",TITLE_PERIOD_END)</f>
        <v>47118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1738</v>
      </c>
      <c r="AZ52" s="1128" t="s">
        <v>1287</v>
      </c>
      <c r="BE52" s="1128">
        <v>2050</v>
      </c>
      <c r="BH52" s="1075" t="s">
        <v>1714</v>
      </c>
      <c r="BJ52" s="1229" t="s">
        <v>1001</v>
      </c>
      <c r="BL52" s="1229" t="s">
        <v>1001</v>
      </c>
    </row>
    <row customHeight="1" ht="11.25">
      <c r="A53" s="1081" t="s">
        <v>1739</v>
      </c>
      <c r="E53" s="413" t="s">
        <v>1740</v>
      </c>
      <c r="F53" s="1122" t="s">
        <v>1740</v>
      </c>
      <c r="G53" s="1124" t="str">
        <f>IF(f_year="","","01.01."&amp;f_year)</f>
        <v/>
      </c>
      <c r="H53" s="1124" t="str">
        <f>IF(f_year="","","31.12."&amp;f_year)</f>
        <v/>
      </c>
      <c r="I53" s="1782">
        <f>IF(AND(f_year="",TITLE_DATE_FIL=""),TRUE,FALSE)</f>
        <v>1</v>
      </c>
      <c r="J53" s="1785" t="s">
        <v>1741</v>
      </c>
      <c r="K53" s="1786"/>
      <c r="AX53" s="1128" t="s">
        <v>1742</v>
      </c>
      <c r="BE53" s="1128">
        <v>2051</v>
      </c>
      <c r="BH53" s="1075" t="s">
        <v>1718</v>
      </c>
      <c r="BJ53" s="1229" t="s">
        <v>1690</v>
      </c>
      <c r="BL53" s="1229" t="s">
        <v>1690</v>
      </c>
    </row>
    <row customHeight="1" ht="11.25">
      <c r="A54" s="1081" t="s">
        <v>1743</v>
      </c>
      <c r="AX54" s="1128" t="s">
        <v>1744</v>
      </c>
      <c r="AZ54" s="1074" t="s">
        <v>1745</v>
      </c>
      <c r="BE54" s="1128">
        <v>2052</v>
      </c>
      <c r="BH54" s="1075" t="s">
        <v>1724</v>
      </c>
      <c r="BJ54" s="1229" t="s">
        <v>1694</v>
      </c>
      <c r="BL54" s="1229" t="s">
        <v>1694</v>
      </c>
    </row>
    <row customHeight="1" ht="11.25">
      <c r="A55" s="1081" t="s">
        <v>1746</v>
      </c>
      <c r="AX55" s="1128" t="s">
        <v>1747</v>
      </c>
      <c r="AZ55" s="1128" t="s">
        <v>1289</v>
      </c>
      <c r="BE55" s="1128">
        <v>2053</v>
      </c>
      <c r="BH55" s="1077" t="s">
        <v>24</v>
      </c>
      <c r="BJ55" s="1229" t="s">
        <v>1002</v>
      </c>
      <c r="BL55" s="1229" t="s">
        <v>1002</v>
      </c>
    </row>
    <row customHeight="1" ht="11.25">
      <c r="A56" s="1081" t="s">
        <v>1748</v>
      </c>
      <c r="D56" s="1126" t="s">
        <v>1749</v>
      </c>
      <c r="E56" s="1102">
        <v>59</v>
      </c>
      <c r="F56" s="1081" t="s">
        <v>1750</v>
      </c>
      <c r="AX56" s="1128" t="s">
        <v>1751</v>
      </c>
      <c r="AZ56" s="1128" t="s">
        <v>1315</v>
      </c>
      <c r="BE56" s="1128">
        <v>2054</v>
      </c>
      <c r="BH56" s="1077" t="s">
        <v>24</v>
      </c>
      <c r="BJ56" s="1229" t="s">
        <v>1701</v>
      </c>
      <c r="BL56" s="1229" t="s">
        <v>1701</v>
      </c>
    </row>
    <row customHeight="1" ht="11.25">
      <c r="A57" s="1081" t="s">
        <v>1752</v>
      </c>
      <c r="D57" s="1126" t="s">
        <v>1753</v>
      </c>
      <c r="E57" s="1102">
        <v>66</v>
      </c>
      <c r="F57" s="1081" t="s">
        <v>1750</v>
      </c>
      <c r="AX57" s="1128" t="s">
        <v>1754</v>
      </c>
      <c r="AZ57" s="1128" t="s">
        <v>1350</v>
      </c>
      <c r="BE57" s="1128">
        <v>2055</v>
      </c>
      <c r="BJ57" s="1229" t="s">
        <v>1710</v>
      </c>
      <c r="BL57" s="1229" t="s">
        <v>1710</v>
      </c>
    </row>
    <row customHeight="1" ht="11.25">
      <c r="A58" s="1081" t="s">
        <v>1755</v>
      </c>
      <c r="D58" s="1126" t="s">
        <v>1756</v>
      </c>
      <c r="E58" s="1102">
        <v>44</v>
      </c>
      <c r="F58" s="1081" t="s">
        <v>1750</v>
      </c>
      <c r="AX58" s="1128" t="s">
        <v>1757</v>
      </c>
      <c r="BE58" s="1128">
        <v>2056</v>
      </c>
      <c r="BJ58" s="1229" t="s">
        <v>1714</v>
      </c>
      <c r="BL58" s="1229" t="s">
        <v>1714</v>
      </c>
    </row>
    <row customHeight="1" ht="11.25">
      <c r="A59" s="1081" t="s">
        <v>1758</v>
      </c>
      <c r="D59" s="1126" t="s">
        <v>148</v>
      </c>
      <c r="E59" s="1102" t="s">
        <v>1584</v>
      </c>
      <c r="F59" s="1081" t="s">
        <v>1759</v>
      </c>
      <c r="AX59" s="1128" t="s">
        <v>1760</v>
      </c>
      <c r="AZ59" s="1074" t="s">
        <v>1761</v>
      </c>
      <c r="BE59" s="1128">
        <v>2057</v>
      </c>
      <c r="BJ59" s="1229" t="s">
        <v>1718</v>
      </c>
      <c r="BL59" s="1229" t="s">
        <v>1718</v>
      </c>
    </row>
    <row customHeight="1" ht="11.25">
      <c r="A60" s="1081" t="s">
        <v>1762</v>
      </c>
      <c r="D60" s="1126" t="s">
        <v>1763</v>
      </c>
      <c r="E60" s="1102" t="s">
        <v>1584</v>
      </c>
      <c r="F60" s="1081" t="s">
        <v>1759</v>
      </c>
      <c r="AX60" s="1128" t="s">
        <v>1764</v>
      </c>
      <c r="AZ60" s="1128" t="s">
        <v>1290</v>
      </c>
      <c r="BE60" s="1128">
        <v>2058</v>
      </c>
      <c r="BJ60" s="1229" t="s">
        <v>1724</v>
      </c>
      <c r="BL60" s="1229" t="s">
        <v>1724</v>
      </c>
    </row>
    <row customHeight="1" ht="11.25">
      <c r="A61" s="1081" t="s">
        <v>1765</v>
      </c>
      <c r="D61" s="1126" t="s">
        <v>1766</v>
      </c>
      <c r="E61" s="1102">
        <v>27</v>
      </c>
      <c r="F61" s="1081" t="s">
        <v>1759</v>
      </c>
      <c r="AX61" s="1128" t="s">
        <v>1767</v>
      </c>
      <c r="AZ61" s="1128" t="s">
        <v>1316</v>
      </c>
      <c r="BE61" s="1128">
        <v>2059</v>
      </c>
      <c r="BL61" s="1229" t="s">
        <v>994</v>
      </c>
    </row>
    <row customHeight="1" ht="11.25">
      <c r="A62" s="1081" t="s">
        <v>1768</v>
      </c>
      <c r="D62" s="1126" t="s">
        <v>147</v>
      </c>
      <c r="E62" s="1102">
        <v>39</v>
      </c>
      <c r="F62" s="1081" t="s">
        <v>1759</v>
      </c>
      <c r="AZ62" s="1128" t="s">
        <v>1351</v>
      </c>
      <c r="BE62" s="1128">
        <v>2060</v>
      </c>
      <c r="BL62" s="1229" t="s">
        <v>996</v>
      </c>
    </row>
    <row customHeight="1" ht="11.25">
      <c r="A63" s="1081" t="s">
        <v>1769</v>
      </c>
      <c r="D63" s="1126" t="s">
        <v>1770</v>
      </c>
      <c r="E63" s="1102">
        <v>39</v>
      </c>
      <c r="F63" s="1081" t="s">
        <v>1759</v>
      </c>
      <c r="AZ63" s="1128" t="s">
        <v>1382</v>
      </c>
      <c r="BE63" s="1128">
        <v>2061</v>
      </c>
    </row>
    <row customHeight="1" ht="11.25">
      <c r="A64" s="1081" t="s">
        <v>1771</v>
      </c>
      <c r="D64" s="1126" t="s">
        <v>1772</v>
      </c>
      <c r="E64" s="1102">
        <v>41</v>
      </c>
      <c r="F64" s="1081" t="s">
        <v>1759</v>
      </c>
      <c r="AZ64" s="1128" t="s">
        <v>1405</v>
      </c>
      <c r="BE64" s="1128">
        <v>2062</v>
      </c>
    </row>
    <row customHeight="1" ht="11.25">
      <c r="A65" s="1081" t="s">
        <v>1773</v>
      </c>
      <c r="D65" s="1081"/>
      <c r="BE65" s="1128">
        <v>2063</v>
      </c>
    </row>
    <row customHeight="1" ht="11.25">
      <c r="A66" s="1081" t="s">
        <v>1774</v>
      </c>
      <c r="AZ66" s="1074" t="s">
        <v>1775</v>
      </c>
      <c r="BE66" s="1128">
        <v>2064</v>
      </c>
    </row>
    <row customHeight="1" ht="11.25">
      <c r="A67" s="1081" t="s">
        <v>1776</v>
      </c>
      <c r="AZ67" s="1128" t="s">
        <v>1291</v>
      </c>
      <c r="BE67" s="1128">
        <v>2065</v>
      </c>
    </row>
    <row customHeight="1" ht="11.25">
      <c r="A68" s="1081" t="s">
        <v>1777</v>
      </c>
      <c r="AZ68" s="1128" t="s">
        <v>1317</v>
      </c>
      <c r="BE68" s="1128">
        <v>2066</v>
      </c>
      <c r="BH68" s="1074" t="s">
        <v>1778</v>
      </c>
      <c r="BJ68" s="1074" t="s">
        <v>1779</v>
      </c>
      <c r="BL68" s="1074" t="s">
        <v>1780</v>
      </c>
      <c r="BN68" s="1074" t="s">
        <v>1781</v>
      </c>
    </row>
    <row customHeight="1" ht="11.25">
      <c r="A69" s="1081" t="s">
        <v>1782</v>
      </c>
      <c r="AZ69" s="1128" t="s">
        <v>1352</v>
      </c>
      <c r="BE69" s="1128">
        <v>2067</v>
      </c>
      <c r="BH69" s="1075" t="s">
        <v>1783</v>
      </c>
      <c r="BI69" s="1125" t="s">
        <v>128</v>
      </c>
      <c r="BJ69" s="1075" t="s">
        <v>1784</v>
      </c>
      <c r="BK69" s="1125" t="s">
        <v>128</v>
      </c>
      <c r="BL69" s="1075" t="s">
        <v>1785</v>
      </c>
      <c r="BN69" s="1075" t="s">
        <v>1786</v>
      </c>
    </row>
    <row customHeight="1" ht="11.25">
      <c r="A70" s="1081" t="s">
        <v>1787</v>
      </c>
      <c r="AZ70" s="1128" t="s">
        <v>1383</v>
      </c>
      <c r="BE70" s="1128">
        <v>2068</v>
      </c>
      <c r="BH70" s="1075" t="s">
        <v>1788</v>
      </c>
      <c r="BJ70" s="1075" t="s">
        <v>1789</v>
      </c>
      <c r="BL70" s="1075" t="s">
        <v>1790</v>
      </c>
      <c r="BN70" s="1075" t="s">
        <v>1791</v>
      </c>
    </row>
    <row customHeight="1" ht="11.25">
      <c r="A71" s="1081" t="s">
        <v>1792</v>
      </c>
      <c r="AZ71" s="1128" t="s">
        <v>1385</v>
      </c>
      <c r="BE71" s="1128">
        <v>2069</v>
      </c>
      <c r="BH71" s="1075" t="s">
        <v>1793</v>
      </c>
      <c r="BI71" s="1125" t="s">
        <v>89</v>
      </c>
      <c r="BJ71" s="1075" t="s">
        <v>1794</v>
      </c>
      <c r="BK71" s="1125" t="s">
        <v>89</v>
      </c>
      <c r="BL71" s="1075" t="s">
        <v>1795</v>
      </c>
      <c r="BN71" s="1075" t="s">
        <v>1796</v>
      </c>
    </row>
    <row customHeight="1" ht="11.25">
      <c r="A72" s="1081" t="s">
        <v>1797</v>
      </c>
      <c r="AZ72" s="1128" t="s">
        <v>56</v>
      </c>
      <c r="BE72" s="1128">
        <v>2070</v>
      </c>
      <c r="BH72" s="1075" t="s">
        <v>1798</v>
      </c>
      <c r="BJ72" s="1075" t="s">
        <v>1798</v>
      </c>
      <c r="BL72" s="1075" t="s">
        <v>1798</v>
      </c>
      <c r="BN72" s="1075" t="s">
        <v>1799</v>
      </c>
    </row>
    <row customHeight="1" ht="11.25">
      <c r="A73" s="1081" t="s">
        <v>1800</v>
      </c>
      <c r="BH73" s="1075" t="s">
        <v>1801</v>
      </c>
      <c r="BI73" s="1125" t="s">
        <v>116</v>
      </c>
      <c r="BJ73" s="1075" t="s">
        <v>1802</v>
      </c>
      <c r="BK73" s="1125" t="s">
        <v>116</v>
      </c>
      <c r="BL73" s="1075" t="s">
        <v>1803</v>
      </c>
      <c r="BN73" s="1075" t="s">
        <v>1804</v>
      </c>
    </row>
    <row customHeight="1" ht="11.25">
      <c r="A74" s="1081" t="s">
        <v>1805</v>
      </c>
      <c r="BH74" s="1075" t="s">
        <v>1806</v>
      </c>
      <c r="BJ74" s="1075" t="s">
        <v>1807</v>
      </c>
      <c r="BL74" s="1075" t="s">
        <v>1808</v>
      </c>
      <c r="BN74" s="1075" t="s">
        <v>1809</v>
      </c>
    </row>
    <row customHeight="1" ht="11.25">
      <c r="A75" s="1081" t="s">
        <v>1810</v>
      </c>
      <c r="AZ75" s="1074" t="s">
        <v>1811</v>
      </c>
      <c r="BH75" s="1075" t="s">
        <v>1812</v>
      </c>
      <c r="BJ75" s="1075" t="s">
        <v>1812</v>
      </c>
      <c r="BL75" s="1075" t="s">
        <v>1812</v>
      </c>
    </row>
    <row customHeight="1" ht="11.25">
      <c r="A76" s="1081" t="s">
        <v>1813</v>
      </c>
      <c r="AZ76" s="1128" t="s">
        <v>1299</v>
      </c>
      <c r="BH76" s="1075" t="s">
        <v>1814</v>
      </c>
      <c r="BJ76" s="1075" t="s">
        <v>1815</v>
      </c>
      <c r="BL76" s="1075" t="s">
        <v>1816</v>
      </c>
    </row>
    <row customHeight="1" ht="11.25">
      <c r="A77" s="1081" t="s">
        <v>1817</v>
      </c>
      <c r="AZ77" s="1128" t="s">
        <v>1327</v>
      </c>
    </row>
    <row customHeight="1" ht="11.25">
      <c r="A78" s="1081" t="s">
        <v>1818</v>
      </c>
      <c r="AZ78" s="1128" t="s">
        <v>1359</v>
      </c>
    </row>
    <row customHeight="1" ht="11.25">
      <c r="A79" s="1081" t="s">
        <v>1819</v>
      </c>
      <c r="AZ79" s="1128" t="s">
        <v>1389</v>
      </c>
      <c r="BH79" s="1074" t="s">
        <v>1820</v>
      </c>
      <c r="BJ79" s="1074" t="s">
        <v>1821</v>
      </c>
      <c r="BL79" s="1074" t="s">
        <v>1822</v>
      </c>
    </row>
    <row customHeight="1" ht="11.25">
      <c r="A80" s="1081" t="s">
        <v>1823</v>
      </c>
      <c r="AZ80" s="1128" t="s">
        <v>1410</v>
      </c>
      <c r="BH80" s="1075" t="s">
        <v>1824</v>
      </c>
      <c r="BJ80" s="1075" t="s">
        <v>1825</v>
      </c>
      <c r="BL80" s="1075" t="s">
        <v>1826</v>
      </c>
    </row>
    <row customHeight="1" ht="11.25">
      <c r="A81" s="1081" t="s">
        <v>1827</v>
      </c>
      <c r="AZ81" s="1128" t="s">
        <v>1427</v>
      </c>
      <c r="BH81" s="1075" t="s">
        <v>1828</v>
      </c>
      <c r="BJ81" s="1075" t="s">
        <v>1829</v>
      </c>
      <c r="BL81" s="1075" t="s">
        <v>1830</v>
      </c>
    </row>
    <row customHeight="1" ht="11.25">
      <c r="A82" s="1081" t="s">
        <v>1831</v>
      </c>
      <c r="AZ82" s="1128" t="s">
        <v>1441</v>
      </c>
      <c r="BH82" s="1075" t="s">
        <v>1832</v>
      </c>
      <c r="BJ82" s="1075" t="s">
        <v>1833</v>
      </c>
      <c r="BL82" s="1075" t="s">
        <v>1834</v>
      </c>
    </row>
    <row customHeight="1" ht="11.25">
      <c r="A83" s="1081" t="s">
        <v>1835</v>
      </c>
      <c r="BH83" s="1075" t="s">
        <v>1836</v>
      </c>
      <c r="BJ83" s="1075" t="s">
        <v>1837</v>
      </c>
      <c r="BL83" s="1075" t="s">
        <v>1838</v>
      </c>
    </row>
    <row customHeight="1" ht="11.25">
      <c r="A84" s="1081" t="s">
        <v>1839</v>
      </c>
      <c r="AZ84" s="1074" t="s">
        <v>1840</v>
      </c>
    </row>
    <row customHeight="1" ht="11.25">
      <c r="A85" s="1913" t="s">
        <v>1841</v>
      </c>
      <c r="AZ85" s="1128" t="s">
        <v>1842</v>
      </c>
    </row>
    <row customHeight="1" ht="11.25">
      <c r="A86" s="1081" t="s">
        <v>1843</v>
      </c>
      <c r="AZ86" s="1128" t="s">
        <v>1844</v>
      </c>
      <c r="BH86" s="1074" t="s">
        <v>1845</v>
      </c>
      <c r="BJ86" s="1074" t="s">
        <v>1846</v>
      </c>
      <c r="BL86" s="1074" t="s">
        <v>1847</v>
      </c>
    </row>
    <row customHeight="1" ht="11.25">
      <c r="A87" s="1081" t="s">
        <v>1848</v>
      </c>
      <c r="AZ87" s="1128" t="s">
        <v>1849</v>
      </c>
      <c r="BH87" s="1075" t="s">
        <v>1850</v>
      </c>
      <c r="BJ87" s="1075" t="s">
        <v>1851</v>
      </c>
      <c r="BL87" s="1075" t="s">
        <v>1852</v>
      </c>
    </row>
    <row customHeight="1" ht="11.25">
      <c r="A88" s="1081" t="s">
        <v>1853</v>
      </c>
      <c r="AZ88" s="1646"/>
      <c r="BH88" s="1075" t="s">
        <v>1854</v>
      </c>
      <c r="BJ88" s="1075" t="s">
        <v>1855</v>
      </c>
      <c r="BL88" s="1075" t="s">
        <v>1856</v>
      </c>
    </row>
    <row customHeight="1" ht="11.25">
      <c r="A89" s="1081" t="s">
        <v>1857</v>
      </c>
      <c r="AZ89" s="1074" t="s">
        <v>1858</v>
      </c>
    </row>
    <row customHeight="1" ht="11.25">
      <c r="A90" s="1081" t="s">
        <v>1859</v>
      </c>
      <c r="AZ90" s="1128" t="s">
        <v>972</v>
      </c>
    </row>
    <row customHeight="1" ht="11.25">
      <c r="A91" s="1081" t="s">
        <v>1860</v>
      </c>
      <c r="AZ91" s="1128" t="s">
        <v>1008</v>
      </c>
      <c r="BH91" s="1074" t="s">
        <v>1861</v>
      </c>
      <c r="BJ91" s="1074" t="s">
        <v>1862</v>
      </c>
      <c r="BL91" s="1074" t="s">
        <v>1863</v>
      </c>
    </row>
    <row customHeight="1" ht="11.25">
      <c r="AZ92" s="1128" t="s">
        <v>1864</v>
      </c>
      <c r="BH92" s="1075" t="s">
        <v>1865</v>
      </c>
      <c r="BJ92" s="1075" t="s">
        <v>1866</v>
      </c>
      <c r="BL92" s="1075" t="s">
        <v>1867</v>
      </c>
    </row>
    <row customHeight="1" ht="11.25">
      <c r="AZ93" s="1128" t="s">
        <v>1868</v>
      </c>
      <c r="BH93" s="1075" t="s">
        <v>1869</v>
      </c>
      <c r="BJ93" s="1075" t="s">
        <v>1870</v>
      </c>
      <c r="BL93" s="1075" t="s">
        <v>1871</v>
      </c>
    </row>
    <row customHeight="1" ht="11.25">
      <c r="AZ94" s="1128" t="s">
        <v>1872</v>
      </c>
    </row>
    <row r="96" customHeight="1" ht="11.25">
      <c r="AZ96" s="1074" t="s">
        <v>1873</v>
      </c>
      <c r="BH96" s="1074" t="s">
        <v>1874</v>
      </c>
      <c r="BJ96" s="1074" t="s">
        <v>1875</v>
      </c>
      <c r="BL96" s="1074" t="s">
        <v>1876</v>
      </c>
      <c r="BN96" s="1074" t="s">
        <v>1877</v>
      </c>
    </row>
    <row customHeight="1" ht="11.25">
      <c r="AZ97" s="1128" t="s">
        <v>1878</v>
      </c>
      <c r="BH97" s="1075" t="s">
        <v>1879</v>
      </c>
      <c r="BJ97" s="1075" t="s">
        <v>1880</v>
      </c>
      <c r="BL97" s="1075" t="s">
        <v>1881</v>
      </c>
      <c r="BN97" s="1075" t="s">
        <v>1882</v>
      </c>
    </row>
    <row customHeight="1" ht="11.25">
      <c r="AZ98" s="1128" t="s">
        <v>1883</v>
      </c>
      <c r="BH98" s="1075" t="s">
        <v>1884</v>
      </c>
      <c r="BJ98" s="1075" t="s">
        <v>1885</v>
      </c>
      <c r="BL98" s="1075" t="s">
        <v>1886</v>
      </c>
      <c r="BN98" s="1075" t="s">
        <v>1887</v>
      </c>
    </row>
    <row customHeight="1" ht="11.25">
      <c r="AZ99" s="1128" t="s">
        <v>1888</v>
      </c>
      <c r="BH99" s="1075" t="s">
        <v>1889</v>
      </c>
      <c r="BJ99" s="1075" t="s">
        <v>1890</v>
      </c>
      <c r="BL99" s="1075" t="s">
        <v>1891</v>
      </c>
      <c r="BN99" s="1075" t="s">
        <v>1892</v>
      </c>
    </row>
    <row customHeight="1" ht="11.25">
      <c r="BJ100" s="1075" t="s">
        <v>1487</v>
      </c>
      <c r="BL100" s="1075" t="s">
        <v>1487</v>
      </c>
      <c r="BN100" s="1075" t="s">
        <v>1893</v>
      </c>
    </row>
    <row customHeight="1" ht="11.25">
      <c r="AZ101" s="1732" t="s">
        <v>1894</v>
      </c>
      <c r="BN101" s="1075" t="s">
        <v>1895</v>
      </c>
    </row>
    <row customHeight="1" ht="11.25">
      <c r="AZ102" s="1128" t="s">
        <v>1896</v>
      </c>
      <c r="BN102" s="1075" t="s">
        <v>1897</v>
      </c>
    </row>
    <row customHeight="1" ht="11.25">
      <c r="AZ103" s="1128" t="s">
        <v>1898</v>
      </c>
      <c r="BN103" s="1075" t="s">
        <v>1899</v>
      </c>
    </row>
    <row customHeight="1" ht="11.25">
      <c r="AZ104" s="1128" t="s">
        <v>610</v>
      </c>
      <c r="BN104" s="1075" t="s">
        <v>1900</v>
      </c>
    </row>
    <row r="107" customHeight="1" ht="11.25">
      <c r="BH107" s="1074" t="s">
        <v>1901</v>
      </c>
      <c r="BJ107" s="1074" t="s">
        <v>1902</v>
      </c>
      <c r="BL107" s="1074" t="s">
        <v>1903</v>
      </c>
      <c r="BN107" s="1074" t="s">
        <v>1904</v>
      </c>
    </row>
    <row customHeight="1" ht="11.25">
      <c r="BH108" s="1075" t="s">
        <v>1905</v>
      </c>
      <c r="BJ108" s="1075" t="s">
        <v>1906</v>
      </c>
      <c r="BL108" s="1075" t="s">
        <v>1572</v>
      </c>
      <c r="BN108" s="1075" t="s">
        <v>1907</v>
      </c>
    </row>
    <row customHeight="1" ht="11.25">
      <c r="BH109" s="1075" t="s">
        <v>1908</v>
      </c>
    </row>
    <row customHeight="1" ht="11.25">
      <c r="BH110" s="1075" t="s">
        <v>1908</v>
      </c>
    </row>
    <row r="114" customHeight="1" ht="11.25">
      <c r="BH114" s="1074" t="s">
        <v>1909</v>
      </c>
    </row>
    <row customHeight="1" ht="11.25">
      <c r="BH115" s="1075" t="s">
        <v>1287</v>
      </c>
    </row>
    <row customHeight="1" ht="11.25">
      <c r="BH116" s="1075" t="s">
        <v>1313</v>
      </c>
    </row>
    <row customHeight="1" ht="11.25">
      <c r="BH117" s="1075" t="s">
        <v>1348</v>
      </c>
    </row>
    <row customHeight="1" ht="11.25">
      <c r="BH118" s="1075" t="s">
        <v>1381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805DC-D10B-0B53-25C6-5A8601CBE19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350" width="43.140625"/>
    <col min="2" max="2" style="7350" width="43.140625" hidden="1"/>
    <col min="3" max="3" style="7350" width="43.140625"/>
    <col min="4" max="5" style="7350" width="36.421875" customWidth="1"/>
    <col min="6" max="8" style="7351" width="36.421875" customWidth="1"/>
  </cols>
  <sheetData>
    <row customHeight="1" ht="9">
      <c r="A1" s="852" t="s">
        <v>1910</v>
      </c>
      <c r="B1" s="852"/>
      <c r="C1" s="989" t="s">
        <v>1911</v>
      </c>
      <c r="D1" s="987" t="s">
        <v>761</v>
      </c>
      <c r="E1" s="987" t="s">
        <v>807</v>
      </c>
      <c r="F1" s="987" t="s">
        <v>859</v>
      </c>
      <c r="G1" s="987" t="s">
        <v>845</v>
      </c>
      <c r="H1" s="987" t="s">
        <v>1684</v>
      </c>
    </row>
    <row customHeight="1" ht="9">
      <c r="A2" s="990" t="s">
        <v>1912</v>
      </c>
      <c r="B2" s="990"/>
      <c r="C2" s="991" t="str">
        <f>INDEX(TEMPLATE_NUMBER_FORM_LIST,MATCH(TEMPLATE_SPHERE,TEMPLATE_SPHERE_LIST,0))</f>
        <v>16</v>
      </c>
      <c r="D2" s="990" t="s">
        <v>1538</v>
      </c>
      <c r="E2" s="990" t="s">
        <v>166</v>
      </c>
      <c r="F2" s="992" t="s">
        <v>166</v>
      </c>
      <c r="G2" s="990" t="s">
        <v>166</v>
      </c>
      <c r="H2" s="993"/>
    </row>
    <row customHeight="1" ht="63">
      <c r="A3" s="852"/>
      <c r="B3" s="852" t="s">
        <v>128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1913</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1914</v>
      </c>
      <c r="B4" s="852" t="s">
        <v>102</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1915</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1916</v>
      </c>
    </row>
    <row customHeight="1" ht="117">
      <c r="A5" s="852" t="s">
        <v>1917</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1918</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1919</v>
      </c>
    </row>
    <row customHeight="1" ht="45">
      <c r="A6" s="852" t="s">
        <v>1920</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1921</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1922</v>
      </c>
      <c r="B7" s="852" t="s">
        <v>116</v>
      </c>
      <c r="C7" s="991" t="str">
        <f>IF(TEMPLATE_SPHERE="HEAT",D7,E7)</f>
        <v>Форма 11. Информация о расходах на капитальный и текущий ремонт основных средств</v>
      </c>
      <c r="D7" s="852" t="s">
        <v>1923</v>
      </c>
      <c r="E7" s="852" t="s">
        <v>1924</v>
      </c>
      <c r="F7" s="993"/>
      <c r="G7" s="993"/>
      <c r="H7" s="993"/>
    </row>
    <row customHeight="1" ht="108">
      <c r="A8" s="852" t="s">
        <v>1925</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1926</v>
      </c>
      <c r="E8" s="852" t="s">
        <v>1927</v>
      </c>
      <c r="F8" s="993"/>
      <c r="G8" s="993"/>
      <c r="H8" s="993"/>
    </row>
    <row customHeight="1" ht="99">
      <c r="A9" s="852" t="s">
        <v>1928</v>
      </c>
      <c r="B9" s="852"/>
      <c r="C9" s="852" t="s">
        <v>1929</v>
      </c>
      <c r="D9" s="852"/>
      <c r="E9" s="852"/>
      <c r="F9" s="993"/>
      <c r="G9" s="993"/>
      <c r="H9" s="993"/>
    </row>
    <row customHeight="1" ht="126">
      <c r="A10" s="852" t="s">
        <v>1930</v>
      </c>
      <c r="B10" s="852"/>
      <c r="C10" s="852" t="s">
        <v>1931</v>
      </c>
      <c r="D10" s="852"/>
      <c r="E10" s="852"/>
      <c r="F10" s="993"/>
      <c r="G10" s="993"/>
      <c r="H10" s="993"/>
    </row>
    <row customHeight="1" ht="108">
      <c r="A11" s="852" t="s">
        <v>1932</v>
      </c>
      <c r="B11" s="852"/>
      <c r="C11" s="852" t="s">
        <v>1933</v>
      </c>
      <c r="D11" s="852"/>
      <c r="E11" s="852"/>
      <c r="F11" s="993"/>
      <c r="G11" s="993"/>
      <c r="H11" s="993"/>
    </row>
    <row customHeight="1" ht="54">
      <c r="A12" s="852" t="s">
        <v>1934</v>
      </c>
      <c r="B12" s="852"/>
      <c r="C12" s="852" t="s">
        <v>1935</v>
      </c>
      <c r="D12" s="852"/>
      <c r="E12" s="852"/>
      <c r="F12" s="993"/>
      <c r="G12" s="993"/>
      <c r="H12" s="993"/>
    </row>
    <row customHeight="1" ht="45">
      <c r="A13" s="852" t="s">
        <v>1936</v>
      </c>
      <c r="B13" s="852"/>
      <c r="C13" s="852" t="s">
        <v>1937</v>
      </c>
      <c r="D13" s="852"/>
      <c r="E13" s="852"/>
      <c r="F13" s="993"/>
      <c r="G13" s="993"/>
      <c r="H13" s="993"/>
    </row>
    <row customHeight="1" ht="117">
      <c r="A14" s="852" t="s">
        <v>1938</v>
      </c>
      <c r="B14" s="852"/>
      <c r="C14" s="852" t="s">
        <v>1939</v>
      </c>
      <c r="D14" s="852"/>
      <c r="E14" s="852"/>
      <c r="F14" s="993"/>
      <c r="G14" s="993"/>
      <c r="H14" s="993"/>
    </row>
    <row customHeight="1" ht="117">
      <c r="A15" s="852" t="s">
        <v>1940</v>
      </c>
      <c r="B15" s="852"/>
      <c r="C15" s="852" t="s">
        <v>1941</v>
      </c>
      <c r="D15" s="852"/>
      <c r="E15" s="852"/>
      <c r="F15" s="993"/>
      <c r="G15" s="993"/>
      <c r="H15" s="993"/>
    </row>
    <row customHeight="1" ht="63">
      <c r="A16" s="852" t="s">
        <v>1942</v>
      </c>
      <c r="B16" s="852"/>
      <c r="C16" s="852" t="s">
        <v>1943</v>
      </c>
      <c r="D16" s="852"/>
      <c r="E16" s="852"/>
      <c r="F16" s="993"/>
      <c r="G16" s="993"/>
      <c r="H16" s="993"/>
    </row>
    <row customHeight="1" ht="54">
      <c r="A17" s="852" t="s">
        <v>1944</v>
      </c>
      <c r="B17" s="852"/>
      <c r="C17" s="991" t="s">
        <v>1945</v>
      </c>
      <c r="D17" s="852"/>
      <c r="E17" s="852"/>
      <c r="F17" s="993"/>
      <c r="G17" s="993"/>
      <c r="H17" s="993"/>
    </row>
    <row customHeight="1" ht="27">
      <c r="A18" s="852" t="s">
        <v>1946</v>
      </c>
      <c r="B18" s="852"/>
      <c r="C18" s="991" t="s">
        <v>1947</v>
      </c>
      <c r="D18" s="852"/>
      <c r="E18" s="852"/>
      <c r="F18" s="993"/>
      <c r="G18" s="993"/>
      <c r="H18" s="993"/>
    </row>
    <row customHeight="1" ht="54">
      <c r="A19" s="852" t="s">
        <v>1948</v>
      </c>
      <c r="B19" s="852"/>
      <c r="C19" s="991" t="s">
        <v>1949</v>
      </c>
      <c r="D19" s="852"/>
      <c r="E19" s="852"/>
      <c r="F19" s="993"/>
      <c r="G19" s="993"/>
      <c r="H19" s="993"/>
    </row>
    <row customHeight="1" ht="36">
      <c r="A20" s="852" t="s">
        <v>1950</v>
      </c>
      <c r="B20" s="852"/>
      <c r="C20" s="991" t="s">
        <v>1951</v>
      </c>
      <c r="D20" s="852"/>
      <c r="E20" s="852"/>
      <c r="F20" s="993"/>
      <c r="G20" s="993"/>
      <c r="H20" s="993"/>
    </row>
    <row customHeight="1" ht="36">
      <c r="A21" s="852" t="s">
        <v>1952</v>
      </c>
      <c r="B21" s="852"/>
      <c r="C21" s="991" t="s">
        <v>1953</v>
      </c>
      <c r="D21" s="852"/>
      <c r="E21" s="852"/>
      <c r="F21" s="993"/>
      <c r="G21" s="993"/>
      <c r="H21" s="993"/>
    </row>
    <row customHeight="1" ht="27">
      <c r="A22" s="852" t="s">
        <v>1954</v>
      </c>
      <c r="B22" s="852"/>
      <c r="C22" s="991" t="s">
        <v>1955</v>
      </c>
      <c r="D22" s="852"/>
      <c r="E22" s="852"/>
      <c r="F22" s="993"/>
      <c r="G22" s="993"/>
      <c r="H22" s="993"/>
    </row>
    <row customHeight="1" ht="36">
      <c r="A23" s="852" t="s">
        <v>1956</v>
      </c>
      <c r="B23" s="852"/>
      <c r="C23" s="991" t="s">
        <v>1957</v>
      </c>
      <c r="D23" s="852"/>
      <c r="E23" s="852"/>
      <c r="F23" s="993"/>
      <c r="G23" s="993"/>
      <c r="H23" s="993"/>
    </row>
    <row customHeight="1" ht="28.5">
      <c r="A24" s="852" t="s">
        <v>1958</v>
      </c>
      <c r="B24" s="852"/>
      <c r="C24" s="991" t="s">
        <v>1959</v>
      </c>
      <c r="D24" s="852"/>
      <c r="E24" s="852"/>
      <c r="F24" s="993"/>
      <c r="G24" s="993"/>
      <c r="H24" s="993"/>
    </row>
    <row customHeight="1" ht="36">
      <c r="A25" s="852" t="s">
        <v>1960</v>
      </c>
      <c r="B25" s="852"/>
      <c r="C25" s="991" t="s">
        <v>1961</v>
      </c>
      <c r="D25" s="852"/>
      <c r="E25" s="852"/>
      <c r="F25" s="993"/>
      <c r="G25" s="993"/>
      <c r="H25" s="993"/>
    </row>
    <row customHeight="1" ht="27">
      <c r="A26" s="852" t="s">
        <v>1962</v>
      </c>
      <c r="B26" s="852"/>
      <c r="C26" s="991" t="s">
        <v>1963</v>
      </c>
      <c r="D26" s="852"/>
      <c r="E26" s="852"/>
      <c r="F26" s="993"/>
      <c r="G26" s="993"/>
      <c r="H26" s="993"/>
    </row>
    <row customHeight="1" ht="36">
      <c r="A27" s="852" t="s">
        <v>1964</v>
      </c>
      <c r="B27" s="852"/>
      <c r="C27" s="991" t="s">
        <v>1965</v>
      </c>
      <c r="D27" s="852"/>
      <c r="E27" s="852"/>
      <c r="F27" s="993"/>
      <c r="G27" s="993"/>
      <c r="H27" s="993"/>
    </row>
    <row customHeight="1" ht="28.5">
      <c r="A28" s="852" t="s">
        <v>1966</v>
      </c>
      <c r="B28" s="852"/>
      <c r="C28" s="991" t="s">
        <v>1967</v>
      </c>
      <c r="D28" s="852"/>
      <c r="E28" s="852"/>
      <c r="F28" s="993"/>
      <c r="G28" s="993"/>
      <c r="H28" s="993"/>
    </row>
    <row customHeight="1" ht="126">
      <c r="A29" s="852" t="s">
        <v>1968</v>
      </c>
      <c r="B29" s="852" t="s">
        <v>1639</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1969</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1970</v>
      </c>
    </row>
    <row customHeight="1" ht="36">
      <c r="A30" s="852" t="s">
        <v>1971</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1972</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1973</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1974</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1975</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1976</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1977</v>
      </c>
    </row>
    <row customHeight="1" ht="9">
      <c r="A33" s="852"/>
      <c r="B33" s="852"/>
      <c r="C33" s="991"/>
      <c r="D33" s="852"/>
      <c r="E33" s="852"/>
      <c r="F33" s="993"/>
      <c r="G33" s="993"/>
      <c r="H33" s="993"/>
    </row>
    <row customHeight="1" ht="9">
      <c r="A34" s="852"/>
      <c r="B34" s="852" t="s">
        <v>1575</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496CB7-2851-B43A-DB64-654932DED76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7350" width="9.140625"/>
    <col min="3" max="7" style="7394" width="8.00390625" customWidth="1"/>
    <col min="8" max="12" style="7394" width="8.57421875" customWidth="1"/>
    <col min="13" max="14" style="7394" width="27.7109375" customWidth="1"/>
    <col min="15" max="19" style="7394" width="5.140625" customWidth="1"/>
    <col min="20" max="24" style="7394" width="27.7109375" customWidth="1"/>
    <col min="25" max="25" style="7395" width="1.8515625" customWidth="1"/>
    <col min="26" max="26" style="7350" width="27.7109375" customWidth="1"/>
    <col min="27" max="27" style="7396" width="27.7109375" customWidth="1"/>
    <col min="28" max="29" style="7350" width="27.7109375" customWidth="1"/>
    <col min="30" max="30" style="7350" width="3.8515625" customWidth="1"/>
    <col min="31" max="34" style="7350" width="9.140625"/>
  </cols>
  <sheetData>
    <row s="7352" customFormat="1" customHeight="1" ht="18">
      <c r="A1" s="904"/>
      <c r="B1" s="904"/>
      <c r="C1" s="904" t="s">
        <v>1978</v>
      </c>
      <c r="D1" s="904"/>
      <c r="E1" s="904"/>
      <c r="F1" s="904"/>
      <c r="G1" s="904"/>
      <c r="H1" s="904" t="s">
        <v>1979</v>
      </c>
      <c r="I1" s="904"/>
      <c r="J1" s="904"/>
      <c r="K1" s="904"/>
      <c r="L1" s="904"/>
      <c r="M1" s="904" t="s">
        <v>1980</v>
      </c>
      <c r="N1" s="904" t="s">
        <v>1981</v>
      </c>
      <c r="O1" s="2424" t="s">
        <v>1982</v>
      </c>
      <c r="P1" s="2424"/>
      <c r="Q1" s="2424"/>
      <c r="R1" s="2424"/>
      <c r="S1" s="2424"/>
      <c r="T1" s="2424" t="s">
        <v>1980</v>
      </c>
      <c r="U1" s="2424"/>
      <c r="V1" s="2424"/>
      <c r="W1" s="2424"/>
      <c r="X1" s="2424"/>
      <c r="Y1" s="1006"/>
      <c r="Z1" s="2424" t="s">
        <v>1983</v>
      </c>
      <c r="AA1" s="2424"/>
      <c r="AB1" s="2424"/>
      <c r="AC1" s="2424"/>
      <c r="AD1" s="2424"/>
    </row>
    <row customHeight="1" ht="18">
      <c r="A2" s="852"/>
      <c r="B2" s="852"/>
      <c r="C2" s="847" t="s">
        <v>761</v>
      </c>
      <c r="D2" s="847" t="s">
        <v>807</v>
      </c>
      <c r="E2" s="847" t="s">
        <v>859</v>
      </c>
      <c r="F2" s="847" t="s">
        <v>845</v>
      </c>
      <c r="G2" s="847" t="s">
        <v>1684</v>
      </c>
      <c r="H2" s="849"/>
      <c r="I2" s="849"/>
      <c r="J2" s="849"/>
      <c r="K2" s="849"/>
      <c r="L2" s="849"/>
      <c r="M2" s="849"/>
      <c r="N2" s="849"/>
      <c r="O2" s="847" t="s">
        <v>761</v>
      </c>
      <c r="P2" s="847" t="s">
        <v>807</v>
      </c>
      <c r="Q2" s="847" t="s">
        <v>845</v>
      </c>
      <c r="R2" s="847" t="s">
        <v>859</v>
      </c>
      <c r="S2" s="847" t="s">
        <v>1684</v>
      </c>
      <c r="T2" s="847" t="s">
        <v>761</v>
      </c>
      <c r="U2" s="847" t="s">
        <v>807</v>
      </c>
      <c r="V2" s="847" t="s">
        <v>845</v>
      </c>
      <c r="W2" s="847" t="s">
        <v>859</v>
      </c>
      <c r="X2" s="847" t="s">
        <v>1684</v>
      </c>
      <c r="Y2" s="847"/>
      <c r="Z2" s="847" t="s">
        <v>761</v>
      </c>
      <c r="AA2" s="856" t="s">
        <v>807</v>
      </c>
      <c r="AB2" s="847" t="s">
        <v>845</v>
      </c>
      <c r="AC2" s="847" t="s">
        <v>859</v>
      </c>
      <c r="AD2" s="847" t="s">
        <v>1684</v>
      </c>
    </row>
    <row customHeight="1" ht="162">
      <c r="A3" s="851" t="s">
        <v>22</v>
      </c>
      <c r="B3" s="851"/>
      <c r="C3" s="2428" t="s">
        <v>1984</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1985</v>
      </c>
      <c r="AA3" s="849" t="s">
        <v>1986</v>
      </c>
      <c r="AB3" s="852" t="s">
        <v>1987</v>
      </c>
      <c r="AC3" s="852" t="s">
        <v>1988</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1626</v>
      </c>
      <c r="D11" s="2431" t="s">
        <v>1622</v>
      </c>
      <c r="E11" s="2431" t="s">
        <v>1717</v>
      </c>
      <c r="F11" s="2431" t="s">
        <v>1989</v>
      </c>
      <c r="G11" s="2431"/>
      <c r="H11" s="904" t="s">
        <v>1990</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1991</v>
      </c>
      <c r="U11" s="849" t="s">
        <v>1992</v>
      </c>
      <c r="V11" s="849"/>
      <c r="W11" s="849"/>
      <c r="X11" s="849"/>
      <c r="Y11" s="1007"/>
      <c r="Z11" s="852" t="s">
        <v>1993</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1994</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1995</v>
      </c>
      <c r="U12" s="849" t="s">
        <v>1996</v>
      </c>
      <c r="V12" s="849"/>
      <c r="W12" s="849"/>
      <c r="X12" s="849"/>
      <c r="Y12" s="1007"/>
      <c r="Z12" s="852" t="s">
        <v>1997</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1998</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1999</v>
      </c>
      <c r="U13" s="850" t="s">
        <v>2000</v>
      </c>
      <c r="V13" s="850"/>
      <c r="W13" s="850"/>
      <c r="X13" s="849"/>
      <c r="Y13" s="1007"/>
      <c r="Z13" s="852" t="s">
        <v>2001</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2002</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2003</v>
      </c>
      <c r="AA14" s="855" t="s">
        <v>2003</v>
      </c>
      <c r="AB14" s="852"/>
      <c r="AC14" s="852"/>
      <c r="AD14" s="852"/>
    </row>
    <row customHeight="1" ht="108">
      <c r="A15" s="2425"/>
      <c r="B15" s="905">
        <v>5</v>
      </c>
      <c r="C15" s="2432"/>
      <c r="D15" s="2432"/>
      <c r="E15" s="2432"/>
      <c r="F15" s="2432"/>
      <c r="G15" s="2432"/>
      <c r="H15" s="2426" t="s">
        <v>2004</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2005</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2006</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2006</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1720</v>
      </c>
      <c r="B18" s="905">
        <v>1</v>
      </c>
      <c r="C18" s="849" t="s">
        <v>1990</v>
      </c>
      <c r="D18" s="974" t="s">
        <v>1990</v>
      </c>
      <c r="E18" s="849" t="s">
        <v>1990</v>
      </c>
      <c r="F18" s="849" t="s">
        <v>1990</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2007</v>
      </c>
      <c r="U18" s="852" t="s">
        <v>2008</v>
      </c>
      <c r="V18" s="852" t="s">
        <v>2009</v>
      </c>
      <c r="W18" s="852" t="s">
        <v>2010</v>
      </c>
      <c r="X18" s="849"/>
      <c r="Y18" s="1007"/>
      <c r="Z18" s="852" t="s">
        <v>2011</v>
      </c>
      <c r="AA18" s="855" t="s">
        <v>2012</v>
      </c>
      <c r="AB18" s="855" t="s">
        <v>2012</v>
      </c>
      <c r="AC18" s="855" t="s">
        <v>2012</v>
      </c>
      <c r="AD18" s="852"/>
    </row>
    <row customHeight="1" ht="36">
      <c r="A19" s="851"/>
      <c r="B19" s="905">
        <v>2</v>
      </c>
      <c r="C19" s="849" t="s">
        <v>1994</v>
      </c>
      <c r="D19" s="974" t="s">
        <v>1994</v>
      </c>
      <c r="E19" s="849" t="s">
        <v>1994</v>
      </c>
      <c r="F19" s="849" t="s">
        <v>1994</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2013</v>
      </c>
      <c r="U19" s="852" t="s">
        <v>2014</v>
      </c>
      <c r="V19" s="852" t="s">
        <v>2015</v>
      </c>
      <c r="W19" s="852" t="s">
        <v>2016</v>
      </c>
      <c r="X19" s="849"/>
      <c r="Y19" s="1007"/>
      <c r="Z19" s="852" t="s">
        <v>2017</v>
      </c>
      <c r="AA19" s="855" t="s">
        <v>2017</v>
      </c>
      <c r="AB19" s="855" t="s">
        <v>2017</v>
      </c>
      <c r="AC19" s="855" t="s">
        <v>2017</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661</v>
      </c>
      <c r="P20" s="964" t="s">
        <v>661</v>
      </c>
      <c r="Q20" s="964" t="s">
        <v>661</v>
      </c>
      <c r="R20" s="964" t="s">
        <v>661</v>
      </c>
      <c r="S20" s="964"/>
      <c r="T20" s="971" t="s">
        <v>2018</v>
      </c>
      <c r="U20" s="852" t="s">
        <v>2019</v>
      </c>
      <c r="V20" s="852" t="s">
        <v>2020</v>
      </c>
      <c r="W20" s="852" t="s">
        <v>2021</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352</v>
      </c>
      <c r="P21" s="964"/>
      <c r="Q21" s="964"/>
      <c r="R21" s="964"/>
      <c r="S21" s="964"/>
      <c r="T21" s="971" t="s">
        <v>2022</v>
      </c>
      <c r="U21" s="852"/>
      <c r="V21" s="852"/>
      <c r="W21" s="852"/>
      <c r="X21" s="849"/>
      <c r="Y21" s="1007"/>
      <c r="Z21" s="852" t="s">
        <v>2023</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352</v>
      </c>
      <c r="R22" s="964"/>
      <c r="S22" s="964"/>
      <c r="T22" s="971"/>
      <c r="U22" s="852"/>
      <c r="V22" s="852" t="s">
        <v>2024</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355</v>
      </c>
      <c r="R23" s="964"/>
      <c r="S23" s="964"/>
      <c r="T23" s="971"/>
      <c r="U23" s="852"/>
      <c r="V23" s="852" t="s">
        <v>2025</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681</v>
      </c>
      <c r="R24" s="964"/>
      <c r="S24" s="964"/>
      <c r="T24" s="971"/>
      <c r="U24" s="852"/>
      <c r="V24" s="852" t="s">
        <v>2026</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355</v>
      </c>
      <c r="P25" s="964" t="s">
        <v>352</v>
      </c>
      <c r="Q25" s="964" t="s">
        <v>688</v>
      </c>
      <c r="R25" s="964" t="s">
        <v>352</v>
      </c>
      <c r="S25" s="964"/>
      <c r="T25" s="971" t="s">
        <v>2027</v>
      </c>
      <c r="U25" s="852" t="s">
        <v>2027</v>
      </c>
      <c r="V25" s="852" t="s">
        <v>2027</v>
      </c>
      <c r="W25" s="852" t="s">
        <v>2027</v>
      </c>
      <c r="X25" s="849"/>
      <c r="Y25" s="1007"/>
      <c r="Z25" s="852"/>
      <c r="AA25" s="855"/>
      <c r="AB25" s="852"/>
      <c r="AC25" s="852"/>
      <c r="AD25" s="852"/>
    </row>
    <row customHeight="1" ht="18">
      <c r="A26" s="851"/>
      <c r="B26" s="905">
        <v>9</v>
      </c>
      <c r="C26" s="849" t="s">
        <v>857</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677</v>
      </c>
      <c r="P26" s="964" t="s">
        <v>671</v>
      </c>
      <c r="Q26" s="964" t="s">
        <v>2028</v>
      </c>
      <c r="R26" s="964" t="s">
        <v>671</v>
      </c>
      <c r="S26" s="964"/>
      <c r="T26" s="971" t="s">
        <v>2029</v>
      </c>
      <c r="U26" s="971" t="s">
        <v>2029</v>
      </c>
      <c r="V26" s="971" t="s">
        <v>2029</v>
      </c>
      <c r="W26" s="971" t="s">
        <v>2029</v>
      </c>
      <c r="X26" s="849"/>
      <c r="Y26" s="1007"/>
      <c r="Z26" s="852"/>
      <c r="AA26" s="855"/>
      <c r="AB26" s="852"/>
      <c r="AC26" s="852"/>
      <c r="AD26" s="852"/>
    </row>
    <row customHeight="1" ht="18">
      <c r="A27" s="851"/>
      <c r="B27" s="905">
        <v>10</v>
      </c>
      <c r="C27" s="849" t="s">
        <v>2030</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679</v>
      </c>
      <c r="P27" s="964" t="s">
        <v>673</v>
      </c>
      <c r="Q27" s="964" t="s">
        <v>2031</v>
      </c>
      <c r="R27" s="964" t="s">
        <v>673</v>
      </c>
      <c r="S27" s="964"/>
      <c r="T27" s="971" t="s">
        <v>2032</v>
      </c>
      <c r="U27" s="971" t="s">
        <v>2032</v>
      </c>
      <c r="V27" s="971" t="s">
        <v>2032</v>
      </c>
      <c r="W27" s="971" t="s">
        <v>2032</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681</v>
      </c>
      <c r="P28" s="964"/>
      <c r="Q28" s="964"/>
      <c r="R28" s="964"/>
      <c r="S28" s="964"/>
      <c r="T28" s="971" t="s">
        <v>2033</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688</v>
      </c>
      <c r="P29" s="964" t="s">
        <v>355</v>
      </c>
      <c r="Q29" s="964"/>
      <c r="R29" s="964" t="s">
        <v>355</v>
      </c>
      <c r="S29" s="964"/>
      <c r="T29" s="971" t="s">
        <v>2034</v>
      </c>
      <c r="U29" s="852" t="s">
        <v>2034</v>
      </c>
      <c r="V29" s="852"/>
      <c r="W29" s="852" t="s">
        <v>2034</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690</v>
      </c>
      <c r="P30" s="964" t="s">
        <v>681</v>
      </c>
      <c r="Q30" s="964" t="s">
        <v>690</v>
      </c>
      <c r="R30" s="964" t="s">
        <v>681</v>
      </c>
      <c r="S30" s="964"/>
      <c r="T30" s="971" t="s">
        <v>2035</v>
      </c>
      <c r="U30" s="852" t="s">
        <v>2035</v>
      </c>
      <c r="V30" s="852" t="s">
        <v>2035</v>
      </c>
      <c r="W30" s="852" t="s">
        <v>2035</v>
      </c>
      <c r="X30" s="849"/>
      <c r="Y30" s="1007"/>
      <c r="Z30" s="852"/>
      <c r="AA30" s="855" t="s">
        <v>2036</v>
      </c>
      <c r="AB30" s="855" t="s">
        <v>2036</v>
      </c>
      <c r="AC30" s="855" t="s">
        <v>2036</v>
      </c>
      <c r="AD30" s="852"/>
    </row>
    <row customHeight="1" ht="18">
      <c r="A31" s="851"/>
      <c r="B31" s="905">
        <v>14</v>
      </c>
      <c r="C31" s="849" t="s">
        <v>2037</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2038</v>
      </c>
      <c r="P31" s="964" t="s">
        <v>684</v>
      </c>
      <c r="Q31" s="964" t="s">
        <v>2038</v>
      </c>
      <c r="R31" s="964" t="s">
        <v>684</v>
      </c>
      <c r="S31" s="964"/>
      <c r="T31" s="972" t="s">
        <v>2039</v>
      </c>
      <c r="U31" s="852" t="s">
        <v>2039</v>
      </c>
      <c r="V31" s="852" t="s">
        <v>2039</v>
      </c>
      <c r="W31" s="852" t="s">
        <v>2039</v>
      </c>
      <c r="X31" s="849"/>
      <c r="Y31" s="1007"/>
      <c r="Z31" s="852"/>
      <c r="AA31" s="855"/>
      <c r="AB31" s="855"/>
      <c r="AC31" s="855"/>
      <c r="AD31" s="852"/>
    </row>
    <row customHeight="1" ht="36">
      <c r="A32" s="851"/>
      <c r="B32" s="905">
        <v>15</v>
      </c>
      <c r="C32" s="849" t="s">
        <v>2040</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2041</v>
      </c>
      <c r="P32" s="964" t="s">
        <v>686</v>
      </c>
      <c r="Q32" s="964" t="s">
        <v>2041</v>
      </c>
      <c r="R32" s="964" t="s">
        <v>686</v>
      </c>
      <c r="S32" s="964"/>
      <c r="T32" s="973" t="s">
        <v>2042</v>
      </c>
      <c r="U32" s="852" t="s">
        <v>2042</v>
      </c>
      <c r="V32" s="852" t="s">
        <v>2042</v>
      </c>
      <c r="W32" s="852" t="s">
        <v>2042</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692</v>
      </c>
      <c r="P33" s="964" t="s">
        <v>688</v>
      </c>
      <c r="Q33" s="964" t="s">
        <v>692</v>
      </c>
      <c r="R33" s="964" t="s">
        <v>688</v>
      </c>
      <c r="S33" s="964"/>
      <c r="T33" s="972" t="s">
        <v>2043</v>
      </c>
      <c r="U33" s="852" t="s">
        <v>2043</v>
      </c>
      <c r="V33" s="852" t="s">
        <v>2043</v>
      </c>
      <c r="W33" s="852" t="s">
        <v>2044</v>
      </c>
      <c r="X33" s="849"/>
      <c r="Y33" s="1007"/>
      <c r="Z33" s="852"/>
      <c r="AA33" s="855" t="s">
        <v>2045</v>
      </c>
      <c r="AB33" s="855" t="s">
        <v>2045</v>
      </c>
      <c r="AC33" s="855" t="s">
        <v>2045</v>
      </c>
      <c r="AD33" s="852"/>
    </row>
    <row customHeight="1" ht="27">
      <c r="A34" s="851"/>
      <c r="B34" s="905">
        <v>17</v>
      </c>
      <c r="C34" s="849" t="s">
        <v>2046</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2047</v>
      </c>
      <c r="P34" s="964" t="s">
        <v>2028</v>
      </c>
      <c r="Q34" s="964" t="s">
        <v>2047</v>
      </c>
      <c r="R34" s="964" t="s">
        <v>2028</v>
      </c>
      <c r="S34" s="964"/>
      <c r="T34" s="973" t="s">
        <v>2048</v>
      </c>
      <c r="U34" s="852" t="s">
        <v>2048</v>
      </c>
      <c r="V34" s="852" t="s">
        <v>2048</v>
      </c>
      <c r="W34" s="852" t="s">
        <v>2049</v>
      </c>
      <c r="X34" s="849"/>
      <c r="Y34" s="1007"/>
      <c r="Z34" s="852"/>
      <c r="AA34" s="855"/>
      <c r="AB34" s="852"/>
      <c r="AC34" s="852"/>
      <c r="AD34" s="852"/>
    </row>
    <row customHeight="1" ht="45">
      <c r="A35" s="851"/>
      <c r="B35" s="905">
        <v>18</v>
      </c>
      <c r="C35" s="849" t="s">
        <v>2050</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2051</v>
      </c>
      <c r="P35" s="964" t="s">
        <v>2031</v>
      </c>
      <c r="Q35" s="964" t="s">
        <v>2051</v>
      </c>
      <c r="R35" s="964" t="s">
        <v>2031</v>
      </c>
      <c r="S35" s="964"/>
      <c r="T35" s="971" t="s">
        <v>2052</v>
      </c>
      <c r="U35" s="852" t="s">
        <v>2052</v>
      </c>
      <c r="V35" s="852" t="s">
        <v>2052</v>
      </c>
      <c r="W35" s="852" t="s">
        <v>2052</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694</v>
      </c>
      <c r="P36" s="964" t="s">
        <v>690</v>
      </c>
      <c r="Q36" s="964" t="s">
        <v>694</v>
      </c>
      <c r="R36" s="964" t="s">
        <v>690</v>
      </c>
      <c r="S36" s="964"/>
      <c r="T36" s="971" t="s">
        <v>2053</v>
      </c>
      <c r="U36" s="852" t="s">
        <v>2053</v>
      </c>
      <c r="V36" s="852" t="s">
        <v>2053</v>
      </c>
      <c r="W36" s="852" t="s">
        <v>2053</v>
      </c>
      <c r="X36" s="849"/>
      <c r="Y36" s="1007"/>
      <c r="Z36" s="852"/>
      <c r="AA36" s="855"/>
      <c r="AB36" s="852"/>
      <c r="AC36" s="852"/>
      <c r="AD36" s="852"/>
    </row>
    <row customHeight="1" ht="18">
      <c r="A37" s="851"/>
      <c r="B37" s="905">
        <v>20</v>
      </c>
      <c r="C37" s="849" t="s">
        <v>2054</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2055</v>
      </c>
      <c r="P37" s="964" t="s">
        <v>2038</v>
      </c>
      <c r="Q37" s="964" t="s">
        <v>2055</v>
      </c>
      <c r="R37" s="964" t="s">
        <v>2038</v>
      </c>
      <c r="S37" s="964"/>
      <c r="T37" s="971" t="s">
        <v>2056</v>
      </c>
      <c r="U37" s="852" t="s">
        <v>2056</v>
      </c>
      <c r="V37" s="852" t="s">
        <v>2056</v>
      </c>
      <c r="W37" s="852" t="s">
        <v>2056</v>
      </c>
      <c r="X37" s="849"/>
      <c r="Y37" s="1007"/>
      <c r="Z37" s="852"/>
      <c r="AA37" s="855"/>
      <c r="AB37" s="852"/>
      <c r="AC37" s="852"/>
      <c r="AD37" s="852"/>
    </row>
    <row customHeight="1" ht="18">
      <c r="A38" s="851"/>
      <c r="B38" s="905">
        <v>21</v>
      </c>
      <c r="C38" s="849" t="s">
        <v>2057</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2058</v>
      </c>
      <c r="P38" s="964" t="s">
        <v>2041</v>
      </c>
      <c r="Q38" s="964" t="s">
        <v>2058</v>
      </c>
      <c r="R38" s="964" t="s">
        <v>2041</v>
      </c>
      <c r="S38" s="964"/>
      <c r="T38" s="971" t="s">
        <v>2059</v>
      </c>
      <c r="U38" s="852" t="s">
        <v>2059</v>
      </c>
      <c r="V38" s="852" t="s">
        <v>2059</v>
      </c>
      <c r="W38" s="852" t="s">
        <v>2059</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698</v>
      </c>
      <c r="P39" s="964" t="s">
        <v>692</v>
      </c>
      <c r="Q39" s="964" t="s">
        <v>698</v>
      </c>
      <c r="R39" s="964" t="s">
        <v>692</v>
      </c>
      <c r="S39" s="964"/>
      <c r="T39" s="971" t="s">
        <v>2060</v>
      </c>
      <c r="U39" s="852" t="s">
        <v>2061</v>
      </c>
      <c r="V39" s="852" t="s">
        <v>2062</v>
      </c>
      <c r="W39" s="852" t="s">
        <v>2063</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2064</v>
      </c>
      <c r="P40" s="964" t="s">
        <v>694</v>
      </c>
      <c r="Q40" s="964" t="s">
        <v>2064</v>
      </c>
      <c r="R40" s="964" t="s">
        <v>694</v>
      </c>
      <c r="S40" s="964"/>
      <c r="T40" s="849" t="s">
        <v>2065</v>
      </c>
      <c r="U40" s="849" t="s">
        <v>2065</v>
      </c>
      <c r="V40" s="849" t="s">
        <v>2065</v>
      </c>
      <c r="W40" s="849" t="s">
        <v>2065</v>
      </c>
      <c r="X40" s="849"/>
      <c r="Y40" s="1007"/>
      <c r="Z40" s="852" t="s">
        <v>2066</v>
      </c>
      <c r="AA40" s="855" t="s">
        <v>2066</v>
      </c>
      <c r="AB40" s="855" t="s">
        <v>2066</v>
      </c>
      <c r="AC40" s="855" t="s">
        <v>2066</v>
      </c>
      <c r="AD40" s="852"/>
    </row>
    <row customHeight="1" ht="27">
      <c r="A41" s="851"/>
      <c r="B41" s="905">
        <v>24</v>
      </c>
      <c r="C41" s="849" t="s">
        <v>2067</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2068</v>
      </c>
      <c r="P41" s="964" t="s">
        <v>2055</v>
      </c>
      <c r="Q41" s="964" t="s">
        <v>2068</v>
      </c>
      <c r="R41" s="964" t="s">
        <v>2055</v>
      </c>
      <c r="S41" s="964"/>
      <c r="T41" s="849" t="s">
        <v>2069</v>
      </c>
      <c r="U41" s="849" t="s">
        <v>2069</v>
      </c>
      <c r="V41" s="849" t="s">
        <v>2069</v>
      </c>
      <c r="W41" s="849" t="s">
        <v>2069</v>
      </c>
      <c r="X41" s="849"/>
      <c r="Y41" s="1007"/>
      <c r="Z41" s="852" t="s">
        <v>2070</v>
      </c>
      <c r="AA41" s="852" t="s">
        <v>2070</v>
      </c>
      <c r="AB41" s="852" t="s">
        <v>2070</v>
      </c>
      <c r="AC41" s="852" t="s">
        <v>2070</v>
      </c>
      <c r="AD41" s="852"/>
    </row>
    <row customHeight="1" ht="27">
      <c r="A42" s="851"/>
      <c r="B42" s="905">
        <v>25</v>
      </c>
      <c r="C42" s="849" t="s">
        <v>2071</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2072</v>
      </c>
      <c r="P42" s="964" t="s">
        <v>2058</v>
      </c>
      <c r="Q42" s="964" t="s">
        <v>2072</v>
      </c>
      <c r="R42" s="964" t="s">
        <v>2058</v>
      </c>
      <c r="S42" s="964"/>
      <c r="T42" s="849" t="s">
        <v>2073</v>
      </c>
      <c r="U42" s="849" t="s">
        <v>2073</v>
      </c>
      <c r="V42" s="849" t="s">
        <v>2073</v>
      </c>
      <c r="W42" s="849" t="s">
        <v>2073</v>
      </c>
      <c r="X42" s="849"/>
      <c r="Y42" s="1007"/>
      <c r="Z42" s="852" t="s">
        <v>2074</v>
      </c>
      <c r="AA42" s="852" t="s">
        <v>2074</v>
      </c>
      <c r="AB42" s="852" t="s">
        <v>2074</v>
      </c>
      <c r="AC42" s="852" t="s">
        <v>2074</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2075</v>
      </c>
      <c r="P43" s="964" t="s">
        <v>698</v>
      </c>
      <c r="Q43" s="964" t="s">
        <v>2075</v>
      </c>
      <c r="R43" s="964" t="s">
        <v>698</v>
      </c>
      <c r="S43" s="964"/>
      <c r="T43" s="849" t="s">
        <v>2076</v>
      </c>
      <c r="U43" s="849" t="s">
        <v>2076</v>
      </c>
      <c r="V43" s="849" t="s">
        <v>2076</v>
      </c>
      <c r="W43" s="849" t="s">
        <v>2076</v>
      </c>
      <c r="X43" s="849"/>
      <c r="Y43" s="1007"/>
      <c r="Z43" s="852" t="s">
        <v>2077</v>
      </c>
      <c r="AA43" s="852" t="s">
        <v>2077</v>
      </c>
      <c r="AB43" s="852" t="s">
        <v>2077</v>
      </c>
      <c r="AC43" s="852" t="s">
        <v>2077</v>
      </c>
      <c r="AD43" s="852"/>
    </row>
    <row customHeight="1" ht="27">
      <c r="A44" s="851"/>
      <c r="B44" s="905">
        <v>27</v>
      </c>
      <c r="C44" s="849" t="s">
        <v>2078</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2079</v>
      </c>
      <c r="P44" s="964" t="s">
        <v>2080</v>
      </c>
      <c r="Q44" s="964" t="s">
        <v>2079</v>
      </c>
      <c r="R44" s="964" t="s">
        <v>2080</v>
      </c>
      <c r="S44" s="964"/>
      <c r="T44" s="849" t="s">
        <v>2069</v>
      </c>
      <c r="U44" s="849" t="s">
        <v>2069</v>
      </c>
      <c r="V44" s="849" t="s">
        <v>2069</v>
      </c>
      <c r="W44" s="849" t="s">
        <v>2069</v>
      </c>
      <c r="X44" s="849"/>
      <c r="Y44" s="1007"/>
      <c r="Z44" s="852" t="s">
        <v>2081</v>
      </c>
      <c r="AA44" s="852" t="s">
        <v>2081</v>
      </c>
      <c r="AB44" s="852" t="s">
        <v>2081</v>
      </c>
      <c r="AC44" s="852" t="s">
        <v>2081</v>
      </c>
      <c r="AD44" s="852"/>
    </row>
    <row customHeight="1" ht="27">
      <c r="A45" s="851"/>
      <c r="B45" s="905">
        <v>28</v>
      </c>
      <c r="C45" s="849" t="s">
        <v>2082</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2083</v>
      </c>
      <c r="P45" s="964" t="s">
        <v>2084</v>
      </c>
      <c r="Q45" s="964" t="s">
        <v>2083</v>
      </c>
      <c r="R45" s="964" t="s">
        <v>2084</v>
      </c>
      <c r="S45" s="964"/>
      <c r="T45" s="849" t="s">
        <v>2073</v>
      </c>
      <c r="U45" s="849" t="s">
        <v>2073</v>
      </c>
      <c r="V45" s="849" t="s">
        <v>2073</v>
      </c>
      <c r="W45" s="849" t="s">
        <v>2073</v>
      </c>
      <c r="X45" s="849"/>
      <c r="Y45" s="1007"/>
      <c r="Z45" s="852" t="s">
        <v>2085</v>
      </c>
      <c r="AA45" s="852" t="s">
        <v>2085</v>
      </c>
      <c r="AB45" s="852" t="s">
        <v>2085</v>
      </c>
      <c r="AC45" s="852" t="s">
        <v>2085</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2086</v>
      </c>
      <c r="P46" s="964" t="s">
        <v>2064</v>
      </c>
      <c r="Q46" s="964" t="s">
        <v>2086</v>
      </c>
      <c r="R46" s="964" t="s">
        <v>2064</v>
      </c>
      <c r="S46" s="964"/>
      <c r="T46" s="849" t="s">
        <v>2087</v>
      </c>
      <c r="U46" s="849" t="s">
        <v>2087</v>
      </c>
      <c r="V46" s="849" t="s">
        <v>2087</v>
      </c>
      <c r="W46" s="849" t="s">
        <v>2087</v>
      </c>
      <c r="X46" s="849"/>
      <c r="Y46" s="1007"/>
      <c r="Z46" s="852" t="s">
        <v>2088</v>
      </c>
      <c r="AA46" s="852" t="s">
        <v>2089</v>
      </c>
      <c r="AB46" s="852" t="s">
        <v>2089</v>
      </c>
      <c r="AC46" s="852" t="s">
        <v>2089</v>
      </c>
      <c r="AD46" s="852"/>
    </row>
    <row customHeight="1" ht="54">
      <c r="A47" s="851"/>
      <c r="B47" s="905">
        <v>30</v>
      </c>
      <c r="C47" s="849" t="s">
        <v>2090</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2091</v>
      </c>
      <c r="P47" s="964" t="s">
        <v>2068</v>
      </c>
      <c r="Q47" s="964" t="s">
        <v>2091</v>
      </c>
      <c r="R47" s="964" t="s">
        <v>2068</v>
      </c>
      <c r="S47" s="964"/>
      <c r="T47" s="849" t="s">
        <v>2092</v>
      </c>
      <c r="U47" s="849" t="s">
        <v>2092</v>
      </c>
      <c r="V47" s="849" t="s">
        <v>2092</v>
      </c>
      <c r="W47" s="849" t="s">
        <v>2092</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2075</v>
      </c>
      <c r="Q48" s="964" t="s">
        <v>2093</v>
      </c>
      <c r="R48" s="964" t="s">
        <v>2075</v>
      </c>
      <c r="S48" s="964"/>
      <c r="T48" s="849"/>
      <c r="U48" s="849" t="s">
        <v>2094</v>
      </c>
      <c r="V48" s="849" t="s">
        <v>2095</v>
      </c>
      <c r="W48" s="849" t="s">
        <v>2095</v>
      </c>
      <c r="X48" s="849"/>
      <c r="Y48" s="1007"/>
      <c r="Z48" s="852"/>
      <c r="AA48" s="855" t="s">
        <v>2089</v>
      </c>
      <c r="AB48" s="855" t="s">
        <v>2089</v>
      </c>
      <c r="AC48" s="855" t="s">
        <v>2089</v>
      </c>
      <c r="AD48" s="852"/>
    </row>
    <row customHeight="1" ht="54">
      <c r="A49" s="851"/>
      <c r="B49" s="905">
        <v>32</v>
      </c>
      <c r="C49" s="849" t="s">
        <v>2096</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2079</v>
      </c>
      <c r="Q49" s="964" t="s">
        <v>2097</v>
      </c>
      <c r="R49" s="964" t="s">
        <v>2079</v>
      </c>
      <c r="S49" s="964"/>
      <c r="T49" s="849"/>
      <c r="U49" s="849" t="s">
        <v>2092</v>
      </c>
      <c r="V49" s="849" t="s">
        <v>2092</v>
      </c>
      <c r="W49" s="849" t="s">
        <v>2092</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2093</v>
      </c>
      <c r="P50" s="964" t="s">
        <v>2086</v>
      </c>
      <c r="Q50" s="964" t="s">
        <v>2098</v>
      </c>
      <c r="R50" s="964" t="s">
        <v>2086</v>
      </c>
      <c r="S50" s="964"/>
      <c r="T50" s="849" t="s">
        <v>2099</v>
      </c>
      <c r="U50" s="849" t="s">
        <v>2100</v>
      </c>
      <c r="V50" s="849" t="s">
        <v>2101</v>
      </c>
      <c r="W50" s="849" t="s">
        <v>2102</v>
      </c>
      <c r="X50" s="849"/>
      <c r="Y50" s="1007"/>
      <c r="Z50" s="852" t="s">
        <v>2103</v>
      </c>
      <c r="AA50" s="855" t="s">
        <v>2104</v>
      </c>
      <c r="AB50" s="855" t="s">
        <v>2104</v>
      </c>
      <c r="AC50" s="855" t="s">
        <v>2104</v>
      </c>
      <c r="AD50" s="852"/>
    </row>
    <row customHeight="1" ht="27">
      <c r="A51" s="851"/>
      <c r="B51" s="905">
        <v>34</v>
      </c>
      <c r="C51" s="849" t="s">
        <v>2105</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2106</v>
      </c>
      <c r="U51" s="849"/>
      <c r="V51" s="849"/>
      <c r="W51" s="849"/>
      <c r="X51" s="849"/>
      <c r="Y51" s="1007"/>
      <c r="Z51" s="852"/>
      <c r="AA51" s="855"/>
      <c r="AB51" s="855"/>
      <c r="AC51" s="855"/>
      <c r="AD51" s="852"/>
    </row>
    <row customHeight="1" ht="36">
      <c r="A52" s="851"/>
      <c r="B52" s="905">
        <v>35</v>
      </c>
      <c r="C52" s="849" t="s">
        <v>1998</v>
      </c>
      <c r="D52" s="974" t="s">
        <v>1998</v>
      </c>
      <c r="E52" s="849" t="s">
        <v>1998</v>
      </c>
      <c r="F52" s="849" t="s">
        <v>1998</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2107</v>
      </c>
      <c r="U52" s="849" t="s">
        <v>2108</v>
      </c>
      <c r="V52" s="849" t="s">
        <v>2109</v>
      </c>
      <c r="W52" s="849" t="s">
        <v>2110</v>
      </c>
      <c r="X52" s="849"/>
      <c r="Y52" s="1007"/>
      <c r="Z52" s="852" t="s">
        <v>702</v>
      </c>
      <c r="AA52" s="855" t="s">
        <v>702</v>
      </c>
      <c r="AB52" s="855" t="s">
        <v>702</v>
      </c>
      <c r="AC52" s="855" t="s">
        <v>702</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706</v>
      </c>
      <c r="P53" s="964" t="s">
        <v>371</v>
      </c>
      <c r="Q53" s="964" t="s">
        <v>371</v>
      </c>
      <c r="R53" s="964" t="s">
        <v>371</v>
      </c>
      <c r="S53" s="964"/>
      <c r="T53" s="849" t="s">
        <v>2111</v>
      </c>
      <c r="U53" s="849" t="s">
        <v>2111</v>
      </c>
      <c r="V53" s="849" t="s">
        <v>2111</v>
      </c>
      <c r="W53" s="849" t="s">
        <v>2111</v>
      </c>
      <c r="X53" s="849"/>
      <c r="Y53" s="1007"/>
      <c r="Z53" s="852"/>
      <c r="AA53" s="855"/>
      <c r="AB53" s="852"/>
      <c r="AC53" s="852"/>
      <c r="AD53" s="852"/>
    </row>
    <row customHeight="1" ht="18">
      <c r="A54" s="851"/>
      <c r="B54" s="905">
        <v>37</v>
      </c>
      <c r="C54" s="849" t="s">
        <v>2004</v>
      </c>
      <c r="D54" s="974" t="s">
        <v>2004</v>
      </c>
      <c r="E54" s="849" t="s">
        <v>2004</v>
      </c>
      <c r="F54" s="849" t="s">
        <v>2004</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116</v>
      </c>
      <c r="P54" s="964" t="s">
        <v>90</v>
      </c>
      <c r="Q54" s="964" t="s">
        <v>90</v>
      </c>
      <c r="R54" s="964" t="s">
        <v>90</v>
      </c>
      <c r="S54" s="964"/>
      <c r="T54" s="849" t="s">
        <v>704</v>
      </c>
      <c r="U54" s="849" t="s">
        <v>704</v>
      </c>
      <c r="V54" s="849" t="s">
        <v>704</v>
      </c>
      <c r="W54" s="849" t="s">
        <v>704</v>
      </c>
      <c r="X54" s="849"/>
      <c r="Y54" s="1007"/>
      <c r="Z54" s="852" t="s">
        <v>705</v>
      </c>
      <c r="AA54" s="852" t="s">
        <v>705</v>
      </c>
      <c r="AB54" s="852" t="s">
        <v>705</v>
      </c>
      <c r="AC54" s="852" t="s">
        <v>705</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360</v>
      </c>
      <c r="P55" s="964" t="s">
        <v>706</v>
      </c>
      <c r="Q55" s="964" t="s">
        <v>706</v>
      </c>
      <c r="R55" s="964" t="s">
        <v>706</v>
      </c>
      <c r="S55" s="964"/>
      <c r="T55" s="849" t="s">
        <v>2112</v>
      </c>
      <c r="U55" s="849" t="s">
        <v>2113</v>
      </c>
      <c r="V55" s="849" t="s">
        <v>2113</v>
      </c>
      <c r="W55" s="849" t="s">
        <v>2113</v>
      </c>
      <c r="X55" s="849"/>
      <c r="Y55" s="1007"/>
      <c r="Z55" s="852" t="s">
        <v>2114</v>
      </c>
      <c r="AA55" s="852" t="s">
        <v>2114</v>
      </c>
      <c r="AB55" s="852" t="s">
        <v>2114</v>
      </c>
      <c r="AC55" s="852" t="s">
        <v>2114</v>
      </c>
      <c r="AD55" s="852"/>
    </row>
    <row customHeight="1" ht="27">
      <c r="A56" s="851"/>
      <c r="B56" s="905">
        <v>39</v>
      </c>
      <c r="C56" s="849" t="s">
        <v>975</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1112</v>
      </c>
      <c r="P56" s="964" t="s">
        <v>709</v>
      </c>
      <c r="Q56" s="964" t="s">
        <v>709</v>
      </c>
      <c r="R56" s="964" t="s">
        <v>709</v>
      </c>
      <c r="S56" s="964"/>
      <c r="T56" s="849" t="s">
        <v>2115</v>
      </c>
      <c r="U56" s="849" t="s">
        <v>2116</v>
      </c>
      <c r="V56" s="849" t="s">
        <v>2116</v>
      </c>
      <c r="W56" s="849" t="s">
        <v>2116</v>
      </c>
      <c r="X56" s="849"/>
      <c r="Y56" s="1007"/>
      <c r="Z56" s="852" t="s">
        <v>711</v>
      </c>
      <c r="AA56" s="852" t="s">
        <v>711</v>
      </c>
      <c r="AB56" s="852" t="s">
        <v>711</v>
      </c>
      <c r="AC56" s="852" t="s">
        <v>711</v>
      </c>
      <c r="AD56" s="852"/>
    </row>
    <row customHeight="1" ht="27">
      <c r="A57" s="851"/>
      <c r="B57" s="905">
        <v>40</v>
      </c>
      <c r="C57" s="849" t="s">
        <v>977</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2117</v>
      </c>
      <c r="P57" s="964" t="s">
        <v>712</v>
      </c>
      <c r="Q57" s="964" t="s">
        <v>712</v>
      </c>
      <c r="R57" s="964" t="s">
        <v>712</v>
      </c>
      <c r="S57" s="964"/>
      <c r="T57" s="849" t="s">
        <v>2118</v>
      </c>
      <c r="U57" s="849" t="s">
        <v>2119</v>
      </c>
      <c r="V57" s="849" t="s">
        <v>2119</v>
      </c>
      <c r="W57" s="849" t="s">
        <v>2119</v>
      </c>
      <c r="X57" s="849"/>
      <c r="Y57" s="1007"/>
      <c r="Z57" s="852" t="s">
        <v>714</v>
      </c>
      <c r="AA57" s="852" t="s">
        <v>714</v>
      </c>
      <c r="AB57" s="852" t="s">
        <v>714</v>
      </c>
      <c r="AC57" s="852" t="s">
        <v>714</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362</v>
      </c>
      <c r="P58" s="964" t="s">
        <v>749</v>
      </c>
      <c r="Q58" s="964" t="s">
        <v>749</v>
      </c>
      <c r="R58" s="964" t="s">
        <v>749</v>
      </c>
      <c r="S58" s="964"/>
      <c r="T58" s="849" t="s">
        <v>2120</v>
      </c>
      <c r="U58" s="849" t="s">
        <v>2120</v>
      </c>
      <c r="V58" s="849" t="s">
        <v>2120</v>
      </c>
      <c r="W58" s="849" t="s">
        <v>2120</v>
      </c>
      <c r="X58" s="849"/>
      <c r="Y58" s="1007"/>
      <c r="Z58" s="852"/>
      <c r="AA58" s="855"/>
      <c r="AB58" s="852"/>
      <c r="AC58" s="852"/>
      <c r="AD58" s="852"/>
    </row>
    <row customHeight="1" ht="36">
      <c r="A59" s="851"/>
      <c r="B59" s="905">
        <v>42</v>
      </c>
      <c r="C59" s="849">
        <v>3</v>
      </c>
      <c r="D59" s="974" t="s">
        <v>2105</v>
      </c>
      <c r="E59" s="849" t="s">
        <v>2105</v>
      </c>
      <c r="F59" s="849" t="s">
        <v>2105</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116</v>
      </c>
      <c r="Q59" s="964" t="s">
        <v>116</v>
      </c>
      <c r="R59" s="964" t="s">
        <v>116</v>
      </c>
      <c r="S59" s="964"/>
      <c r="T59" s="849"/>
      <c r="U59" s="849" t="s">
        <v>2121</v>
      </c>
      <c r="V59" s="849" t="s">
        <v>2122</v>
      </c>
      <c r="W59" s="849" t="s">
        <v>2123</v>
      </c>
      <c r="X59" s="849"/>
      <c r="Y59" s="1007"/>
      <c r="Z59" s="852"/>
      <c r="AA59" s="855"/>
      <c r="AB59" s="852"/>
      <c r="AC59" s="852"/>
      <c r="AD59" s="852"/>
    </row>
    <row customHeight="1" ht="81">
      <c r="A60" s="851"/>
      <c r="B60" s="905">
        <v>43</v>
      </c>
      <c r="C60" s="849" t="s">
        <v>2124</v>
      </c>
      <c r="D60" s="974" t="s">
        <v>2124</v>
      </c>
      <c r="E60" s="849" t="s">
        <v>2124</v>
      </c>
      <c r="F60" s="849" t="s">
        <v>2124</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718</v>
      </c>
      <c r="U60" s="849" t="s">
        <v>718</v>
      </c>
      <c r="V60" s="849" t="s">
        <v>718</v>
      </c>
      <c r="W60" s="849" t="s">
        <v>718</v>
      </c>
      <c r="X60" s="849"/>
      <c r="Y60" s="1007"/>
      <c r="Z60" s="852" t="s">
        <v>2125</v>
      </c>
      <c r="AA60" s="855" t="s">
        <v>2126</v>
      </c>
      <c r="AB60" s="852" t="s">
        <v>2127</v>
      </c>
      <c r="AC60" s="852" t="s">
        <v>2126</v>
      </c>
      <c r="AD60" s="852"/>
    </row>
    <row customHeight="1" ht="9">
      <c r="A61" s="851"/>
      <c r="B61" s="905">
        <v>44</v>
      </c>
      <c r="C61" s="849"/>
      <c r="D61" s="974" t="s">
        <v>2128</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2129</v>
      </c>
      <c r="V61" s="849"/>
      <c r="W61" s="849"/>
      <c r="X61" s="849"/>
      <c r="Y61" s="1007"/>
      <c r="Z61" s="852"/>
      <c r="AA61" s="855"/>
      <c r="AB61" s="852"/>
      <c r="AC61" s="852"/>
      <c r="AD61" s="852"/>
    </row>
    <row customHeight="1" ht="9">
      <c r="A62" s="851"/>
      <c r="B62" s="905">
        <v>45</v>
      </c>
      <c r="C62" s="849"/>
      <c r="D62" s="974" t="s">
        <v>2130</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129</v>
      </c>
      <c r="Q62" s="964"/>
      <c r="R62" s="964"/>
      <c r="S62" s="964"/>
      <c r="T62" s="849"/>
      <c r="U62" s="849" t="s">
        <v>2131</v>
      </c>
      <c r="V62" s="849"/>
      <c r="W62" s="849"/>
      <c r="X62" s="849"/>
      <c r="Y62" s="1007"/>
      <c r="Z62" s="852"/>
      <c r="AA62" s="855"/>
      <c r="AB62" s="852"/>
      <c r="AC62" s="852"/>
      <c r="AD62" s="852"/>
    </row>
    <row customHeight="1" ht="18">
      <c r="A63" s="851"/>
      <c r="B63" s="905">
        <v>46</v>
      </c>
      <c r="C63" s="849"/>
      <c r="D63" s="974" t="s">
        <v>2132</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165</v>
      </c>
      <c r="Q63" s="964"/>
      <c r="R63" s="964"/>
      <c r="S63" s="964"/>
      <c r="T63" s="849"/>
      <c r="U63" s="849" t="s">
        <v>2133</v>
      </c>
      <c r="V63" s="849"/>
      <c r="W63" s="849"/>
      <c r="X63" s="849"/>
      <c r="Y63" s="1007"/>
      <c r="Z63" s="852"/>
      <c r="AA63" s="855"/>
      <c r="AB63" s="852"/>
      <c r="AC63" s="852"/>
      <c r="AD63" s="852"/>
    </row>
    <row customHeight="1" ht="18">
      <c r="A64" s="851"/>
      <c r="B64" s="905">
        <v>47</v>
      </c>
      <c r="C64" s="849"/>
      <c r="D64" s="974" t="s">
        <v>2134</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166</v>
      </c>
      <c r="Q64" s="964"/>
      <c r="R64" s="964"/>
      <c r="S64" s="964"/>
      <c r="T64" s="849"/>
      <c r="U64" s="849" t="s">
        <v>2135</v>
      </c>
      <c r="V64" s="849"/>
      <c r="W64" s="849"/>
      <c r="X64" s="849"/>
      <c r="Y64" s="1007"/>
      <c r="Z64" s="852"/>
      <c r="AA64" s="855" t="s">
        <v>2136</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2046</v>
      </c>
      <c r="Q65" s="964"/>
      <c r="R65" s="964"/>
      <c r="S65" s="964"/>
      <c r="T65" s="849"/>
      <c r="U65" s="849" t="s">
        <v>2137</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2050</v>
      </c>
      <c r="Q66" s="964"/>
      <c r="R66" s="964"/>
      <c r="S66" s="964"/>
      <c r="T66" s="849"/>
      <c r="U66" s="849" t="s">
        <v>2138</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2139</v>
      </c>
      <c r="Q67" s="964"/>
      <c r="R67" s="964"/>
      <c r="S67" s="964"/>
      <c r="T67" s="849"/>
      <c r="U67" s="849" t="s">
        <v>2140</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2141</v>
      </c>
      <c r="Q68" s="964"/>
      <c r="R68" s="964"/>
      <c r="S68" s="964"/>
      <c r="T68" s="849"/>
      <c r="U68" s="849" t="s">
        <v>2142</v>
      </c>
      <c r="V68" s="849"/>
      <c r="W68" s="849"/>
      <c r="X68" s="849"/>
      <c r="Y68" s="1007"/>
      <c r="Z68" s="852"/>
      <c r="AA68" s="855"/>
      <c r="AB68" s="852"/>
      <c r="AC68" s="852"/>
      <c r="AD68" s="852"/>
    </row>
    <row customHeight="1" ht="9">
      <c r="A69" s="851"/>
      <c r="B69" s="905">
        <v>52</v>
      </c>
      <c r="C69" s="849"/>
      <c r="D69" s="974" t="s">
        <v>2143</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167</v>
      </c>
      <c r="Q69" s="964"/>
      <c r="R69" s="964"/>
      <c r="S69" s="964"/>
      <c r="T69" s="849"/>
      <c r="U69" s="849" t="s">
        <v>2144</v>
      </c>
      <c r="V69" s="849"/>
      <c r="W69" s="849"/>
      <c r="X69" s="849"/>
      <c r="Y69" s="1007"/>
      <c r="Z69" s="852"/>
      <c r="AA69" s="855"/>
      <c r="AB69" s="852"/>
      <c r="AC69" s="852"/>
      <c r="AD69" s="852"/>
    </row>
    <row customHeight="1" ht="27">
      <c r="A70" s="851"/>
      <c r="B70" s="905">
        <v>53</v>
      </c>
      <c r="C70" s="849"/>
      <c r="D70" s="974"/>
      <c r="E70" s="849" t="s">
        <v>2128</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2145</v>
      </c>
      <c r="W70" s="849"/>
      <c r="X70" s="849"/>
      <c r="Y70" s="1007"/>
      <c r="Z70" s="852"/>
      <c r="AA70" s="855"/>
      <c r="AB70" s="852"/>
      <c r="AC70" s="852"/>
      <c r="AD70" s="852"/>
    </row>
    <row customHeight="1" ht="36">
      <c r="A71" s="851"/>
      <c r="B71" s="905">
        <v>54</v>
      </c>
      <c r="C71" s="849"/>
      <c r="D71" s="974"/>
      <c r="E71" s="849" t="s">
        <v>2130</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129</v>
      </c>
      <c r="R71" s="964"/>
      <c r="S71" s="964"/>
      <c r="T71" s="849"/>
      <c r="U71" s="849"/>
      <c r="V71" s="849" t="s">
        <v>2146</v>
      </c>
      <c r="W71" s="849"/>
      <c r="X71" s="849"/>
      <c r="Y71" s="1007"/>
      <c r="Z71" s="852"/>
      <c r="AA71" s="855"/>
      <c r="AB71" s="852"/>
      <c r="AC71" s="852"/>
      <c r="AD71" s="852"/>
    </row>
    <row customHeight="1" ht="27">
      <c r="A72" s="851"/>
      <c r="B72" s="905">
        <v>55</v>
      </c>
      <c r="C72" s="849"/>
      <c r="D72" s="974"/>
      <c r="E72" s="849" t="s">
        <v>2132</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165</v>
      </c>
      <c r="R72" s="964"/>
      <c r="S72" s="964"/>
      <c r="T72" s="849"/>
      <c r="U72" s="849"/>
      <c r="V72" s="849" t="s">
        <v>2147</v>
      </c>
      <c r="W72" s="849"/>
      <c r="X72" s="849"/>
      <c r="Y72" s="1007"/>
      <c r="Z72" s="852"/>
      <c r="AA72" s="855"/>
      <c r="AB72" s="852"/>
      <c r="AC72" s="852"/>
      <c r="AD72" s="852"/>
    </row>
    <row customHeight="1" ht="36">
      <c r="A73" s="851"/>
      <c r="B73" s="905">
        <v>56</v>
      </c>
      <c r="C73" s="849"/>
      <c r="D73" s="974"/>
      <c r="E73" s="849" t="s">
        <v>2134</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166</v>
      </c>
      <c r="R73" s="964"/>
      <c r="S73" s="964"/>
      <c r="T73" s="849"/>
      <c r="U73" s="849"/>
      <c r="V73" s="849" t="s">
        <v>2148</v>
      </c>
      <c r="W73" s="849"/>
      <c r="X73" s="849"/>
      <c r="Y73" s="1007"/>
      <c r="Z73" s="852"/>
      <c r="AA73" s="855"/>
      <c r="AB73" s="852"/>
      <c r="AC73" s="852"/>
      <c r="AD73" s="852"/>
    </row>
    <row customHeight="1" ht="18">
      <c r="A74" s="851"/>
      <c r="B74" s="905">
        <v>57</v>
      </c>
      <c r="C74" s="849"/>
      <c r="D74" s="974"/>
      <c r="E74" s="849" t="s">
        <v>2143</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167</v>
      </c>
      <c r="R74" s="964"/>
      <c r="S74" s="964"/>
      <c r="T74" s="849"/>
      <c r="U74" s="849"/>
      <c r="V74" s="849" t="s">
        <v>2149</v>
      </c>
      <c r="W74" s="849"/>
      <c r="X74" s="849"/>
      <c r="Y74" s="1007"/>
      <c r="Z74" s="852"/>
      <c r="AA74" s="855"/>
      <c r="AB74" s="852"/>
      <c r="AC74" s="852"/>
      <c r="AD74" s="852"/>
    </row>
    <row customHeight="1" ht="18">
      <c r="A75" s="851"/>
      <c r="B75" s="905">
        <v>58</v>
      </c>
      <c r="C75" s="849"/>
      <c r="D75" s="974"/>
      <c r="E75" s="849"/>
      <c r="F75" s="849" t="s">
        <v>2128</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2150</v>
      </c>
      <c r="X75" s="849"/>
      <c r="Y75" s="1007"/>
      <c r="Z75" s="852"/>
      <c r="AA75" s="855"/>
      <c r="AB75" s="852"/>
      <c r="AC75" s="852"/>
      <c r="AD75" s="852"/>
    </row>
    <row customHeight="1" ht="36">
      <c r="A76" s="851"/>
      <c r="B76" s="905">
        <v>59</v>
      </c>
      <c r="C76" s="849"/>
      <c r="D76" s="974"/>
      <c r="E76" s="849"/>
      <c r="F76" s="849" t="s">
        <v>2130</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129</v>
      </c>
      <c r="S76" s="964"/>
      <c r="T76" s="849"/>
      <c r="U76" s="849"/>
      <c r="V76" s="849"/>
      <c r="W76" s="849" t="s">
        <v>2151</v>
      </c>
      <c r="X76" s="849"/>
      <c r="Y76" s="1007"/>
      <c r="Z76" s="852"/>
      <c r="AA76" s="855"/>
      <c r="AB76" s="852"/>
      <c r="AC76" s="852"/>
      <c r="AD76" s="852"/>
    </row>
    <row customHeight="1" ht="18">
      <c r="A77" s="851"/>
      <c r="B77" s="905">
        <v>60</v>
      </c>
      <c r="C77" s="849"/>
      <c r="D77" s="974"/>
      <c r="E77" s="849"/>
      <c r="F77" s="849" t="s">
        <v>2132</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165</v>
      </c>
      <c r="S77" s="964"/>
      <c r="T77" s="849"/>
      <c r="U77" s="849"/>
      <c r="V77" s="849"/>
      <c r="W77" s="849" t="s">
        <v>2152</v>
      </c>
      <c r="X77" s="849"/>
      <c r="Y77" s="1007"/>
      <c r="Z77" s="852"/>
      <c r="AA77" s="855"/>
      <c r="AB77" s="852"/>
      <c r="AC77" s="852"/>
      <c r="AD77" s="852"/>
    </row>
    <row customHeight="1" ht="72">
      <c r="A78" s="851"/>
      <c r="B78" s="905">
        <v>61</v>
      </c>
      <c r="C78" s="849" t="s">
        <v>2128</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2153</v>
      </c>
      <c r="U78" s="849"/>
      <c r="V78" s="849"/>
      <c r="W78" s="849"/>
      <c r="X78" s="849"/>
      <c r="Y78" s="1007"/>
      <c r="Z78" s="852" t="s">
        <v>2154</v>
      </c>
      <c r="AA78" s="855"/>
      <c r="AB78" s="852"/>
      <c r="AC78" s="852"/>
      <c r="AD78" s="852"/>
    </row>
    <row customHeight="1" ht="36">
      <c r="A79" s="851"/>
      <c r="B79" s="905">
        <v>62</v>
      </c>
      <c r="C79" s="849" t="s">
        <v>2130</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129</v>
      </c>
      <c r="P79" s="964"/>
      <c r="Q79" s="964"/>
      <c r="R79" s="964"/>
      <c r="S79" s="964"/>
      <c r="T79" s="849" t="s">
        <v>2155</v>
      </c>
      <c r="U79" s="849"/>
      <c r="V79" s="849"/>
      <c r="W79" s="849"/>
      <c r="X79" s="849"/>
      <c r="Y79" s="1007"/>
      <c r="Z79" s="852" t="s">
        <v>2156</v>
      </c>
      <c r="AA79" s="855"/>
      <c r="AB79" s="852"/>
      <c r="AC79" s="852"/>
      <c r="AD79" s="852"/>
    </row>
    <row customHeight="1" ht="45">
      <c r="A80" s="851"/>
      <c r="B80" s="905">
        <v>63</v>
      </c>
      <c r="C80" s="849" t="s">
        <v>2132</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165</v>
      </c>
      <c r="P80" s="964"/>
      <c r="Q80" s="964"/>
      <c r="R80" s="964"/>
      <c r="S80" s="964"/>
      <c r="T80" s="849" t="s">
        <v>2157</v>
      </c>
      <c r="U80" s="849"/>
      <c r="V80" s="849"/>
      <c r="W80" s="849"/>
      <c r="X80" s="849"/>
      <c r="Y80" s="1007"/>
      <c r="Z80" s="852" t="s">
        <v>2158</v>
      </c>
      <c r="AA80" s="855"/>
      <c r="AB80" s="852"/>
      <c r="AC80" s="852"/>
      <c r="AD80" s="852"/>
    </row>
    <row customHeight="1" ht="36">
      <c r="A81" s="851"/>
      <c r="B81" s="905">
        <v>64</v>
      </c>
      <c r="C81" s="849" t="s">
        <v>2134</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2037</v>
      </c>
      <c r="P81" s="964"/>
      <c r="Q81" s="964"/>
      <c r="R81" s="964"/>
      <c r="S81" s="964"/>
      <c r="T81" s="849" t="s">
        <v>2159</v>
      </c>
      <c r="U81" s="849"/>
      <c r="V81" s="849"/>
      <c r="W81" s="849"/>
      <c r="X81" s="849"/>
      <c r="Y81" s="1007"/>
      <c r="Z81" s="852" t="s">
        <v>2160</v>
      </c>
      <c r="AA81" s="855"/>
      <c r="AB81" s="852"/>
      <c r="AC81" s="852"/>
      <c r="AD81" s="852"/>
    </row>
    <row customHeight="1" ht="90">
      <c r="A82" s="851"/>
      <c r="B82" s="905">
        <v>65</v>
      </c>
      <c r="C82" s="849" t="s">
        <v>2143</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166</v>
      </c>
      <c r="P82" s="964"/>
      <c r="Q82" s="964"/>
      <c r="R82" s="964"/>
      <c r="S82" s="964"/>
      <c r="T82" s="849" t="s">
        <v>2161</v>
      </c>
      <c r="U82" s="849"/>
      <c r="V82" s="849"/>
      <c r="W82" s="849"/>
      <c r="X82" s="849"/>
      <c r="Y82" s="1007"/>
      <c r="Z82" s="852" t="s">
        <v>2162</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2046</v>
      </c>
      <c r="P83" s="964"/>
      <c r="Q83" s="964"/>
      <c r="R83" s="964"/>
      <c r="S83" s="964"/>
      <c r="T83" s="849" t="s">
        <v>2163</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2164</v>
      </c>
      <c r="P84" s="964"/>
      <c r="Q84" s="964"/>
      <c r="R84" s="964"/>
      <c r="S84" s="964"/>
      <c r="T84" s="849" t="s">
        <v>2165</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2050</v>
      </c>
      <c r="P85" s="964"/>
      <c r="Q85" s="964"/>
      <c r="R85" s="964"/>
      <c r="S85" s="964"/>
      <c r="T85" s="849" t="s">
        <v>2166</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2167</v>
      </c>
      <c r="P86" s="964"/>
      <c r="Q86" s="964"/>
      <c r="R86" s="964"/>
      <c r="S86" s="964"/>
      <c r="T86" s="849" t="s">
        <v>2168</v>
      </c>
      <c r="U86" s="849"/>
      <c r="V86" s="849"/>
      <c r="W86" s="849"/>
      <c r="X86" s="849"/>
      <c r="Y86" s="1007"/>
      <c r="Z86" s="852"/>
      <c r="AA86" s="855"/>
      <c r="AB86" s="852"/>
      <c r="AC86" s="852"/>
      <c r="AD86" s="852"/>
    </row>
    <row customHeight="1" ht="36">
      <c r="A87" s="851"/>
      <c r="B87" s="905">
        <v>70</v>
      </c>
      <c r="C87" s="849" t="s">
        <v>2169</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167</v>
      </c>
      <c r="P87" s="964"/>
      <c r="Q87" s="964"/>
      <c r="R87" s="964"/>
      <c r="S87" s="964"/>
      <c r="T87" s="849" t="s">
        <v>2170</v>
      </c>
      <c r="U87" s="849"/>
      <c r="V87" s="849"/>
      <c r="W87" s="849"/>
      <c r="X87" s="849"/>
      <c r="Y87" s="1007"/>
      <c r="Z87" s="852"/>
      <c r="AA87" s="855"/>
      <c r="AB87" s="852"/>
      <c r="AC87" s="852"/>
      <c r="AD87" s="852"/>
    </row>
    <row customHeight="1" ht="18">
      <c r="A88" s="851"/>
      <c r="B88" s="905">
        <v>71</v>
      </c>
      <c r="C88" s="849" t="s">
        <v>2171</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118</v>
      </c>
      <c r="P88" s="964"/>
      <c r="Q88" s="964"/>
      <c r="R88" s="964"/>
      <c r="S88" s="964"/>
      <c r="T88" s="849" t="s">
        <v>2172</v>
      </c>
      <c r="U88" s="849"/>
      <c r="V88" s="849"/>
      <c r="W88" s="849"/>
      <c r="X88" s="849"/>
      <c r="Y88" s="1007"/>
      <c r="Z88" s="852"/>
      <c r="AA88" s="855"/>
      <c r="AB88" s="852"/>
      <c r="AC88" s="852"/>
      <c r="AD88" s="852"/>
    </row>
    <row customHeight="1" ht="18">
      <c r="A89" s="851"/>
      <c r="B89" s="905">
        <v>72</v>
      </c>
      <c r="C89" s="849" t="s">
        <v>2173</v>
      </c>
      <c r="D89" s="974" t="s">
        <v>2169</v>
      </c>
      <c r="E89" s="849" t="s">
        <v>2169</v>
      </c>
      <c r="F89" s="849" t="s">
        <v>2134</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168</v>
      </c>
      <c r="P89" s="964" t="s">
        <v>118</v>
      </c>
      <c r="Q89" s="964" t="s">
        <v>118</v>
      </c>
      <c r="R89" s="964" t="s">
        <v>166</v>
      </c>
      <c r="S89" s="964"/>
      <c r="T89" s="849" t="s">
        <v>2174</v>
      </c>
      <c r="U89" s="849" t="s">
        <v>2174</v>
      </c>
      <c r="V89" s="849" t="s">
        <v>2174</v>
      </c>
      <c r="W89" s="849" t="s">
        <v>2174</v>
      </c>
      <c r="X89" s="849"/>
      <c r="Y89" s="1007"/>
      <c r="Z89" s="852"/>
      <c r="AA89" s="855"/>
      <c r="AB89" s="852"/>
      <c r="AC89" s="852"/>
      <c r="AD89" s="852"/>
    </row>
    <row customHeight="1" ht="27">
      <c r="A90" s="851"/>
      <c r="B90" s="905">
        <v>73</v>
      </c>
      <c r="C90" s="849" t="s">
        <v>2175</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169</v>
      </c>
      <c r="P90" s="964"/>
      <c r="Q90" s="964"/>
      <c r="R90" s="964"/>
      <c r="S90" s="964"/>
      <c r="T90" s="849" t="s">
        <v>2176</v>
      </c>
      <c r="U90" s="849"/>
      <c r="V90" s="849"/>
      <c r="W90" s="849"/>
      <c r="X90" s="849"/>
      <c r="Y90" s="1007"/>
      <c r="Z90" s="852"/>
      <c r="AA90" s="855"/>
      <c r="AB90" s="852"/>
      <c r="AC90" s="852"/>
      <c r="AD90" s="852"/>
    </row>
    <row customHeight="1" ht="18">
      <c r="A91" s="851"/>
      <c r="B91" s="905">
        <v>74</v>
      </c>
      <c r="C91" s="849"/>
      <c r="D91" s="974" t="s">
        <v>2171</v>
      </c>
      <c r="E91" s="849" t="s">
        <v>2171</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168</v>
      </c>
      <c r="Q91" s="964" t="s">
        <v>168</v>
      </c>
      <c r="R91" s="964"/>
      <c r="S91" s="964"/>
      <c r="T91" s="849"/>
      <c r="U91" s="849" t="s">
        <v>2177</v>
      </c>
      <c r="V91" s="849" t="s">
        <v>2177</v>
      </c>
      <c r="W91" s="849"/>
      <c r="X91" s="849"/>
      <c r="Y91" s="1007"/>
      <c r="Z91" s="852"/>
      <c r="AA91" s="855"/>
      <c r="AB91" s="852"/>
      <c r="AC91" s="852"/>
      <c r="AD91" s="852"/>
    </row>
    <row customHeight="1" ht="27">
      <c r="A92" s="851"/>
      <c r="B92" s="905">
        <v>75</v>
      </c>
      <c r="C92" s="849"/>
      <c r="D92" s="974" t="s">
        <v>2173</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169</v>
      </c>
      <c r="Q92" s="964"/>
      <c r="R92" s="964"/>
      <c r="S92" s="964"/>
      <c r="T92" s="849"/>
      <c r="U92" s="849" t="s">
        <v>2178</v>
      </c>
      <c r="V92" s="849"/>
      <c r="W92" s="849"/>
      <c r="X92" s="849"/>
      <c r="Y92" s="1007"/>
      <c r="Z92" s="852"/>
      <c r="AA92" s="855" t="s">
        <v>2179</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2078</v>
      </c>
      <c r="Q93" s="964"/>
      <c r="R93" s="964"/>
      <c r="S93" s="964"/>
      <c r="T93" s="849"/>
      <c r="U93" s="849" t="s">
        <v>2180</v>
      </c>
      <c r="V93" s="849"/>
      <c r="W93" s="849"/>
      <c r="X93" s="849"/>
      <c r="Y93" s="1007"/>
      <c r="Z93" s="852"/>
      <c r="AA93" s="855" t="s">
        <v>2181</v>
      </c>
      <c r="AB93" s="852"/>
      <c r="AC93" s="852"/>
      <c r="AD93" s="852"/>
    </row>
    <row customHeight="1" ht="45">
      <c r="A94" s="851"/>
      <c r="B94" s="905">
        <v>77</v>
      </c>
      <c r="C94" s="849"/>
      <c r="D94" s="974" t="s">
        <v>2175</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1532</v>
      </c>
      <c r="Q94" s="964"/>
      <c r="R94" s="964"/>
      <c r="S94" s="964"/>
      <c r="T94" s="849"/>
      <c r="U94" s="849" t="s">
        <v>2182</v>
      </c>
      <c r="V94" s="849"/>
      <c r="W94" s="849"/>
      <c r="X94" s="849"/>
      <c r="Y94" s="1007"/>
      <c r="Z94" s="852"/>
      <c r="AA94" s="855" t="s">
        <v>2183</v>
      </c>
      <c r="AB94" s="852"/>
      <c r="AC94" s="852"/>
      <c r="AD94" s="852"/>
    </row>
    <row customHeight="1" ht="99">
      <c r="A95" s="851"/>
      <c r="B95" s="905">
        <v>78</v>
      </c>
      <c r="C95" s="849" t="s">
        <v>2184</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1532</v>
      </c>
      <c r="P95" s="964"/>
      <c r="Q95" s="964"/>
      <c r="R95" s="964"/>
      <c r="S95" s="964"/>
      <c r="T95" s="849" t="s">
        <v>2185</v>
      </c>
      <c r="U95" s="849"/>
      <c r="V95" s="849"/>
      <c r="W95" s="849"/>
      <c r="X95" s="849"/>
      <c r="Y95" s="1007"/>
      <c r="Z95" s="852"/>
      <c r="AA95" s="855"/>
      <c r="AB95" s="852"/>
      <c r="AC95" s="852"/>
      <c r="AD95" s="852"/>
    </row>
    <row customHeight="1" ht="99">
      <c r="A96" s="851"/>
      <c r="B96" s="905">
        <v>79</v>
      </c>
      <c r="C96" s="849" t="s">
        <v>1126</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1538</v>
      </c>
      <c r="P96" s="964"/>
      <c r="Q96" s="964"/>
      <c r="R96" s="964"/>
      <c r="S96" s="964"/>
      <c r="T96" s="849" t="s">
        <v>2186</v>
      </c>
      <c r="U96" s="849"/>
      <c r="V96" s="849"/>
      <c r="W96" s="849"/>
      <c r="X96" s="849"/>
      <c r="Y96" s="1007"/>
      <c r="Z96" s="852" t="s">
        <v>2187</v>
      </c>
      <c r="AA96" s="855"/>
      <c r="AB96" s="852"/>
      <c r="AC96" s="852"/>
      <c r="AD96" s="852"/>
    </row>
    <row customHeight="1" ht="63">
      <c r="A97" s="851"/>
      <c r="B97" s="905">
        <v>80</v>
      </c>
      <c r="C97" s="849" t="s">
        <v>2188</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1549</v>
      </c>
      <c r="P97" s="964"/>
      <c r="Q97" s="964"/>
      <c r="R97" s="964"/>
      <c r="S97" s="964"/>
      <c r="T97" s="849" t="s">
        <v>2189</v>
      </c>
      <c r="U97" s="849"/>
      <c r="V97" s="849"/>
      <c r="W97" s="849"/>
      <c r="X97" s="849"/>
      <c r="Y97" s="1007"/>
      <c r="Z97" s="852" t="s">
        <v>2190</v>
      </c>
      <c r="AA97" s="855"/>
      <c r="AB97" s="852"/>
      <c r="AC97" s="852"/>
      <c r="AD97" s="852"/>
    </row>
    <row customHeight="1" ht="63">
      <c r="A98" s="851"/>
      <c r="B98" s="905">
        <v>81</v>
      </c>
      <c r="C98" s="849" t="s">
        <v>2191</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1563</v>
      </c>
      <c r="P98" s="964"/>
      <c r="Q98" s="964"/>
      <c r="R98" s="964"/>
      <c r="S98" s="964"/>
      <c r="T98" s="849" t="s">
        <v>2192</v>
      </c>
      <c r="U98" s="849"/>
      <c r="V98" s="849"/>
      <c r="W98" s="849"/>
      <c r="X98" s="849"/>
      <c r="Y98" s="1007"/>
      <c r="Z98" s="852" t="s">
        <v>2190</v>
      </c>
      <c r="AA98" s="855"/>
      <c r="AB98" s="852"/>
      <c r="AC98" s="852"/>
      <c r="AD98" s="852"/>
    </row>
    <row customHeight="1" ht="90">
      <c r="A99" s="851"/>
      <c r="B99" s="905">
        <v>82</v>
      </c>
      <c r="C99" s="849" t="s">
        <v>2193</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1575</v>
      </c>
      <c r="P99" s="964"/>
      <c r="Q99" s="964"/>
      <c r="R99" s="964"/>
      <c r="S99" s="964"/>
      <c r="T99" s="849" t="s">
        <v>2194</v>
      </c>
      <c r="U99" s="849"/>
      <c r="V99" s="849"/>
      <c r="W99" s="849"/>
      <c r="X99" s="849"/>
      <c r="Y99" s="1007"/>
      <c r="Z99" s="852" t="s">
        <v>842</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2195</v>
      </c>
      <c r="P100" s="964"/>
      <c r="Q100" s="964"/>
      <c r="R100" s="964"/>
      <c r="S100" s="964"/>
      <c r="T100" s="849" t="s">
        <v>2196</v>
      </c>
      <c r="U100" s="849"/>
      <c r="V100" s="849"/>
      <c r="W100" s="849"/>
      <c r="X100" s="849"/>
      <c r="Y100" s="1007"/>
      <c r="Z100" s="852" t="s">
        <v>842</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2197</v>
      </c>
      <c r="P101" s="964"/>
      <c r="Q101" s="964"/>
      <c r="R101" s="964"/>
      <c r="S101" s="964"/>
      <c r="T101" s="849" t="s">
        <v>2198</v>
      </c>
      <c r="U101" s="849"/>
      <c r="V101" s="849"/>
      <c r="W101" s="849"/>
      <c r="X101" s="849"/>
      <c r="Y101" s="1007"/>
      <c r="Z101" s="852" t="s">
        <v>842</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1726</v>
      </c>
      <c r="B148" s="851"/>
      <c r="C148" s="849" t="s">
        <v>2199</v>
      </c>
      <c r="D148" s="849" t="s">
        <v>1631</v>
      </c>
      <c r="E148" s="849" t="s">
        <v>98</v>
      </c>
      <c r="F148" s="849" t="s">
        <v>2200</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2201</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2202</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1729</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1732</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1737</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2AAFF-6F53-11E5-C85F-46F0460C69F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2.28125" hidden="1" customWidth="1"/>
    <col min="6" max="8" style="3332" width="12.28125" hidden="1" customWidth="1"/>
    <col min="9" max="9" style="7435" width="3.7109375" customWidth="1"/>
    <col min="10" max="11" style="3409" width="3.7109375" customWidth="1"/>
    <col min="12" max="12" style="3410" width="12.7109375" customWidth="1"/>
    <col min="13" max="13" style="2983" width="32.00390625" customWidth="1"/>
    <col min="14" max="14" style="2983" width="1.7109375" customWidth="1"/>
    <col min="15" max="18" style="2983" width="24.7109375" customWidth="1"/>
    <col min="19" max="19" style="2983" width="11.7109375" customWidth="1"/>
    <col min="20" max="20" style="2983" width="3.7109375" customWidth="1"/>
    <col min="21" max="21" style="2983" width="11.7109375" customWidth="1"/>
    <col min="22" max="22" style="2983" width="8.57421875" customWidth="1"/>
    <col min="23" max="23" style="2983" width="4.7109375" customWidth="1"/>
    <col min="24" max="24" style="2983"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2203</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3"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3" customFormat="1" customHeight="1" ht="22.5">
      <c r="A9" s="1398"/>
      <c r="B9" s="1398"/>
      <c r="C9" s="1398"/>
      <c r="D9" s="1398"/>
      <c r="E9" s="1398"/>
      <c r="F9" s="1398"/>
      <c r="G9" s="1398"/>
      <c r="H9" s="1398"/>
      <c r="L9" s="1306"/>
      <c r="M9" s="283" t="s">
        <v>467</v>
      </c>
      <c r="N9" s="292"/>
      <c r="O9" s="2100" t="str">
        <f>IF(TITLE_DATE_CHANGE_PERIOD="",IF(TITLE_DATE_PR="","",TITLE_DATE_PR),TITLE_DATE_CHANGE_PERIOD)</f>
        <v>45280</v>
      </c>
      <c r="P9" s="2100"/>
      <c r="Q9" s="2100"/>
      <c r="R9" s="2100"/>
      <c r="S9" s="2100"/>
      <c r="T9" s="2100"/>
      <c r="U9" s="2100"/>
      <c r="V9" s="322"/>
      <c r="W9" s="322"/>
      <c r="X9" s="268"/>
      <c r="Y9" s="368"/>
      <c r="Z9" s="368"/>
      <c r="AA9" s="368"/>
      <c r="AB9" s="368"/>
      <c r="AC9" s="368"/>
    </row>
    <row s="3343" customFormat="1" customHeight="1" ht="22.5">
      <c r="A10" s="1398"/>
      <c r="B10" s="1398"/>
      <c r="C10" s="1398"/>
      <c r="D10" s="1398"/>
      <c r="E10" s="1398"/>
      <c r="F10" s="1398"/>
      <c r="G10" s="1398"/>
      <c r="H10" s="1398"/>
      <c r="L10" s="1269"/>
      <c r="M10" s="283" t="s">
        <v>468</v>
      </c>
      <c r="N10" s="292"/>
      <c r="O10" s="2100" t="str">
        <f>IF(TITLE_NUMBER_PR_CHANGE="",IF(TITLE_NUMBER_PR="","",TITLE_NUMBER_PR),TITLE_NUMBER_PR_CHANGE)</f>
        <v>51/11</v>
      </c>
      <c r="P10" s="2100"/>
      <c r="Q10" s="2100"/>
      <c r="R10" s="2100"/>
      <c r="S10" s="2100"/>
      <c r="T10" s="2100"/>
      <c r="U10" s="2100"/>
      <c r="V10" s="322"/>
      <c r="W10" s="322"/>
      <c r="X10" s="268"/>
      <c r="Y10" s="368"/>
      <c r="Z10" s="368"/>
      <c r="AA10" s="368"/>
      <c r="AB10" s="368"/>
      <c r="AC10" s="368"/>
    </row>
    <row s="3343"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https://npa.gov-murman.ru/bitrix/components/b1team/govmurman.element.file/download.php?ID=508451&amp;FID=750724</v>
      </c>
      <c r="P11" s="2100"/>
      <c r="Q11" s="2100"/>
      <c r="R11" s="2100"/>
      <c r="S11" s="2100"/>
      <c r="T11" s="2100"/>
      <c r="U11" s="2100"/>
      <c r="V11" s="322"/>
      <c r="W11" s="322"/>
      <c r="X11" s="268"/>
      <c r="Y11" s="368"/>
      <c r="Z11" s="368"/>
      <c r="AA11" s="368"/>
      <c r="AB11" s="368"/>
      <c r="AC11" s="368"/>
    </row>
    <row s="3343"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471</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345</v>
      </c>
      <c r="M14" s="1971"/>
      <c r="N14" s="1971"/>
      <c r="O14" s="1971"/>
      <c r="P14" s="1971"/>
      <c r="Q14" s="1971"/>
      <c r="R14" s="1971"/>
      <c r="S14" s="1971"/>
      <c r="T14" s="1971"/>
      <c r="U14" s="1971"/>
      <c r="V14" s="1971"/>
      <c r="W14" s="1971"/>
      <c r="X14" s="1971" t="s">
        <v>346</v>
      </c>
    </row>
    <row customHeight="1" ht="14.25">
      <c r="J15" s="377"/>
      <c r="K15" s="377"/>
      <c r="L15" s="2125" t="s">
        <v>87</v>
      </c>
      <c r="M15" s="2062" t="s">
        <v>472</v>
      </c>
      <c r="N15" s="289"/>
      <c r="O15" s="2126" t="s">
        <v>2204</v>
      </c>
      <c r="P15" s="2127"/>
      <c r="Q15" s="2127"/>
      <c r="R15" s="2127"/>
      <c r="S15" s="2127"/>
      <c r="T15" s="2127"/>
      <c r="U15" s="2128"/>
      <c r="V15" s="2129" t="s">
        <v>474</v>
      </c>
      <c r="W15" s="2132" t="s">
        <v>1123</v>
      </c>
      <c r="X15" s="1971"/>
    </row>
    <row customHeight="1" ht="33.75">
      <c r="J16" s="377"/>
      <c r="K16" s="377"/>
      <c r="L16" s="2125"/>
      <c r="M16" s="2062"/>
      <c r="N16" s="1038"/>
      <c r="O16" s="2135" t="s">
        <v>477</v>
      </c>
      <c r="P16" s="2135" t="s">
        <v>478</v>
      </c>
      <c r="Q16" s="2118" t="s">
        <v>479</v>
      </c>
      <c r="R16" s="2120"/>
      <c r="S16" s="2118" t="s">
        <v>492</v>
      </c>
      <c r="T16" s="2119"/>
      <c r="U16" s="2120"/>
      <c r="V16" s="2130"/>
      <c r="W16" s="2133"/>
      <c r="X16" s="1971"/>
    </row>
    <row customHeight="1" ht="33.75">
      <c r="A17" s="1400" t="s">
        <v>151</v>
      </c>
      <c r="B17" s="1400" t="s">
        <v>152</v>
      </c>
      <c r="C17" s="1400" t="s">
        <v>153</v>
      </c>
      <c r="D17" s="1400" t="s">
        <v>154</v>
      </c>
      <c r="E17" s="1400"/>
      <c r="J17" s="377"/>
      <c r="K17" s="377"/>
      <c r="L17" s="2125"/>
      <c r="M17" s="2062"/>
      <c r="N17" s="290"/>
      <c r="O17" s="2136"/>
      <c r="P17" s="2136"/>
      <c r="Q17" s="1237" t="s">
        <v>488</v>
      </c>
      <c r="R17" s="1237" t="s">
        <v>489</v>
      </c>
      <c r="S17" s="1322" t="s">
        <v>490</v>
      </c>
      <c r="T17" s="2121" t="s">
        <v>491</v>
      </c>
      <c r="U17" s="2122"/>
      <c r="V17" s="2131"/>
      <c r="W17" s="2134"/>
      <c r="X17" s="1971"/>
    </row>
    <row s="2611" customFormat="1" customHeight="1" ht="11.25">
      <c r="A18" s="1400"/>
      <c r="B18" s="1400"/>
      <c r="C18" s="1400"/>
      <c r="D18" s="1400"/>
      <c r="E18" s="1400"/>
      <c r="F18" s="1392"/>
      <c r="G18" s="1392"/>
      <c r="H18" s="1392"/>
      <c r="I18" s="1264"/>
      <c r="J18" s="1265"/>
      <c r="K18" s="1280">
        <v>1</v>
      </c>
      <c r="L18" s="1307" t="s">
        <v>128</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187</v>
      </c>
      <c r="B19" s="1393" t="s">
        <v>188</v>
      </c>
      <c r="C19" s="1393" t="s">
        <v>189</v>
      </c>
      <c r="D19" s="1393" t="s">
        <v>190</v>
      </c>
      <c r="E19" s="1393"/>
      <c r="F19" s="1395"/>
      <c r="G19" s="1395"/>
      <c r="H19" s="1395"/>
      <c r="I19" s="357"/>
      <c r="J19" s="356"/>
      <c r="K19" s="351"/>
      <c r="L19" s="1323">
        <f>INDEX(PT_DIFFERENTIATION_NUM_NTAR,MATCH(A19,PT_DIFFERENTIATION_NTAR_ID,0))</f>
        <v>1</v>
      </c>
      <c r="M19" s="286" t="s">
        <v>140</v>
      </c>
      <c r="N19" s="288"/>
      <c r="O19" s="2434" t="str">
        <f>INDEX(PT_DIFFERENTIATION_NTAR,MATCH(A19,PT_DIFFERENTIATION_NTAR_ID,0))</f>
        <v>Тариф на теплоноситель, поставляемый потребителям</v>
      </c>
      <c r="P19" s="2434"/>
      <c r="Q19" s="2434"/>
      <c r="R19" s="2434"/>
      <c r="S19" s="2434"/>
      <c r="T19" s="2434"/>
      <c r="U19" s="2434"/>
      <c r="V19" s="2434"/>
      <c r="W19" s="2434"/>
      <c r="X19" s="1286" t="s">
        <v>443</v>
      </c>
      <c r="Z19" s="506"/>
      <c r="AA19" s="506" t="str">
        <f>IF(M19="","",M19)</f>
        <v>Наименование тарифа</v>
      </c>
      <c r="AB19" s="506"/>
      <c r="AC19" s="506"/>
    </row>
    <row customHeight="1" ht="21">
      <c r="A20" s="1393" t="s">
        <v>187</v>
      </c>
      <c r="B20" s="1393" t="s">
        <v>188</v>
      </c>
      <c r="C20" s="1393" t="s">
        <v>189</v>
      </c>
      <c r="D20" s="1393" t="s">
        <v>190</v>
      </c>
      <c r="E20" s="1393"/>
      <c r="F20" s="1395"/>
      <c r="G20" s="1395"/>
      <c r="H20" s="1395"/>
      <c r="I20" s="1320"/>
      <c r="J20" s="348"/>
      <c r="K20" s="349"/>
      <c r="L20" s="1323" t="str">
        <f>INDEX(PT_DIFFERENTIATION_NUM_TER,MATCH(B19,PT_DIFFERENTIATION_TER_ID,0))</f>
        <v>1.1</v>
      </c>
      <c r="M20" s="298" t="s">
        <v>444</v>
      </c>
      <c r="N20" s="288"/>
      <c r="O20" s="2434" t="str">
        <f>INDEX(PT_DIFFERENTIATION_TER,MATCH(B19,PT_DIFFERENTIATION_TER_ID,0))</f>
        <v>Территория 1</v>
      </c>
      <c r="P20" s="2434"/>
      <c r="Q20" s="2434"/>
      <c r="R20" s="2434"/>
      <c r="S20" s="2434"/>
      <c r="T20" s="2434"/>
      <c r="U20" s="2434"/>
      <c r="V20" s="2434"/>
      <c r="W20" s="2434"/>
      <c r="X20" s="1286" t="s">
        <v>445</v>
      </c>
      <c r="Z20" s="506"/>
      <c r="AA20" s="506" t="str">
        <f>IF(M20="","",M20)</f>
        <v>Территория действия тарифа</v>
      </c>
      <c r="AB20" s="506"/>
      <c r="AC20" s="506"/>
    </row>
    <row customHeight="1" ht="22.5">
      <c r="A21" s="1393" t="s">
        <v>187</v>
      </c>
      <c r="B21" s="1393" t="s">
        <v>188</v>
      </c>
      <c r="C21" s="1393" t="s">
        <v>189</v>
      </c>
      <c r="D21" s="1393" t="s">
        <v>190</v>
      </c>
      <c r="E21" s="1393"/>
      <c r="F21" s="1395"/>
      <c r="G21" s="1395"/>
      <c r="H21" s="1395"/>
      <c r="I21" s="350"/>
      <c r="J21" s="348"/>
      <c r="K21" s="349"/>
      <c r="L21" s="1323" t="str">
        <f>INDEX(PT_DIFFERENTIATION_NUM_CS,MATCH(C19,PT_DIFFERENTIATION_CS_ID,0))</f>
        <v>1.1.1</v>
      </c>
      <c r="M21" s="299" t="s">
        <v>446</v>
      </c>
      <c r="N21" s="288"/>
      <c r="O21" s="2434" t="str">
        <f>INDEX(PT_DIFFERENTIATION_CS,MATCH(C19,PT_DIFFERENTIATION_CS_ID,0))</f>
        <v>без дифференциации</v>
      </c>
      <c r="P21" s="2434"/>
      <c r="Q21" s="2434"/>
      <c r="R21" s="2434"/>
      <c r="S21" s="2434"/>
      <c r="T21" s="2434"/>
      <c r="U21" s="2434"/>
      <c r="V21" s="2434"/>
      <c r="W21" s="2434"/>
      <c r="X21" s="1286" t="s">
        <v>447</v>
      </c>
      <c r="Z21" s="506"/>
      <c r="AA21" s="506" t="str">
        <f>IF(M21="","",M21)</f>
        <v>Наименование системы теплоснабжения </v>
      </c>
      <c r="AB21" s="506"/>
      <c r="AC21" s="506"/>
    </row>
    <row customHeight="1" ht="21">
      <c r="A22" s="1393" t="s">
        <v>187</v>
      </c>
      <c r="B22" s="1393" t="s">
        <v>188</v>
      </c>
      <c r="C22" s="1393" t="s">
        <v>189</v>
      </c>
      <c r="D22" s="1393" t="s">
        <v>190</v>
      </c>
      <c r="E22" s="1393"/>
      <c r="F22" s="1395"/>
      <c r="G22" s="1395"/>
      <c r="H22" s="1395"/>
      <c r="I22" s="350"/>
      <c r="J22" s="348"/>
      <c r="K22" s="349"/>
      <c r="L22" s="1323" t="str">
        <f>INDEX(PT_DIFFERENTIATION_NUM_IST_TE,MATCH(D19,PT_DIFFERENTIATION_IST_TE_ID,0))</f>
        <v>1.1.1.1</v>
      </c>
      <c r="M22" s="300" t="s">
        <v>448</v>
      </c>
      <c r="N22" s="288"/>
      <c r="O22" s="2434" t="str">
        <f>INDEX(PT_DIFFERENTIATION_IST_TE,MATCH(D19,PT_DIFFERENTIATION_IST_TE_ID,0))</f>
        <v>город-герой Мурманск (кроме р-на Росляково)</v>
      </c>
      <c r="P22" s="2434"/>
      <c r="Q22" s="2434"/>
      <c r="R22" s="2434"/>
      <c r="S22" s="2434"/>
      <c r="T22" s="2434"/>
      <c r="U22" s="2434"/>
      <c r="V22" s="2434"/>
      <c r="W22" s="2434"/>
      <c r="X22" s="1286" t="s">
        <v>449</v>
      </c>
      <c r="Z22" s="506"/>
      <c r="AA22" s="506" t="str">
        <f>IF(M22="","",M22)</f>
        <v>Источник тепловой энергии  </v>
      </c>
      <c r="AB22" s="506"/>
      <c r="AC22" s="506"/>
    </row>
    <row customHeight="1" ht="94.5">
      <c r="A23" s="1393" t="s">
        <v>187</v>
      </c>
      <c r="B23" s="1393" t="s">
        <v>188</v>
      </c>
      <c r="C23" s="1393" t="s">
        <v>189</v>
      </c>
      <c r="D23" s="1393" t="s">
        <v>190</v>
      </c>
      <c r="E23" s="1393"/>
      <c r="F23" s="2435" t="str">
        <f>L22&amp;".1"</f>
        <v>1.1.1.1.1</v>
      </c>
      <c r="I23" s="2111">
        <v>1</v>
      </c>
      <c r="J23" s="1321"/>
      <c r="K23" s="352"/>
      <c r="L23" s="1323" t="str">
        <f>$F$23</f>
        <v>1.1.1.1.1</v>
      </c>
      <c r="M23" s="273" t="s">
        <v>451</v>
      </c>
      <c r="N23" s="288"/>
      <c r="O23" s="2436"/>
      <c r="P23" s="2436"/>
      <c r="Q23" s="2436"/>
      <c r="R23" s="2436"/>
      <c r="S23" s="2436"/>
      <c r="T23" s="2436"/>
      <c r="U23" s="2436"/>
      <c r="V23" s="2436"/>
      <c r="W23" s="2436"/>
      <c r="X23" s="1286" t="s">
        <v>452</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187</v>
      </c>
      <c r="B24" s="1393" t="s">
        <v>188</v>
      </c>
      <c r="C24" s="1393" t="s">
        <v>189</v>
      </c>
      <c r="D24" s="1393" t="s">
        <v>190</v>
      </c>
      <c r="E24" s="1393"/>
      <c r="F24" s="2435"/>
      <c r="G24" s="2082" t="str">
        <f>F23&amp;".1"</f>
        <v>1.1.1.1.1.1</v>
      </c>
      <c r="I24" s="2111"/>
      <c r="J24" s="2111">
        <v>1</v>
      </c>
      <c r="K24" s="353"/>
      <c r="L24" s="1323" t="str">
        <f>$G$24</f>
        <v>1.1.1.1.1.1</v>
      </c>
      <c r="M24" s="274" t="s">
        <v>454</v>
      </c>
      <c r="N24" s="288"/>
      <c r="O24" s="2437"/>
      <c r="P24" s="2438"/>
      <c r="Q24" s="2438"/>
      <c r="R24" s="2438"/>
      <c r="S24" s="2438"/>
      <c r="T24" s="2438"/>
      <c r="U24" s="2438"/>
      <c r="V24" s="2438"/>
      <c r="W24" s="2439"/>
      <c r="X24" s="1286" t="s">
        <v>455</v>
      </c>
      <c r="Z24" s="506"/>
      <c r="AA24" s="506" t="str">
        <f>IF(M24="","",M24)</f>
        <v>Группа потребителей</v>
      </c>
      <c r="AB24" s="506"/>
      <c r="AC24" s="506"/>
    </row>
    <row customHeight="1" ht="11.25">
      <c r="A25" s="1393" t="s">
        <v>187</v>
      </c>
      <c r="B25" s="1393" t="s">
        <v>188</v>
      </c>
      <c r="C25" s="1393" t="s">
        <v>189</v>
      </c>
      <c r="D25" s="1393" t="s">
        <v>190</v>
      </c>
      <c r="E25" s="1393"/>
      <c r="F25" s="2435"/>
      <c r="G25" s="2082"/>
      <c r="H25" s="2082" t="str">
        <f>G24&amp;".1"</f>
        <v>1.1.1.1.1.1.1</v>
      </c>
      <c r="I25" s="2111"/>
      <c r="J25" s="2111"/>
      <c r="K25" s="353">
        <v>1</v>
      </c>
      <c r="L25" s="1323" t="str">
        <f>$H$25</f>
        <v>1.1.1.1.1.1.1</v>
      </c>
      <c r="M25" s="1287"/>
      <c r="N25" s="288"/>
      <c r="O25" s="757"/>
      <c r="P25" s="320"/>
      <c r="Q25" s="757"/>
      <c r="R25" s="1285"/>
      <c r="S25" s="2443"/>
      <c r="T25" s="1981" t="s">
        <v>61</v>
      </c>
      <c r="U25" s="2443"/>
      <c r="V25" s="1981" t="s">
        <v>56</v>
      </c>
      <c r="W25" s="320"/>
      <c r="X25" s="2137" t="s">
        <v>457</v>
      </c>
      <c r="Y25" s="517">
        <f>STRCHECKDATE(O26:W26)</f>
      </c>
      <c r="Z25" s="506"/>
      <c r="AA25" s="506" t="str">
        <f>IF(M25="","",M25)</f>
        <v/>
      </c>
      <c r="AB25" s="506"/>
      <c r="AC25" s="506"/>
    </row>
    <row customHeight="1" ht="11.25">
      <c r="A26" s="1393" t="s">
        <v>187</v>
      </c>
      <c r="B26" s="1393" t="s">
        <v>188</v>
      </c>
      <c r="C26" s="1393" t="s">
        <v>189</v>
      </c>
      <c r="D26" s="1393" t="s">
        <v>190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187</v>
      </c>
      <c r="B27" s="1393" t="s">
        <v>188</v>
      </c>
      <c r="C27" s="1393" t="s">
        <v>189</v>
      </c>
      <c r="D27" s="1393" t="s">
        <v>190</v>
      </c>
      <c r="E27" s="1393"/>
      <c r="F27" s="2435"/>
      <c r="G27" s="2082"/>
      <c r="I27" s="2111"/>
      <c r="J27" s="2111"/>
      <c r="K27" s="352"/>
      <c r="L27" s="1308"/>
      <c r="M27" s="276" t="s">
        <v>458</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187</v>
      </c>
      <c r="B28" s="1393" t="s">
        <v>188</v>
      </c>
      <c r="C28" s="1393" t="s">
        <v>189</v>
      </c>
      <c r="D28" s="1393" t="s">
        <v>190</v>
      </c>
      <c r="E28" s="1393"/>
      <c r="F28" s="2435"/>
      <c r="I28" s="2111"/>
      <c r="J28" s="1321"/>
      <c r="K28" s="352"/>
      <c r="L28" s="1308"/>
      <c r="M28" s="275" t="s">
        <v>459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187</v>
      </c>
      <c r="B29" s="1393" t="s">
        <v>188</v>
      </c>
      <c r="C29" s="1393" t="s">
        <v>189</v>
      </c>
      <c r="D29" s="1393" t="s">
        <v>190</v>
      </c>
      <c r="E29" s="1393"/>
      <c r="F29" s="1395"/>
      <c r="G29" s="1395"/>
      <c r="H29" s="543"/>
      <c r="I29" s="356"/>
      <c r="J29" s="376"/>
      <c r="K29" s="351"/>
      <c r="L29" s="1308"/>
      <c r="M29" s="364" t="s">
        <v>460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187</v>
      </c>
      <c r="B30" s="1393" t="s">
        <v>188</v>
      </c>
      <c r="C30" s="1393" t="s">
        <v>189</v>
      </c>
      <c r="D30" s="1393"/>
      <c r="E30" s="1393" t="s">
        <v>625</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187</v>
      </c>
      <c r="B31" s="1393" t="s">
        <v>188</v>
      </c>
      <c r="C31" s="1393"/>
      <c r="D31" s="1393"/>
      <c r="E31" s="1393" t="s">
        <v>2205</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2206</v>
      </c>
      <c r="B32" s="1393"/>
      <c r="C32" s="1393"/>
      <c r="D32" s="1393"/>
      <c r="E32" s="1393" t="s">
        <v>123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6940" customFormat="1" customHeight="1" ht="11.25">
      <c r="A33" s="1393"/>
      <c r="B33" s="1393"/>
      <c r="C33" s="1393"/>
      <c r="D33" s="1393"/>
      <c r="E33" s="1393" t="s">
        <v>230</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757</v>
      </c>
      <c r="M35" s="2106" t="s">
        <v>2207</v>
      </c>
      <c r="N35" s="2106"/>
      <c r="O35" s="2106"/>
      <c r="P35" s="2106"/>
      <c r="Q35" s="2106"/>
      <c r="R35" s="2106"/>
      <c r="S35" s="2106"/>
      <c r="T35" s="2106"/>
      <c r="U35" s="2106"/>
      <c r="V35" s="2106"/>
      <c r="W35" s="2106"/>
      <c r="X35" s="2106"/>
    </row>
    <row customHeight="1" ht="104.25">
      <c r="H36" s="543"/>
      <c r="I36" s="1333"/>
      <c r="M36" s="2106" t="s">
        <v>2208</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379FD-459B-FDAA-EAB6-B97467CF500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3" width="11.57421875" customWidth="1"/>
    <col min="2" max="2" style="2983" width="10.7109375" customWidth="1"/>
    <col min="3" max="3" style="2983" width="10.00390625" customWidth="1"/>
    <col min="4" max="4" style="2983" width="12.8515625" customWidth="1"/>
    <col min="5" max="5" style="2983" width="12.28125" customWidth="1"/>
    <col min="6" max="8" style="7435" width="12.28125" customWidth="1"/>
    <col min="9" max="9" style="7435" width="3.7109375" customWidth="1"/>
    <col min="10" max="11" style="3409" width="3.7109375" customWidth="1"/>
    <col min="12" max="12" style="3410" width="12.7109375" customWidth="1"/>
    <col min="13" max="13" style="2983" width="32.00390625" customWidth="1"/>
    <col min="14" max="14" style="2983" width="1.7109375" customWidth="1"/>
    <col min="15" max="18" style="2983" width="24.7109375" customWidth="1"/>
    <col min="19" max="19" style="2983" width="11.7109375" customWidth="1"/>
    <col min="20" max="20" style="2983" width="3.7109375" customWidth="1"/>
    <col min="21" max="21" style="2983" width="11.7109375" customWidth="1"/>
    <col min="22" max="22" style="2983" width="8.57421875" customWidth="1"/>
    <col min="23" max="23" style="2983" width="4.7109375" customWidth="1"/>
    <col min="24" max="24" style="2983"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2203</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3"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3" customFormat="1" customHeight="1" ht="22.5">
      <c r="F9" s="1267"/>
      <c r="G9" s="1267"/>
      <c r="H9" s="1267"/>
      <c r="L9" s="1306"/>
      <c r="M9" s="283" t="s">
        <v>467</v>
      </c>
      <c r="N9" s="292"/>
      <c r="O9" s="2100" t="str">
        <f>IF(TITLE_DATE_CHANGE_PERIOD="",IF(TITLE_DATE_PR="","",TITLE_DATE_PR),TITLE_DATE_CHANGE_PERIOD)</f>
        <v>45280</v>
      </c>
      <c r="P9" s="2100"/>
      <c r="Q9" s="2100"/>
      <c r="R9" s="2100"/>
      <c r="S9" s="2100"/>
      <c r="T9" s="2100"/>
      <c r="U9" s="2100"/>
      <c r="V9" s="322"/>
      <c r="W9" s="322"/>
      <c r="X9" s="268"/>
      <c r="Y9" s="368"/>
      <c r="Z9" s="368"/>
      <c r="AA9" s="368"/>
      <c r="AB9" s="368"/>
      <c r="AC9" s="368"/>
    </row>
    <row s="3343" customFormat="1" customHeight="1" ht="22.5">
      <c r="F10" s="1267"/>
      <c r="G10" s="1267"/>
      <c r="H10" s="1267"/>
      <c r="L10" s="1269"/>
      <c r="M10" s="283" t="s">
        <v>468</v>
      </c>
      <c r="N10" s="292"/>
      <c r="O10" s="2100" t="str">
        <f>IF(TITLE_NUMBER_PR_CHANGE="",IF(TITLE_NUMBER_PR="","",TITLE_NUMBER_PR),TITLE_NUMBER_PR_CHANGE)</f>
        <v>51/11</v>
      </c>
      <c r="P10" s="2100"/>
      <c r="Q10" s="2100"/>
      <c r="R10" s="2100"/>
      <c r="S10" s="2100"/>
      <c r="T10" s="2100"/>
      <c r="U10" s="2100"/>
      <c r="V10" s="322"/>
      <c r="W10" s="322"/>
      <c r="X10" s="268"/>
      <c r="Y10" s="368"/>
      <c r="Z10" s="368"/>
      <c r="AA10" s="368"/>
      <c r="AB10" s="368"/>
      <c r="AC10" s="368"/>
    </row>
    <row s="3343" customFormat="1" customHeight="1" ht="22.5">
      <c r="F11" s="1267"/>
      <c r="G11" s="1267"/>
      <c r="H11" s="1267"/>
      <c r="L11" s="1269"/>
      <c r="M11" s="283" t="s">
        <v>40</v>
      </c>
      <c r="N11" s="292"/>
      <c r="O11" s="2100" t="str">
        <f>IF(TITLE_IST_PUB_CHANGE="",IF(TITLE_IST_PUB="","",TITLE_IST_PUB),TITLE_IST_PUB_CHANGE)</f>
        <v>https://npa.gov-murman.ru/bitrix/components/b1team/govmurman.element.file/download.php?ID=508451&amp;FID=750724</v>
      </c>
      <c r="P11" s="2100"/>
      <c r="Q11" s="2100"/>
      <c r="R11" s="2100"/>
      <c r="S11" s="2100"/>
      <c r="T11" s="2100"/>
      <c r="U11" s="2100"/>
      <c r="V11" s="322"/>
      <c r="W11" s="322"/>
      <c r="X11" s="268"/>
      <c r="Y11" s="368"/>
      <c r="Z11" s="368"/>
      <c r="AA11" s="368"/>
      <c r="AB11" s="368"/>
      <c r="AC11" s="368"/>
    </row>
    <row s="3343" customFormat="1" customHeight="1" ht="11.25" hidden="1">
      <c r="F12" s="1267"/>
      <c r="G12" s="1267"/>
      <c r="H12" s="1267"/>
      <c r="L12" s="2440"/>
      <c r="M12" s="2440"/>
      <c r="N12" s="1317"/>
      <c r="O12" s="322"/>
      <c r="P12" s="322"/>
      <c r="Q12" s="322"/>
      <c r="R12" s="322"/>
      <c r="S12" s="322"/>
      <c r="T12" s="322"/>
      <c r="U12" s="322"/>
      <c r="V12" s="266" t="s">
        <v>471</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345</v>
      </c>
      <c r="M14" s="1971"/>
      <c r="N14" s="1971"/>
      <c r="O14" s="1971"/>
      <c r="P14" s="1971"/>
      <c r="Q14" s="1971"/>
      <c r="R14" s="1971"/>
      <c r="S14" s="1971"/>
      <c r="T14" s="1971"/>
      <c r="U14" s="1971"/>
      <c r="V14" s="1971"/>
      <c r="W14" s="1971"/>
      <c r="X14" s="1971" t="s">
        <v>346</v>
      </c>
    </row>
    <row customHeight="1" ht="14.25">
      <c r="J15" s="377"/>
      <c r="K15" s="377"/>
      <c r="L15" s="2125" t="s">
        <v>87</v>
      </c>
      <c r="M15" s="2062" t="s">
        <v>472</v>
      </c>
      <c r="N15" s="289"/>
      <c r="O15" s="2126" t="s">
        <v>2204</v>
      </c>
      <c r="P15" s="2127"/>
      <c r="Q15" s="2127"/>
      <c r="R15" s="2127"/>
      <c r="S15" s="2127"/>
      <c r="T15" s="2127"/>
      <c r="U15" s="2128"/>
      <c r="V15" s="2129" t="s">
        <v>474</v>
      </c>
      <c r="W15" s="2132" t="s">
        <v>1123</v>
      </c>
      <c r="X15" s="1971"/>
    </row>
    <row customHeight="1" ht="33.75">
      <c r="J16" s="377"/>
      <c r="K16" s="377"/>
      <c r="L16" s="2125"/>
      <c r="M16" s="2062"/>
      <c r="N16" s="1038"/>
      <c r="O16" s="2135" t="s">
        <v>477</v>
      </c>
      <c r="P16" s="2135" t="s">
        <v>478</v>
      </c>
      <c r="Q16" s="2118" t="s">
        <v>479</v>
      </c>
      <c r="R16" s="2120"/>
      <c r="S16" s="2118" t="s">
        <v>492</v>
      </c>
      <c r="T16" s="2119"/>
      <c r="U16" s="2120"/>
      <c r="V16" s="2130"/>
      <c r="W16" s="2133"/>
      <c r="X16" s="1971"/>
    </row>
    <row customHeight="1" ht="33.75">
      <c r="A17" s="1288" t="s">
        <v>151</v>
      </c>
      <c r="B17" s="1288" t="s">
        <v>152</v>
      </c>
      <c r="C17" s="1288" t="s">
        <v>153</v>
      </c>
      <c r="D17" s="1288" t="s">
        <v>154</v>
      </c>
      <c r="E17" s="1288"/>
      <c r="J17" s="377"/>
      <c r="K17" s="377"/>
      <c r="L17" s="2125"/>
      <c r="M17" s="2062"/>
      <c r="N17" s="290"/>
      <c r="O17" s="2136"/>
      <c r="P17" s="2136"/>
      <c r="Q17" s="1237" t="s">
        <v>488</v>
      </c>
      <c r="R17" s="1237" t="s">
        <v>489</v>
      </c>
      <c r="S17" s="1322" t="s">
        <v>490</v>
      </c>
      <c r="T17" s="2121" t="s">
        <v>491</v>
      </c>
      <c r="U17" s="2122"/>
      <c r="V17" s="2131"/>
      <c r="W17" s="2134"/>
      <c r="X17" s="1971"/>
    </row>
    <row s="2611" customFormat="1" customHeight="1" ht="11.25">
      <c r="A18" s="1288"/>
      <c r="B18" s="1288"/>
      <c r="C18" s="1288"/>
      <c r="D18" s="1288"/>
      <c r="E18" s="1288"/>
      <c r="F18" s="1316"/>
      <c r="G18" s="1316"/>
      <c r="H18" s="1316"/>
      <c r="I18" s="1264"/>
      <c r="J18" s="1265"/>
      <c r="K18" s="1280">
        <v>1</v>
      </c>
      <c r="L18" s="1307" t="s">
        <v>128</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2209</v>
      </c>
      <c r="B19" s="1296" t="s">
        <v>2210</v>
      </c>
      <c r="C19" s="1296" t="s">
        <v>2211</v>
      </c>
      <c r="D19" s="1296" t="s">
        <v>2212</v>
      </c>
      <c r="E19" s="1296"/>
      <c r="F19" s="694"/>
      <c r="G19" s="694"/>
      <c r="H19" s="694"/>
      <c r="I19" s="357"/>
      <c r="J19" s="356"/>
      <c r="K19" s="351"/>
      <c r="L19" s="1323">
        <f>INDEX(PT_DIFFERENTIATION_NUM_NTAR,MATCH(A19,PT_DIFFERENTIATION_NTAR_ID,0))</f>
      </c>
      <c r="M19" s="286" t="s">
        <v>140</v>
      </c>
      <c r="N19" s="288"/>
      <c r="O19" s="2434">
        <f>INDEX(PT_DIFFERENTIATION_NTAR,MATCH(A19,PT_DIFFERENTIATION_NTAR_ID,0))</f>
      </c>
      <c r="P19" s="2434"/>
      <c r="Q19" s="2434"/>
      <c r="R19" s="2434"/>
      <c r="S19" s="2434"/>
      <c r="T19" s="2434"/>
      <c r="U19" s="2434"/>
      <c r="V19" s="2434"/>
      <c r="W19" s="2434"/>
      <c r="X19" s="1286" t="s">
        <v>443</v>
      </c>
      <c r="Z19" s="506"/>
      <c r="AA19" s="506" t="str">
        <f>IF(M19="","",M19)</f>
        <v>Наименование тарифа</v>
      </c>
      <c r="AB19" s="506"/>
      <c r="AC19" s="506"/>
    </row>
    <row customHeight="1" ht="21">
      <c r="A20" s="1296" t="s">
        <v>2209</v>
      </c>
      <c r="B20" s="1296" t="s">
        <v>2210</v>
      </c>
      <c r="C20" s="1296" t="s">
        <v>2211</v>
      </c>
      <c r="D20" s="1296" t="s">
        <v>2212</v>
      </c>
      <c r="E20" s="1296"/>
      <c r="F20" s="694"/>
      <c r="G20" s="694"/>
      <c r="H20" s="694"/>
      <c r="I20" s="1320"/>
      <c r="J20" s="348"/>
      <c r="K20" s="349"/>
      <c r="L20" s="1323">
        <f>INDEX(PT_DIFFERENTIATION_NUM_TER,MATCH(B19,PT_DIFFERENTIATION_TER_ID,0))</f>
      </c>
      <c r="M20" s="298" t="s">
        <v>444</v>
      </c>
      <c r="N20" s="288"/>
      <c r="O20" s="2434">
        <f>INDEX(PT_DIFFERENTIATION_TER,MATCH(B19,PT_DIFFERENTIATION_TER_ID,0))</f>
      </c>
      <c r="P20" s="2434"/>
      <c r="Q20" s="2434"/>
      <c r="R20" s="2434"/>
      <c r="S20" s="2434"/>
      <c r="T20" s="2434"/>
      <c r="U20" s="2434"/>
      <c r="V20" s="2434"/>
      <c r="W20" s="2434"/>
      <c r="X20" s="1286" t="s">
        <v>445</v>
      </c>
      <c r="Z20" s="506"/>
      <c r="AA20" s="506" t="str">
        <f>IF(M20="","",M20)</f>
        <v>Территория действия тарифа</v>
      </c>
      <c r="AB20" s="506"/>
      <c r="AC20" s="506"/>
    </row>
    <row customHeight="1" ht="22.5">
      <c r="A21" s="1296" t="s">
        <v>2209</v>
      </c>
      <c r="B21" s="1296" t="s">
        <v>2210</v>
      </c>
      <c r="C21" s="1296" t="s">
        <v>2211</v>
      </c>
      <c r="D21" s="1296" t="s">
        <v>2212</v>
      </c>
      <c r="E21" s="1296"/>
      <c r="F21" s="694"/>
      <c r="G21" s="694"/>
      <c r="H21" s="694"/>
      <c r="I21" s="350"/>
      <c r="J21" s="348"/>
      <c r="K21" s="349"/>
      <c r="L21" s="1323">
        <f>INDEX(PT_DIFFERENTIATION_NUM_CS,MATCH(C19,PT_DIFFERENTIATION_CS_ID,0))</f>
      </c>
      <c r="M21" s="299" t="s">
        <v>446</v>
      </c>
      <c r="N21" s="288"/>
      <c r="O21" s="2434">
        <f>INDEX(PT_DIFFERENTIATION_CS,MATCH(C19,PT_DIFFERENTIATION_CS_ID,0))</f>
      </c>
      <c r="P21" s="2434"/>
      <c r="Q21" s="2434"/>
      <c r="R21" s="2434"/>
      <c r="S21" s="2434"/>
      <c r="T21" s="2434"/>
      <c r="U21" s="2434"/>
      <c r="V21" s="2434"/>
      <c r="W21" s="2434"/>
      <c r="X21" s="1286" t="s">
        <v>447</v>
      </c>
      <c r="Z21" s="506"/>
      <c r="AA21" s="506" t="str">
        <f>IF(M21="","",M21)</f>
        <v>Наименование системы теплоснабжения </v>
      </c>
      <c r="AB21" s="506"/>
      <c r="AC21" s="506"/>
    </row>
    <row customHeight="1" ht="21">
      <c r="A22" s="1296" t="s">
        <v>2209</v>
      </c>
      <c r="B22" s="1296" t="s">
        <v>2210</v>
      </c>
      <c r="C22" s="1296" t="s">
        <v>2211</v>
      </c>
      <c r="D22" s="1296" t="s">
        <v>2212</v>
      </c>
      <c r="E22" s="1296"/>
      <c r="F22" s="694"/>
      <c r="G22" s="694"/>
      <c r="H22" s="694"/>
      <c r="I22" s="350"/>
      <c r="J22" s="348"/>
      <c r="K22" s="349"/>
      <c r="L22" s="1323">
        <f>INDEX(PT_DIFFERENTIATION_NUM_IST_TE,MATCH(D19,PT_DIFFERENTIATION_IST_TE_ID,0))</f>
      </c>
      <c r="M22" s="300" t="s">
        <v>448</v>
      </c>
      <c r="N22" s="288"/>
      <c r="O22" s="2434">
        <f>INDEX(PT_DIFFERENTIATION_IST_TE,MATCH(D19,PT_DIFFERENTIATION_IST_TE_ID,0))</f>
      </c>
      <c r="P22" s="2434"/>
      <c r="Q22" s="2434"/>
      <c r="R22" s="2434"/>
      <c r="S22" s="2434"/>
      <c r="T22" s="2434"/>
      <c r="U22" s="2434"/>
      <c r="V22" s="2434"/>
      <c r="W22" s="2434"/>
      <c r="X22" s="1286" t="s">
        <v>449</v>
      </c>
      <c r="Z22" s="506"/>
      <c r="AA22" s="506" t="str">
        <f>IF(M22="","",M22)</f>
        <v>Источник тепловой энергии  </v>
      </c>
      <c r="AB22" s="506"/>
      <c r="AC22" s="506"/>
    </row>
    <row customHeight="1" ht="94.5">
      <c r="A23" s="1296" t="s">
        <v>2209</v>
      </c>
      <c r="B23" s="1296" t="s">
        <v>2210</v>
      </c>
      <c r="C23" s="1296" t="s">
        <v>2211</v>
      </c>
      <c r="D23" s="1296" t="s">
        <v>2212</v>
      </c>
      <c r="E23" s="1296"/>
      <c r="F23" s="1969">
        <f>L22&amp;".1"</f>
      </c>
      <c r="I23" s="2111">
        <v>1</v>
      </c>
      <c r="J23" s="1321"/>
      <c r="K23" s="352"/>
      <c r="L23" s="1323">
        <f>$F$23</f>
      </c>
      <c r="M23" s="273" t="s">
        <v>451</v>
      </c>
      <c r="N23" s="288"/>
      <c r="O23" s="2436"/>
      <c r="P23" s="2436"/>
      <c r="Q23" s="2436"/>
      <c r="R23" s="2436"/>
      <c r="S23" s="2436"/>
      <c r="T23" s="2436"/>
      <c r="U23" s="2436"/>
      <c r="V23" s="2436"/>
      <c r="W23" s="2436"/>
      <c r="X23" s="1286" t="s">
        <v>452</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2209</v>
      </c>
      <c r="B24" s="1296" t="s">
        <v>2210</v>
      </c>
      <c r="C24" s="1296" t="s">
        <v>2211</v>
      </c>
      <c r="D24" s="1296" t="s">
        <v>2212</v>
      </c>
      <c r="E24" s="1296"/>
      <c r="F24" s="1969"/>
      <c r="G24" s="1953">
        <f>F23&amp;".1"</f>
      </c>
      <c r="I24" s="2111"/>
      <c r="J24" s="2111">
        <v>1</v>
      </c>
      <c r="K24" s="353"/>
      <c r="L24" s="1323">
        <f>$G$24</f>
      </c>
      <c r="M24" s="274" t="s">
        <v>454</v>
      </c>
      <c r="N24" s="288"/>
      <c r="O24" s="2437"/>
      <c r="P24" s="2438"/>
      <c r="Q24" s="2438"/>
      <c r="R24" s="2438"/>
      <c r="S24" s="2438"/>
      <c r="T24" s="2438"/>
      <c r="U24" s="2438"/>
      <c r="V24" s="2438"/>
      <c r="W24" s="2439"/>
      <c r="X24" s="1286" t="s">
        <v>455</v>
      </c>
      <c r="Z24" s="506"/>
      <c r="AA24" s="506" t="str">
        <f>IF(M24="","",M24)</f>
        <v>Группа потребителей</v>
      </c>
      <c r="AB24" s="506"/>
      <c r="AC24" s="506"/>
    </row>
    <row customHeight="1" ht="11.25">
      <c r="A25" s="1296" t="s">
        <v>2209</v>
      </c>
      <c r="B25" s="1296" t="s">
        <v>2210</v>
      </c>
      <c r="C25" s="1296" t="s">
        <v>2211</v>
      </c>
      <c r="D25" s="1296" t="s">
        <v>2212</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457</v>
      </c>
      <c r="Y25" s="517">
        <f>STRCHECKDATE(O26:W26)</f>
      </c>
      <c r="Z25" s="506"/>
      <c r="AA25" s="506" t="str">
        <f>IF(M25="","",M25)</f>
        <v/>
      </c>
      <c r="AB25" s="506"/>
      <c r="AC25" s="506"/>
    </row>
    <row customHeight="1" ht="11.25">
      <c r="A26" s="1296" t="s">
        <v>2209</v>
      </c>
      <c r="B26" s="1296" t="s">
        <v>2210</v>
      </c>
      <c r="C26" s="1296" t="s">
        <v>2211</v>
      </c>
      <c r="D26" s="1296" t="s">
        <v>2212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2209</v>
      </c>
      <c r="B27" s="1296" t="s">
        <v>2210</v>
      </c>
      <c r="C27" s="1296" t="s">
        <v>2211</v>
      </c>
      <c r="D27" s="1296" t="s">
        <v>2212</v>
      </c>
      <c r="E27" s="1296"/>
      <c r="F27" s="1969"/>
      <c r="G27" s="1953"/>
      <c r="I27" s="2111"/>
      <c r="J27" s="2111"/>
      <c r="K27" s="352"/>
      <c r="L27" s="1308"/>
      <c r="M27" s="276" t="s">
        <v>458</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2209</v>
      </c>
      <c r="B28" s="1296" t="s">
        <v>2210</v>
      </c>
      <c r="C28" s="1296" t="s">
        <v>2211</v>
      </c>
      <c r="D28" s="1296" t="s">
        <v>2212</v>
      </c>
      <c r="E28" s="1296"/>
      <c r="F28" s="1969"/>
      <c r="I28" s="2111"/>
      <c r="J28" s="1321"/>
      <c r="K28" s="352"/>
      <c r="L28" s="1308"/>
      <c r="M28" s="275" t="s">
        <v>459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2209</v>
      </c>
      <c r="B29" s="1296" t="s">
        <v>2210</v>
      </c>
      <c r="C29" s="1296" t="s">
        <v>2211</v>
      </c>
      <c r="D29" s="1296" t="s">
        <v>2212</v>
      </c>
      <c r="E29" s="1296"/>
      <c r="F29" s="694"/>
      <c r="G29" s="694"/>
      <c r="H29" s="515"/>
      <c r="I29" s="356"/>
      <c r="J29" s="376"/>
      <c r="K29" s="351"/>
      <c r="L29" s="1308"/>
      <c r="M29" s="364" t="s">
        <v>460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2209</v>
      </c>
      <c r="B30" s="1296" t="s">
        <v>2210</v>
      </c>
      <c r="C30" s="1296" t="s">
        <v>2211</v>
      </c>
      <c r="D30" s="1296"/>
      <c r="E30" s="1296" t="s">
        <v>625</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2209</v>
      </c>
      <c r="B31" s="1296" t="s">
        <v>2210</v>
      </c>
      <c r="C31" s="1296"/>
      <c r="D31" s="1296"/>
      <c r="E31" s="1296" t="s">
        <v>2205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2213</v>
      </c>
      <c r="B32" s="1296"/>
      <c r="C32" s="1296"/>
      <c r="D32" s="1296"/>
      <c r="E32" s="1296" t="s">
        <v>123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6940" customFormat="1" customHeight="1" ht="11.25">
      <c r="A33" s="1296"/>
      <c r="B33" s="1296"/>
      <c r="C33" s="1296"/>
      <c r="D33" s="1296"/>
      <c r="E33" s="1296" t="s">
        <v>230</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757</v>
      </c>
      <c r="M35" s="2106" t="s">
        <v>2207</v>
      </c>
      <c r="N35" s="2106"/>
      <c r="O35" s="2106"/>
      <c r="P35" s="2106"/>
      <c r="Q35" s="2106"/>
      <c r="R35" s="2106"/>
      <c r="S35" s="2106"/>
      <c r="T35" s="2106"/>
      <c r="U35" s="2106"/>
      <c r="V35" s="2106"/>
      <c r="W35" s="2106"/>
      <c r="X35" s="2106"/>
    </row>
    <row customHeight="1" ht="104.25">
      <c r="F36" s="1333"/>
      <c r="G36" s="1333"/>
      <c r="H36" s="515"/>
      <c r="I36" s="1333"/>
      <c r="M36" s="2106" t="s">
        <v>2208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60A9F-1785-920C-CCEA-9138F2ACF24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3" width="10.57421875"/>
    <col min="2" max="2" style="2983" width="11.00390625" customWidth="1"/>
    <col min="3" max="3" style="2983" width="10.57421875"/>
    <col min="4" max="4" style="2983" width="11.8515625" customWidth="1"/>
    <col min="5" max="5" style="2983" width="12.28125" customWidth="1"/>
    <col min="6" max="8" style="7435" width="12.28125" customWidth="1"/>
    <col min="9" max="9" style="7435" width="3.7109375" customWidth="1"/>
    <col min="10" max="11" style="3409" width="3.7109375" customWidth="1"/>
    <col min="12" max="12" style="3410" width="12.7109375" customWidth="1"/>
    <col min="13" max="13" style="2983" width="32.00390625" customWidth="1"/>
    <col min="14" max="14" style="2983" width="1.7109375" customWidth="1"/>
    <col min="15" max="18" style="2983" width="24.7109375" customWidth="1"/>
    <col min="19" max="19" style="2983" width="11.7109375" customWidth="1"/>
    <col min="20" max="20" style="2983" width="3.7109375" customWidth="1"/>
    <col min="21" max="21" style="2983" width="11.7109375" customWidth="1"/>
    <col min="22" max="22" style="2983" width="8.57421875" customWidth="1"/>
    <col min="23" max="23" style="2983" width="4.7109375" customWidth="1"/>
    <col min="24" max="24" style="2983"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2203</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3"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3" customFormat="1" customHeight="1" ht="22.5">
      <c r="F9" s="1267"/>
      <c r="G9" s="1267"/>
      <c r="H9" s="1267"/>
      <c r="L9" s="1306"/>
      <c r="M9" s="283" t="s">
        <v>467</v>
      </c>
      <c r="N9" s="292"/>
      <c r="O9" s="2100" t="str">
        <f>IF(TITLE_DATE_CHANGE_PERIOD="",IF(TITLE_DATE_PR="","",TITLE_DATE_PR),TITLE_DATE_CHANGE_PERIOD)</f>
        <v>45280</v>
      </c>
      <c r="P9" s="2100"/>
      <c r="Q9" s="2100"/>
      <c r="R9" s="2100"/>
      <c r="S9" s="2100"/>
      <c r="T9" s="2100"/>
      <c r="U9" s="2100"/>
      <c r="V9" s="322"/>
      <c r="W9" s="322"/>
      <c r="X9" s="268"/>
      <c r="Y9" s="368"/>
      <c r="Z9" s="368"/>
      <c r="AA9" s="368"/>
      <c r="AB9" s="368"/>
      <c r="AC9" s="368"/>
    </row>
    <row s="3343" customFormat="1" customHeight="1" ht="22.5">
      <c r="F10" s="1267"/>
      <c r="G10" s="1267"/>
      <c r="H10" s="1267"/>
      <c r="L10" s="1269"/>
      <c r="M10" s="283" t="s">
        <v>468</v>
      </c>
      <c r="N10" s="292"/>
      <c r="O10" s="2100" t="str">
        <f>IF(TITLE_NUMBER_PR_CHANGE="",IF(TITLE_NUMBER_PR="","",TITLE_NUMBER_PR),TITLE_NUMBER_PR_CHANGE)</f>
        <v>51/11</v>
      </c>
      <c r="P10" s="2100"/>
      <c r="Q10" s="2100"/>
      <c r="R10" s="2100"/>
      <c r="S10" s="2100"/>
      <c r="T10" s="2100"/>
      <c r="U10" s="2100"/>
      <c r="V10" s="322"/>
      <c r="W10" s="322"/>
      <c r="X10" s="268"/>
      <c r="Y10" s="368"/>
      <c r="Z10" s="368"/>
      <c r="AA10" s="368"/>
      <c r="AB10" s="368"/>
      <c r="AC10" s="368"/>
    </row>
    <row s="3343" customFormat="1" customHeight="1" ht="22.5">
      <c r="F11" s="1267"/>
      <c r="G11" s="1267"/>
      <c r="H11" s="1267"/>
      <c r="L11" s="1269"/>
      <c r="M11" s="283" t="s">
        <v>40</v>
      </c>
      <c r="N11" s="292"/>
      <c r="O11" s="2100" t="str">
        <f>IF(TITLE_IST_PUB_CHANGE="",IF(TITLE_IST_PUB="","",TITLE_IST_PUB),TITLE_IST_PUB_CHANGE)</f>
        <v>https://npa.gov-murman.ru/bitrix/components/b1team/govmurman.element.file/download.php?ID=508451&amp;FID=750724</v>
      </c>
      <c r="P11" s="2100"/>
      <c r="Q11" s="2100"/>
      <c r="R11" s="2100"/>
      <c r="S11" s="2100"/>
      <c r="T11" s="2100"/>
      <c r="U11" s="2100"/>
      <c r="V11" s="322"/>
      <c r="W11" s="322"/>
      <c r="X11" s="268"/>
      <c r="Y11" s="368"/>
      <c r="Z11" s="368"/>
      <c r="AA11" s="368"/>
      <c r="AB11" s="368"/>
      <c r="AC11" s="368"/>
    </row>
    <row s="3343" customFormat="1" customHeight="1" ht="11.25" hidden="1">
      <c r="F12" s="1267"/>
      <c r="G12" s="1267"/>
      <c r="H12" s="1267"/>
      <c r="L12" s="2440"/>
      <c r="M12" s="2440"/>
      <c r="N12" s="1317"/>
      <c r="O12" s="322"/>
      <c r="P12" s="322"/>
      <c r="Q12" s="322"/>
      <c r="R12" s="322"/>
      <c r="S12" s="322"/>
      <c r="T12" s="322"/>
      <c r="U12" s="322"/>
      <c r="V12" s="266" t="s">
        <v>471</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345</v>
      </c>
      <c r="M14" s="1971"/>
      <c r="N14" s="1971"/>
      <c r="O14" s="1971"/>
      <c r="P14" s="1971"/>
      <c r="Q14" s="1971"/>
      <c r="R14" s="1971"/>
      <c r="S14" s="1971"/>
      <c r="T14" s="1971"/>
      <c r="U14" s="1971"/>
      <c r="V14" s="1971"/>
      <c r="W14" s="1971"/>
      <c r="X14" s="1971" t="s">
        <v>346</v>
      </c>
    </row>
    <row customHeight="1" ht="14.25">
      <c r="J15" s="377"/>
      <c r="K15" s="377"/>
      <c r="L15" s="2125" t="s">
        <v>87</v>
      </c>
      <c r="M15" s="2062" t="s">
        <v>472</v>
      </c>
      <c r="N15" s="289"/>
      <c r="O15" s="2126" t="s">
        <v>2204</v>
      </c>
      <c r="P15" s="2127"/>
      <c r="Q15" s="2127"/>
      <c r="R15" s="2127"/>
      <c r="S15" s="2127"/>
      <c r="T15" s="2127"/>
      <c r="U15" s="2128"/>
      <c r="V15" s="2129" t="s">
        <v>474</v>
      </c>
      <c r="W15" s="2132" t="s">
        <v>1123</v>
      </c>
      <c r="X15" s="1971"/>
    </row>
    <row customHeight="1" ht="33.75">
      <c r="J16" s="377"/>
      <c r="K16" s="377"/>
      <c r="L16" s="2125"/>
      <c r="M16" s="2062"/>
      <c r="N16" s="1038"/>
      <c r="O16" s="2135" t="s">
        <v>477</v>
      </c>
      <c r="P16" s="2135" t="s">
        <v>478</v>
      </c>
      <c r="Q16" s="2118" t="s">
        <v>479</v>
      </c>
      <c r="R16" s="2120"/>
      <c r="S16" s="2118" t="s">
        <v>492</v>
      </c>
      <c r="T16" s="2119"/>
      <c r="U16" s="2120"/>
      <c r="V16" s="2130"/>
      <c r="W16" s="2133"/>
      <c r="X16" s="1971"/>
    </row>
    <row customHeight="1" ht="33.75">
      <c r="A17" s="1288" t="s">
        <v>151</v>
      </c>
      <c r="B17" s="1288" t="s">
        <v>152</v>
      </c>
      <c r="C17" s="1288" t="s">
        <v>153</v>
      </c>
      <c r="D17" s="1288" t="s">
        <v>154</v>
      </c>
      <c r="E17" s="1288"/>
      <c r="J17" s="377"/>
      <c r="K17" s="377"/>
      <c r="L17" s="2125"/>
      <c r="M17" s="2062"/>
      <c r="N17" s="290"/>
      <c r="O17" s="2136"/>
      <c r="P17" s="2136"/>
      <c r="Q17" s="1237" t="s">
        <v>488</v>
      </c>
      <c r="R17" s="1237" t="s">
        <v>489</v>
      </c>
      <c r="S17" s="1322" t="s">
        <v>490</v>
      </c>
      <c r="T17" s="2121" t="s">
        <v>491</v>
      </c>
      <c r="U17" s="2122"/>
      <c r="V17" s="2131"/>
      <c r="W17" s="2134"/>
      <c r="X17" s="1971"/>
    </row>
    <row s="2611" customFormat="1" customHeight="1" ht="11.25">
      <c r="A18" s="1288"/>
      <c r="B18" s="1288"/>
      <c r="C18" s="1288"/>
      <c r="D18" s="1288"/>
      <c r="E18" s="1288"/>
      <c r="F18" s="1316"/>
      <c r="G18" s="1316"/>
      <c r="H18" s="1316"/>
      <c r="I18" s="1264"/>
      <c r="J18" s="1265"/>
      <c r="K18" s="1280">
        <v>1</v>
      </c>
      <c r="L18" s="1307" t="s">
        <v>128</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2214</v>
      </c>
      <c r="B19" s="1296" t="s">
        <v>2215</v>
      </c>
      <c r="C19" s="1296" t="s">
        <v>2216</v>
      </c>
      <c r="D19" s="1296" t="s">
        <v>2217</v>
      </c>
      <c r="E19" s="1296"/>
      <c r="F19" s="694"/>
      <c r="G19" s="694"/>
      <c r="H19" s="694"/>
      <c r="I19" s="357"/>
      <c r="J19" s="356"/>
      <c r="K19" s="351"/>
      <c r="L19" s="1323">
        <f>INDEX(PT_DIFFERENTIATION_NUM_NTAR,MATCH(A19,PT_DIFFERENTIATION_NTAR_ID,0))</f>
      </c>
      <c r="M19" s="286" t="s">
        <v>140</v>
      </c>
      <c r="N19" s="288"/>
      <c r="O19" s="2434">
        <f>INDEX(PT_DIFFERENTIATION_NTAR,MATCH(A19,PT_DIFFERENTIATION_NTAR_ID,0))</f>
      </c>
      <c r="P19" s="2434"/>
      <c r="Q19" s="2434"/>
      <c r="R19" s="2434"/>
      <c r="S19" s="2434"/>
      <c r="T19" s="2434"/>
      <c r="U19" s="2434"/>
      <c r="V19" s="2434"/>
      <c r="W19" s="2434"/>
      <c r="X19" s="1286" t="s">
        <v>443</v>
      </c>
      <c r="Z19" s="506"/>
      <c r="AA19" s="506" t="str">
        <f>IF(M19="","",M19)</f>
        <v>Наименование тарифа</v>
      </c>
      <c r="AB19" s="506"/>
      <c r="AC19" s="506"/>
    </row>
    <row customHeight="1" ht="21">
      <c r="A20" s="1296" t="s">
        <v>2214</v>
      </c>
      <c r="B20" s="1296" t="s">
        <v>2215</v>
      </c>
      <c r="C20" s="1296" t="s">
        <v>2216</v>
      </c>
      <c r="D20" s="1296" t="s">
        <v>2217</v>
      </c>
      <c r="E20" s="1296"/>
      <c r="F20" s="694"/>
      <c r="G20" s="694"/>
      <c r="H20" s="694"/>
      <c r="I20" s="1320"/>
      <c r="J20" s="348"/>
      <c r="K20" s="349"/>
      <c r="L20" s="1323">
        <f>INDEX(PT_DIFFERENTIATION_NUM_TER,MATCH(B19,PT_DIFFERENTIATION_TER_ID,0))</f>
      </c>
      <c r="M20" s="298" t="s">
        <v>444</v>
      </c>
      <c r="N20" s="288"/>
      <c r="O20" s="2434">
        <f>INDEX(PT_DIFFERENTIATION_TER,MATCH(B19,PT_DIFFERENTIATION_TER_ID,0))</f>
      </c>
      <c r="P20" s="2434"/>
      <c r="Q20" s="2434"/>
      <c r="R20" s="2434"/>
      <c r="S20" s="2434"/>
      <c r="T20" s="2434"/>
      <c r="U20" s="2434"/>
      <c r="V20" s="2434"/>
      <c r="W20" s="2434"/>
      <c r="X20" s="1286" t="s">
        <v>445</v>
      </c>
      <c r="Z20" s="506"/>
      <c r="AA20" s="506" t="str">
        <f>IF(M20="","",M20)</f>
        <v>Территория действия тарифа</v>
      </c>
      <c r="AB20" s="506"/>
      <c r="AC20" s="506"/>
    </row>
    <row customHeight="1" ht="22.5">
      <c r="A21" s="1296" t="s">
        <v>2214</v>
      </c>
      <c r="B21" s="1296" t="s">
        <v>2215</v>
      </c>
      <c r="C21" s="1296" t="s">
        <v>2216</v>
      </c>
      <c r="D21" s="1296" t="s">
        <v>2217</v>
      </c>
      <c r="E21" s="1296"/>
      <c r="F21" s="694"/>
      <c r="G21" s="694"/>
      <c r="H21" s="694"/>
      <c r="I21" s="350"/>
      <c r="J21" s="348"/>
      <c r="K21" s="349"/>
      <c r="L21" s="1323">
        <f>INDEX(PT_DIFFERENTIATION_NUM_CS,MATCH(C19,PT_DIFFERENTIATION_CS_ID,0))</f>
      </c>
      <c r="M21" s="299" t="s">
        <v>446</v>
      </c>
      <c r="N21" s="288"/>
      <c r="O21" s="2434">
        <f>INDEX(PT_DIFFERENTIATION_CS,MATCH(C19,PT_DIFFERENTIATION_CS_ID,0))</f>
      </c>
      <c r="P21" s="2434"/>
      <c r="Q21" s="2434"/>
      <c r="R21" s="2434"/>
      <c r="S21" s="2434"/>
      <c r="T21" s="2434"/>
      <c r="U21" s="2434"/>
      <c r="V21" s="2434"/>
      <c r="W21" s="2434"/>
      <c r="X21" s="1286" t="s">
        <v>447</v>
      </c>
      <c r="Z21" s="506"/>
      <c r="AA21" s="506" t="str">
        <f>IF(M21="","",M21)</f>
        <v>Наименование системы теплоснабжения </v>
      </c>
      <c r="AB21" s="506"/>
      <c r="AC21" s="506"/>
    </row>
    <row customHeight="1" ht="21">
      <c r="A22" s="1296" t="s">
        <v>2214</v>
      </c>
      <c r="B22" s="1296" t="s">
        <v>2215</v>
      </c>
      <c r="C22" s="1296" t="s">
        <v>2216</v>
      </c>
      <c r="D22" s="1296" t="s">
        <v>2217</v>
      </c>
      <c r="E22" s="1296"/>
      <c r="F22" s="694"/>
      <c r="G22" s="694"/>
      <c r="H22" s="694"/>
      <c r="I22" s="350"/>
      <c r="J22" s="348"/>
      <c r="K22" s="349"/>
      <c r="L22" s="1323">
        <f>INDEX(PT_DIFFERENTIATION_NUM_IST_TE,MATCH(D19,PT_DIFFERENTIATION_IST_TE_ID,0))</f>
      </c>
      <c r="M22" s="300" t="s">
        <v>448</v>
      </c>
      <c r="N22" s="288"/>
      <c r="O22" s="2434">
        <f>INDEX(PT_DIFFERENTIATION_IST_TE,MATCH(D19,PT_DIFFERENTIATION_IST_TE_ID,0))</f>
      </c>
      <c r="P22" s="2434"/>
      <c r="Q22" s="2434"/>
      <c r="R22" s="2434"/>
      <c r="S22" s="2434"/>
      <c r="T22" s="2434"/>
      <c r="U22" s="2434"/>
      <c r="V22" s="2434"/>
      <c r="W22" s="2434"/>
      <c r="X22" s="1286" t="s">
        <v>449</v>
      </c>
      <c r="Z22" s="506"/>
      <c r="AA22" s="506" t="str">
        <f>IF(M22="","",M22)</f>
        <v>Источник тепловой энергии  </v>
      </c>
      <c r="AB22" s="506"/>
      <c r="AC22" s="506"/>
    </row>
    <row customHeight="1" ht="94.5">
      <c r="A23" s="1296" t="s">
        <v>2214</v>
      </c>
      <c r="B23" s="1296" t="s">
        <v>2215</v>
      </c>
      <c r="C23" s="1296" t="s">
        <v>2216</v>
      </c>
      <c r="D23" s="1296" t="s">
        <v>2217</v>
      </c>
      <c r="E23" s="1296"/>
      <c r="F23" s="1969">
        <f>L22&amp;".1"</f>
      </c>
      <c r="I23" s="2111">
        <v>1</v>
      </c>
      <c r="J23" s="1321"/>
      <c r="K23" s="352"/>
      <c r="L23" s="1323">
        <f>$F$23</f>
      </c>
      <c r="M23" s="273" t="s">
        <v>451</v>
      </c>
      <c r="N23" s="288"/>
      <c r="O23" s="2436"/>
      <c r="P23" s="2436"/>
      <c r="Q23" s="2436"/>
      <c r="R23" s="2436"/>
      <c r="S23" s="2436"/>
      <c r="T23" s="2436"/>
      <c r="U23" s="2436"/>
      <c r="V23" s="2436"/>
      <c r="W23" s="2436"/>
      <c r="X23" s="1286" t="s">
        <v>452</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2214</v>
      </c>
      <c r="B24" s="1296" t="s">
        <v>2215</v>
      </c>
      <c r="C24" s="1296" t="s">
        <v>2216</v>
      </c>
      <c r="D24" s="1296" t="s">
        <v>2217</v>
      </c>
      <c r="E24" s="1296"/>
      <c r="F24" s="1969"/>
      <c r="G24" s="1953">
        <f>F23&amp;".1"</f>
      </c>
      <c r="I24" s="2111"/>
      <c r="J24" s="2111">
        <v>1</v>
      </c>
      <c r="K24" s="353"/>
      <c r="L24" s="1323">
        <f>$G$24</f>
      </c>
      <c r="M24" s="274" t="s">
        <v>454</v>
      </c>
      <c r="N24" s="288"/>
      <c r="O24" s="2437"/>
      <c r="P24" s="2438"/>
      <c r="Q24" s="2438"/>
      <c r="R24" s="2438"/>
      <c r="S24" s="2438"/>
      <c r="T24" s="2438"/>
      <c r="U24" s="2438"/>
      <c r="V24" s="2438"/>
      <c r="W24" s="2439"/>
      <c r="X24" s="1286" t="s">
        <v>455</v>
      </c>
      <c r="Z24" s="506"/>
      <c r="AA24" s="506" t="str">
        <f>IF(M24="","",M24)</f>
        <v>Группа потребителей</v>
      </c>
      <c r="AB24" s="506"/>
      <c r="AC24" s="506"/>
    </row>
    <row customHeight="1" ht="11.25">
      <c r="A25" s="1296" t="s">
        <v>2214</v>
      </c>
      <c r="B25" s="1296" t="s">
        <v>2215</v>
      </c>
      <c r="C25" s="1296" t="s">
        <v>2216</v>
      </c>
      <c r="D25" s="1296" t="s">
        <v>2217</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457</v>
      </c>
      <c r="Y25" s="517">
        <f>STRCHECKDATE(O26:W26)</f>
      </c>
      <c r="Z25" s="506"/>
      <c r="AA25" s="506" t="str">
        <f>IF(M25="","",M25)</f>
        <v/>
      </c>
      <c r="AB25" s="506"/>
      <c r="AC25" s="506"/>
    </row>
    <row customHeight="1" ht="11.25">
      <c r="A26" s="1296" t="s">
        <v>2214</v>
      </c>
      <c r="B26" s="1296" t="s">
        <v>2215</v>
      </c>
      <c r="C26" s="1296" t="s">
        <v>2216</v>
      </c>
      <c r="D26" s="1296" t="s">
        <v>2217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2214</v>
      </c>
      <c r="B27" s="1296" t="s">
        <v>2215</v>
      </c>
      <c r="C27" s="1296" t="s">
        <v>2216</v>
      </c>
      <c r="D27" s="1296" t="s">
        <v>2217</v>
      </c>
      <c r="E27" s="1296"/>
      <c r="F27" s="1969"/>
      <c r="G27" s="1953"/>
      <c r="I27" s="2111"/>
      <c r="J27" s="2111"/>
      <c r="K27" s="352"/>
      <c r="L27" s="1308"/>
      <c r="M27" s="276" t="s">
        <v>458</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2214</v>
      </c>
      <c r="B28" s="1296" t="s">
        <v>2215</v>
      </c>
      <c r="C28" s="1296" t="s">
        <v>2216</v>
      </c>
      <c r="D28" s="1296" t="s">
        <v>2217</v>
      </c>
      <c r="E28" s="1296"/>
      <c r="F28" s="1969"/>
      <c r="I28" s="2111"/>
      <c r="J28" s="1321"/>
      <c r="K28" s="352"/>
      <c r="L28" s="1308"/>
      <c r="M28" s="275" t="s">
        <v>459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2214</v>
      </c>
      <c r="B29" s="1296" t="s">
        <v>2215</v>
      </c>
      <c r="C29" s="1296" t="s">
        <v>2216</v>
      </c>
      <c r="D29" s="1296" t="s">
        <v>2217</v>
      </c>
      <c r="E29" s="1296"/>
      <c r="F29" s="694"/>
      <c r="G29" s="694"/>
      <c r="H29" s="515"/>
      <c r="I29" s="356"/>
      <c r="J29" s="376"/>
      <c r="K29" s="351"/>
      <c r="L29" s="1308"/>
      <c r="M29" s="364" t="s">
        <v>460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2214</v>
      </c>
      <c r="B30" s="1296" t="s">
        <v>2215</v>
      </c>
      <c r="C30" s="1296" t="s">
        <v>2216</v>
      </c>
      <c r="D30" s="1296"/>
      <c r="E30" s="1296" t="s">
        <v>625</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2214</v>
      </c>
      <c r="B31" s="1296" t="s">
        <v>2215</v>
      </c>
      <c r="C31" s="1296"/>
      <c r="D31" s="1296"/>
      <c r="E31" s="1296" t="s">
        <v>2205</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2218</v>
      </c>
      <c r="B32" s="1296"/>
      <c r="C32" s="1296"/>
      <c r="D32" s="1296"/>
      <c r="E32" s="1296" t="s">
        <v>123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6940" customFormat="1" customHeight="1" ht="11.25">
      <c r="A33" s="1296"/>
      <c r="B33" s="1296"/>
      <c r="C33" s="1296"/>
      <c r="D33" s="1296"/>
      <c r="E33" s="1296" t="s">
        <v>230</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757</v>
      </c>
      <c r="M35" s="2106" t="s">
        <v>2207</v>
      </c>
      <c r="N35" s="2106"/>
      <c r="O35" s="2106"/>
      <c r="P35" s="2106"/>
      <c r="Q35" s="2106"/>
      <c r="R35" s="2106"/>
      <c r="S35" s="2106"/>
      <c r="T35" s="2106"/>
      <c r="U35" s="2106"/>
      <c r="V35" s="2106"/>
      <c r="W35" s="2106"/>
      <c r="X35" s="2106"/>
    </row>
    <row customHeight="1" ht="104.25">
      <c r="F36" s="1333"/>
      <c r="G36" s="1333"/>
      <c r="H36" s="515"/>
      <c r="I36" s="1333"/>
      <c r="M36" s="2106" t="s">
        <v>2208</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D3FBF-6607-86D8-7473-5C2F673420FF}"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631" width="9.140625" customWidth="1"/>
    <col min="9" max="9" style="3408" width="3.7109375" customWidth="1"/>
    <col min="10" max="11" style="3409" width="3.7109375" customWidth="1"/>
    <col min="12" max="12" style="2983" width="12.7109375" customWidth="1"/>
    <col min="13" max="13" style="2983" width="47.421875" customWidth="1"/>
    <col min="14" max="14" style="2983" width="2.7109375" hidden="1" customWidth="1"/>
    <col min="15" max="18" style="2983" width="23.7109375" customWidth="1"/>
    <col min="19" max="19" style="2983" width="11.7109375" customWidth="1"/>
    <col min="20" max="20" style="2983" width="3.7109375" customWidth="1"/>
    <col min="21" max="21" style="2983" width="11.7109375" customWidth="1"/>
    <col min="22" max="22" style="2983" width="8.57421875" hidden="1" customWidth="1"/>
    <col min="23" max="23" style="2983" width="4.7109375" customWidth="1"/>
    <col min="24" max="24" style="2983"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2219</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43"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43" customFormat="1" customHeight="1" ht="18.75">
      <c r="A8" s="368"/>
      <c r="B8" s="368"/>
      <c r="C8" s="368"/>
      <c r="D8" s="368"/>
      <c r="E8" s="368"/>
      <c r="F8" s="368"/>
      <c r="G8" s="368"/>
      <c r="H8" s="368"/>
      <c r="L8" s="265"/>
      <c r="M8" s="283" t="s">
        <v>467</v>
      </c>
      <c r="N8" s="292"/>
      <c r="O8" s="2449">
        <f>IF(datePr_ch="",IF(datePr="","",datePr),datePr_ch)</f>
      </c>
      <c r="P8" s="2450"/>
      <c r="Q8" s="2450"/>
      <c r="R8" s="2450"/>
      <c r="S8" s="2450"/>
      <c r="T8" s="2451"/>
      <c r="U8" s="1266"/>
      <c r="Y8" s="368"/>
      <c r="Z8" s="368"/>
      <c r="AA8" s="368"/>
      <c r="AB8" s="368"/>
      <c r="AC8" s="368"/>
    </row>
    <row s="3343" customFormat="1" customHeight="1" ht="18.75">
      <c r="A9" s="368"/>
      <c r="B9" s="368"/>
      <c r="C9" s="368"/>
      <c r="D9" s="368"/>
      <c r="E9" s="368"/>
      <c r="F9" s="368"/>
      <c r="G9" s="368"/>
      <c r="H9" s="368"/>
      <c r="L9" s="318"/>
      <c r="M9" s="283" t="s">
        <v>468</v>
      </c>
      <c r="N9" s="292"/>
      <c r="O9" s="2449">
        <f>IF(numberPr_ch="",IF(numberPr="","",numberPr),numberPr_ch)</f>
      </c>
      <c r="P9" s="2450"/>
      <c r="Q9" s="2450"/>
      <c r="R9" s="2450"/>
      <c r="S9" s="2450"/>
      <c r="T9" s="2451"/>
      <c r="U9" s="1266"/>
      <c r="Y9" s="368"/>
      <c r="Z9" s="368"/>
      <c r="AA9" s="368"/>
      <c r="AB9" s="368"/>
      <c r="AC9" s="368"/>
    </row>
    <row s="3343"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55" customFormat="1" customHeight="1" ht="18.75" hidden="1">
      <c r="A11" s="1270"/>
      <c r="B11" s="1270"/>
      <c r="C11" s="1270"/>
      <c r="D11" s="1270"/>
      <c r="E11" s="1270"/>
      <c r="F11" s="1270"/>
      <c r="G11" s="1270"/>
      <c r="H11" s="1270"/>
      <c r="L11" s="318"/>
      <c r="M11" s="315"/>
      <c r="O11" s="1271"/>
      <c r="P11" s="1271"/>
      <c r="Q11" s="368" t="s">
        <v>2220</v>
      </c>
      <c r="R11" s="368" t="s">
        <v>2221</v>
      </c>
      <c r="S11" s="1271"/>
      <c r="T11" s="1271"/>
      <c r="U11" s="1266"/>
      <c r="Y11" s="1270"/>
      <c r="Z11" s="1270"/>
      <c r="AA11" s="1270"/>
      <c r="AB11" s="1270"/>
      <c r="AC11" s="1270"/>
    </row>
    <row s="3343"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471</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345</v>
      </c>
      <c r="M14" s="1971"/>
      <c r="N14" s="1971"/>
      <c r="O14" s="1971"/>
      <c r="P14" s="1971"/>
      <c r="Q14" s="1971"/>
      <c r="R14" s="1971"/>
      <c r="S14" s="1971"/>
      <c r="T14" s="1971"/>
      <c r="U14" s="1971"/>
      <c r="V14" s="1971"/>
      <c r="W14" s="1971"/>
      <c r="X14" s="1971" t="s">
        <v>346</v>
      </c>
    </row>
    <row customHeight="1" ht="14.25">
      <c r="J15" s="377"/>
      <c r="K15" s="377"/>
      <c r="L15" s="2062" t="s">
        <v>87</v>
      </c>
      <c r="M15" s="2062" t="s">
        <v>2222</v>
      </c>
      <c r="N15" s="1232"/>
      <c r="O15" s="2062" t="s">
        <v>2223</v>
      </c>
      <c r="P15" s="2061" t="s">
        <v>2224</v>
      </c>
      <c r="Q15" s="2061" t="s">
        <v>2204</v>
      </c>
      <c r="R15" s="2061"/>
      <c r="S15" s="2061"/>
      <c r="T15" s="2061"/>
      <c r="U15" s="2061"/>
      <c r="V15" s="2062" t="s">
        <v>474</v>
      </c>
      <c r="W15" s="2447" t="s">
        <v>1123</v>
      </c>
      <c r="X15" s="1971"/>
    </row>
    <row customHeight="1" ht="25.5">
      <c r="J16" s="377"/>
      <c r="K16" s="377"/>
      <c r="L16" s="2062"/>
      <c r="M16" s="2062"/>
      <c r="N16" s="1232"/>
      <c r="O16" s="2062"/>
      <c r="P16" s="2061"/>
      <c r="Q16" s="2061" t="s">
        <v>2225</v>
      </c>
      <c r="R16" s="2061"/>
      <c r="S16" s="2153" t="s">
        <v>492</v>
      </c>
      <c r="T16" s="2153"/>
      <c r="U16" s="2153"/>
      <c r="V16" s="2062"/>
      <c r="W16" s="2447"/>
      <c r="X16" s="1971"/>
    </row>
    <row customHeight="1" ht="14.25">
      <c r="J17" s="377"/>
      <c r="K17" s="377"/>
      <c r="L17" s="2062"/>
      <c r="M17" s="2062"/>
      <c r="N17" s="1232"/>
      <c r="O17" s="2062"/>
      <c r="P17" s="2061"/>
      <c r="Q17" s="1232" t="s">
        <v>525</v>
      </c>
      <c r="R17" s="1232" t="s">
        <v>526</v>
      </c>
      <c r="S17" s="1236" t="s">
        <v>490</v>
      </c>
      <c r="T17" s="2444" t="s">
        <v>491</v>
      </c>
      <c r="U17" s="2444"/>
      <c r="V17" s="2062"/>
      <c r="W17" s="2447"/>
      <c r="X17" s="1971"/>
    </row>
    <row customHeight="1" ht="14.25">
      <c r="J18" s="377"/>
      <c r="K18" s="279">
        <v>1</v>
      </c>
      <c r="L18" s="454" t="s">
        <v>128</v>
      </c>
      <c r="M18" s="454" t="s">
        <v>102</v>
      </c>
      <c r="N18" s="1268" t="s">
        <v>102</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140</v>
      </c>
      <c r="N19" s="305"/>
      <c r="O19" s="2331"/>
      <c r="P19" s="2331"/>
      <c r="Q19" s="2331"/>
      <c r="R19" s="2331"/>
      <c r="S19" s="2331"/>
      <c r="T19" s="2331"/>
      <c r="U19" s="2331"/>
      <c r="V19" s="2331"/>
      <c r="W19" s="2331"/>
      <c r="X19" s="341" t="s">
        <v>443</v>
      </c>
    </row>
    <row customHeight="1" ht="22.5">
      <c r="A20" s="2111"/>
      <c r="B20" s="2111">
        <v>1</v>
      </c>
      <c r="C20" s="524"/>
      <c r="D20" s="524"/>
      <c r="E20" s="524"/>
      <c r="F20" s="524"/>
      <c r="G20" s="386"/>
      <c r="H20" s="1235"/>
      <c r="I20" s="359"/>
      <c r="J20" s="1242"/>
      <c r="K20" s="1163"/>
      <c r="L20" s="1241">
        <f>MERGEVALUE(A20)&amp;"."&amp;MERGEVALUE(B20)</f>
      </c>
      <c r="M20" s="298" t="s">
        <v>444</v>
      </c>
      <c r="N20" s="305"/>
      <c r="O20" s="2331"/>
      <c r="P20" s="2331"/>
      <c r="Q20" s="2331"/>
      <c r="R20" s="2331"/>
      <c r="S20" s="2331"/>
      <c r="T20" s="2331"/>
      <c r="U20" s="2331"/>
      <c r="V20" s="2331"/>
      <c r="W20" s="2331"/>
      <c r="X20" s="341" t="s">
        <v>445</v>
      </c>
    </row>
    <row customHeight="1" ht="22.5">
      <c r="A21" s="2111"/>
      <c r="B21" s="2111"/>
      <c r="C21" s="2111">
        <v>1</v>
      </c>
      <c r="D21" s="524"/>
      <c r="E21" s="524"/>
      <c r="F21" s="524"/>
      <c r="G21" s="386"/>
      <c r="H21" s="1235"/>
      <c r="I21" s="360"/>
      <c r="J21" s="1242"/>
      <c r="K21" s="1163"/>
      <c r="L21" s="1241">
        <f>MERGEVALUE(A21)&amp;"."&amp;MERGEVALUE(B21)&amp;"."&amp;MERGEVALUE(C21)</f>
      </c>
      <c r="M21" s="299" t="s">
        <v>446</v>
      </c>
      <c r="N21" s="305"/>
      <c r="O21" s="2331"/>
      <c r="P21" s="2331"/>
      <c r="Q21" s="2331"/>
      <c r="R21" s="2331"/>
      <c r="S21" s="2331"/>
      <c r="T21" s="2331"/>
      <c r="U21" s="2331"/>
      <c r="V21" s="2331"/>
      <c r="W21" s="2331"/>
      <c r="X21" s="341" t="s">
        <v>447</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448</v>
      </c>
      <c r="N22" s="305"/>
      <c r="O22" s="2331"/>
      <c r="P22" s="2331"/>
      <c r="Q22" s="2331"/>
      <c r="R22" s="2331"/>
      <c r="S22" s="2331"/>
      <c r="T22" s="2331"/>
      <c r="U22" s="2331"/>
      <c r="V22" s="2331"/>
      <c r="W22" s="2331"/>
      <c r="X22" s="333" t="s">
        <v>2226</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2227</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514</v>
      </c>
      <c r="N25" s="363"/>
      <c r="O25" s="317"/>
      <c r="P25" s="317"/>
      <c r="Q25" s="317"/>
      <c r="R25" s="317"/>
      <c r="S25" s="321"/>
      <c r="T25" s="367"/>
      <c r="U25" s="366"/>
      <c r="V25" s="363"/>
      <c r="W25" s="363"/>
      <c r="X25" s="2017"/>
    </row>
    <row s="6940" customFormat="1" customHeight="1" ht="14.25">
      <c r="A26" s="2111"/>
      <c r="B26" s="2111"/>
      <c r="C26" s="2111"/>
      <c r="D26" s="385"/>
      <c r="E26" s="385"/>
      <c r="F26" s="385"/>
      <c r="G26" s="386"/>
      <c r="H26" s="385"/>
      <c r="I26" s="360"/>
      <c r="J26" s="376"/>
      <c r="K26" s="378"/>
      <c r="L26" s="297"/>
      <c r="M26" s="372" t="s">
        <v>625</v>
      </c>
      <c r="N26" s="363"/>
      <c r="O26" s="317"/>
      <c r="P26" s="317"/>
      <c r="Q26" s="317"/>
      <c r="R26" s="317"/>
      <c r="S26" s="321"/>
      <c r="T26" s="367"/>
      <c r="U26" s="366"/>
      <c r="V26" s="363"/>
      <c r="W26" s="367"/>
      <c r="X26" s="1277"/>
      <c r="Y26" s="383"/>
      <c r="Z26" s="383"/>
      <c r="AA26" s="383"/>
      <c r="AB26" s="383"/>
      <c r="AC26" s="383"/>
    </row>
    <row s="6940" customFormat="1" customHeight="1" ht="14.25">
      <c r="A27" s="2111"/>
      <c r="B27" s="2111"/>
      <c r="C27" s="385"/>
      <c r="D27" s="385"/>
      <c r="E27" s="385"/>
      <c r="F27" s="385"/>
      <c r="G27" s="386"/>
      <c r="H27" s="385"/>
      <c r="I27" s="356"/>
      <c r="J27" s="376"/>
      <c r="K27" s="378"/>
      <c r="L27" s="297"/>
      <c r="M27" s="363" t="s">
        <v>2205</v>
      </c>
      <c r="N27" s="363"/>
      <c r="O27" s="317"/>
      <c r="P27" s="317"/>
      <c r="Q27" s="317"/>
      <c r="R27" s="317"/>
      <c r="S27" s="321"/>
      <c r="T27" s="367"/>
      <c r="U27" s="366"/>
      <c r="V27" s="363"/>
      <c r="W27" s="367"/>
      <c r="X27" s="319"/>
      <c r="Y27" s="383"/>
      <c r="Z27" s="383"/>
      <c r="AA27" s="383"/>
      <c r="AB27" s="383"/>
      <c r="AC27" s="383"/>
    </row>
    <row s="6940" customFormat="1" customHeight="1" ht="14.25">
      <c r="A28" s="2111"/>
      <c r="B28" s="385"/>
      <c r="C28" s="385"/>
      <c r="D28" s="385"/>
      <c r="E28" s="385"/>
      <c r="F28" s="385"/>
      <c r="G28" s="386"/>
      <c r="H28" s="385"/>
      <c r="I28" s="356"/>
      <c r="J28" s="376"/>
      <c r="K28" s="378"/>
      <c r="L28" s="297"/>
      <c r="M28" s="421" t="s">
        <v>123</v>
      </c>
      <c r="N28" s="363"/>
      <c r="O28" s="317"/>
      <c r="P28" s="317"/>
      <c r="Q28" s="317"/>
      <c r="R28" s="317"/>
      <c r="S28" s="321"/>
      <c r="T28" s="367"/>
      <c r="U28" s="366"/>
      <c r="V28" s="363"/>
      <c r="W28" s="367"/>
      <c r="X28" s="319"/>
      <c r="Y28" s="383"/>
      <c r="Z28" s="383"/>
      <c r="AA28" s="383"/>
      <c r="AB28" s="383"/>
      <c r="AC28" s="383"/>
    </row>
    <row s="6940" customFormat="1" customHeight="1" ht="14.25">
      <c r="G29" s="365"/>
      <c r="H29" s="378"/>
      <c r="I29" s="375"/>
      <c r="J29" s="376"/>
      <c r="L29" s="297"/>
      <c r="M29" s="422" t="s">
        <v>230</v>
      </c>
      <c r="N29" s="363"/>
      <c r="O29" s="317"/>
      <c r="P29" s="317"/>
      <c r="Q29" s="317"/>
      <c r="R29" s="317"/>
      <c r="S29" s="321"/>
      <c r="T29" s="367"/>
      <c r="U29" s="366"/>
      <c r="V29" s="363"/>
      <c r="W29" s="367"/>
      <c r="X29" s="319"/>
      <c r="Y29" s="383"/>
      <c r="Z29" s="383"/>
      <c r="AA29" s="383"/>
      <c r="AB29" s="383"/>
      <c r="AC29" s="383"/>
    </row>
    <row r="31" customHeight="1" ht="14.25">
      <c r="L31" s="49">
        <v>1</v>
      </c>
      <c r="M31" s="2106" t="s">
        <v>2228</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315F6-B7F1-C5C8-1B8C-E27621DE30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28FA2-6D7A-D8E4-2483-66BFDDFA45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59EE8-2471-F7BD-CFEC-6074D6D4F7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35946-BCA1-A1EB-DDAB-D8D648A120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D9BEB-66BC-1D52-8F9C-B9AD1F5499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8DDD7-F37F-6437-34C6-492A7AD6FA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957ED-ED2B-0F58-9241-8947B067CA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649D5-A34F-EEDD-F687-68A71679A31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36BC5-54AA-9003-E083-A5C902D96D0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2229</v>
      </c>
      <c r="B1" s="770" t="s">
        <v>2230</v>
      </c>
      <c r="C1" s="2452" t="s">
        <v>2231</v>
      </c>
      <c r="D1" s="2453"/>
      <c r="E1" s="842" t="s">
        <v>2232</v>
      </c>
    </row>
    <row customHeight="1" ht="11.25">
      <c r="A2" s="763"/>
      <c r="B2" s="771" t="s">
        <v>22</v>
      </c>
      <c r="C2" s="759"/>
      <c r="D2" s="770"/>
      <c r="E2" s="842"/>
    </row>
    <row customHeight="1" ht="11.25">
      <c r="A3" s="774"/>
      <c r="B3" s="772" t="s">
        <v>29</v>
      </c>
      <c r="C3" s="759"/>
      <c r="D3" s="770"/>
      <c r="E3" s="842"/>
    </row>
    <row customHeight="1" ht="11.25">
      <c r="A4" s="775"/>
      <c r="B4" s="772" t="s">
        <v>1726</v>
      </c>
      <c r="C4" s="759"/>
      <c r="D4" s="770"/>
      <c r="E4" s="842"/>
    </row>
    <row customHeight="1" ht="11.25">
      <c r="A5" s="787"/>
      <c r="B5" s="772" t="s">
        <v>1720</v>
      </c>
      <c r="C5" s="762" t="s">
        <v>1968</v>
      </c>
      <c r="D5" s="886" t="s">
        <v>2233</v>
      </c>
      <c r="E5" s="842"/>
    </row>
    <row s="6940" customFormat="1" customHeight="1" ht="11.25">
      <c r="A6" s="773"/>
      <c r="B6" s="772" t="s">
        <v>1729</v>
      </c>
      <c r="C6" s="759"/>
      <c r="D6" s="770"/>
      <c r="E6" s="842"/>
    </row>
    <row customHeight="1" ht="11.25">
      <c r="A7" s="761"/>
      <c r="B7" s="772" t="s">
        <v>1737</v>
      </c>
      <c r="C7" s="759"/>
      <c r="D7" s="770"/>
      <c r="E7" s="842"/>
    </row>
    <row customHeight="1" ht="11.25">
      <c r="A8" s="762"/>
      <c r="B8" s="772" t="s">
        <v>1732</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A21FE-8C11-8FF8-F266-C278DDFFA3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9AF81-39F6-11AB-C7D8-A50F932EF7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492BA-D45D-776B-F8E4-7EAFD8DCA9B6}" mc:Ignorable="x14ac xr xr2 xr3">
  <sheetPr>
    <tabColor rgb="FFFFCC99"/>
  </sheetPr>
  <dimension ref="A1:I234"/>
  <sheetViews>
    <sheetView topLeftCell="A1" showGridLines="0" workbookViewId="0">
      <selection activeCell="A1" sqref="A1"/>
    </sheetView>
  </sheetViews>
  <sheetFormatPr defaultColWidth="9.140625" customHeight="1" defaultRowHeight="11.25"/>
  <cols>
    <col min="1" max="2" style="7499" width="9.140625"/>
    <col min="3" max="3" style="7499" width="20.7109375" customWidth="1"/>
    <col min="4" max="4" style="7499" width="25.140625" customWidth="1"/>
    <col min="5" max="9" style="7499" width="9.140625"/>
  </cols>
  <sheetData>
    <row customHeight="1" ht="11.25">
      <c r="A1" s="53" t="s">
        <v>2234</v>
      </c>
      <c r="B1" s="53" t="s">
        <v>2235</v>
      </c>
      <c r="C1" s="53" t="s">
        <v>2236</v>
      </c>
      <c r="D1" s="53" t="s">
        <v>2237</v>
      </c>
      <c r="E1" s="53" t="s">
        <v>2238</v>
      </c>
      <c r="F1" s="53" t="s">
        <v>2239</v>
      </c>
      <c r="G1" s="53" t="s">
        <v>2240</v>
      </c>
      <c r="H1" s="53" t="s">
        <v>2241</v>
      </c>
      <c r="I1" s="53" t="s">
        <v>2242</v>
      </c>
    </row>
    <row customHeight="1" ht="11.25">
      <c r="A2" s="7500" t="s">
        <v>2243</v>
      </c>
      <c r="B2" s="7500" t="s">
        <v>14</v>
      </c>
      <c r="C2" s="7500" t="s">
        <v>2244</v>
      </c>
      <c r="D2" s="7500" t="s">
        <v>2245</v>
      </c>
      <c r="E2" s="7500" t="s">
        <v>2246</v>
      </c>
      <c r="F2" s="7500" t="s">
        <v>2247</v>
      </c>
      <c r="G2" s="7500" t="s">
        <v>2248</v>
      </c>
      <c r="H2" s="7500" t="s">
        <v>24</v>
      </c>
      <c r="I2" s="7500" t="s">
        <v>761</v>
      </c>
    </row>
    <row customHeight="1" ht="11.25">
      <c r="A3" s="7500" t="s">
        <v>2243</v>
      </c>
      <c r="B3" s="7500" t="s">
        <v>14</v>
      </c>
      <c r="C3" s="7500" t="s">
        <v>2249</v>
      </c>
      <c r="D3" s="7500" t="s">
        <v>2245</v>
      </c>
      <c r="E3" s="7500" t="s">
        <v>2246</v>
      </c>
      <c r="F3" s="7500" t="s">
        <v>2250</v>
      </c>
      <c r="G3" s="7500" t="s">
        <v>2251</v>
      </c>
      <c r="H3" s="7500" t="s">
        <v>24</v>
      </c>
      <c r="I3" s="7500" t="s">
        <v>761</v>
      </c>
    </row>
    <row customHeight="1" ht="11.25">
      <c r="A4" s="7500" t="s">
        <v>2243</v>
      </c>
      <c r="B4" s="7500" t="s">
        <v>14</v>
      </c>
      <c r="C4" s="7500" t="s">
        <v>2252</v>
      </c>
      <c r="D4" s="7500" t="s">
        <v>2253</v>
      </c>
      <c r="E4" s="7500" t="s">
        <v>2254</v>
      </c>
      <c r="F4" s="7500" t="s">
        <v>2255</v>
      </c>
      <c r="G4" s="7500" t="s">
        <v>24</v>
      </c>
      <c r="H4" s="7500" t="s">
        <v>24</v>
      </c>
      <c r="I4" s="7500" t="s">
        <v>761</v>
      </c>
    </row>
    <row customHeight="1" ht="11.25">
      <c r="A5" s="7500" t="s">
        <v>2243</v>
      </c>
      <c r="B5" s="7500" t="s">
        <v>14</v>
      </c>
      <c r="C5" s="7500" t="s">
        <v>2256</v>
      </c>
      <c r="D5" s="7500" t="s">
        <v>2257</v>
      </c>
      <c r="E5" s="7500" t="s">
        <v>2258</v>
      </c>
      <c r="F5" s="7500" t="s">
        <v>50</v>
      </c>
      <c r="G5" s="7500" t="s">
        <v>2259</v>
      </c>
      <c r="H5" s="7500" t="s">
        <v>24</v>
      </c>
      <c r="I5" s="7500" t="s">
        <v>761</v>
      </c>
    </row>
    <row customHeight="1" ht="11.25">
      <c r="A6" s="7500" t="s">
        <v>2243</v>
      </c>
      <c r="B6" s="7500" t="s">
        <v>14</v>
      </c>
      <c r="C6" s="7500" t="s">
        <v>2260</v>
      </c>
      <c r="D6" s="7500" t="s">
        <v>2261</v>
      </c>
      <c r="E6" s="7500" t="s">
        <v>2262</v>
      </c>
      <c r="F6" s="7500" t="s">
        <v>2263</v>
      </c>
      <c r="G6" s="7500" t="s">
        <v>24</v>
      </c>
      <c r="H6" s="7500" t="s">
        <v>24</v>
      </c>
      <c r="I6" s="7500" t="s">
        <v>761</v>
      </c>
    </row>
    <row customHeight="1" ht="11.25">
      <c r="A7" s="7500" t="s">
        <v>2243</v>
      </c>
      <c r="B7" s="7500" t="s">
        <v>14</v>
      </c>
      <c r="C7" s="7500" t="s">
        <v>2264</v>
      </c>
      <c r="D7" s="7500" t="s">
        <v>2265</v>
      </c>
      <c r="E7" s="7500" t="s">
        <v>2266</v>
      </c>
      <c r="F7" s="7500" t="s">
        <v>2263</v>
      </c>
      <c r="G7" s="7500" t="s">
        <v>2267</v>
      </c>
      <c r="H7" s="7500" t="s">
        <v>24</v>
      </c>
      <c r="I7" s="7500" t="s">
        <v>761</v>
      </c>
    </row>
    <row customHeight="1" ht="11.25">
      <c r="A8" s="7500" t="s">
        <v>2243</v>
      </c>
      <c r="B8" s="7500" t="s">
        <v>14</v>
      </c>
      <c r="C8" s="7500" t="s">
        <v>2268</v>
      </c>
      <c r="D8" s="7500" t="s">
        <v>2269</v>
      </c>
      <c r="E8" s="7500" t="s">
        <v>2270</v>
      </c>
      <c r="F8" s="7500" t="s">
        <v>2271</v>
      </c>
      <c r="G8" s="7500" t="s">
        <v>24</v>
      </c>
      <c r="H8" s="7500" t="s">
        <v>24</v>
      </c>
      <c r="I8" s="7500" t="s">
        <v>761</v>
      </c>
    </row>
    <row customHeight="1" ht="11.25">
      <c r="A9" s="7500" t="s">
        <v>2243</v>
      </c>
      <c r="B9" s="7500" t="s">
        <v>14</v>
      </c>
      <c r="C9" s="7500" t="s">
        <v>2272</v>
      </c>
      <c r="D9" s="7500" t="s">
        <v>2273</v>
      </c>
      <c r="E9" s="7500" t="s">
        <v>2274</v>
      </c>
      <c r="F9" s="7500" t="s">
        <v>50</v>
      </c>
      <c r="G9" s="7500" t="s">
        <v>24</v>
      </c>
      <c r="H9" s="7500" t="s">
        <v>24</v>
      </c>
      <c r="I9" s="7500" t="s">
        <v>761</v>
      </c>
    </row>
    <row customHeight="1" ht="11.25">
      <c r="A10" s="7500" t="s">
        <v>2243</v>
      </c>
      <c r="B10" s="7500" t="s">
        <v>14</v>
      </c>
      <c r="C10" s="7500" t="s">
        <v>2275</v>
      </c>
      <c r="D10" s="7500" t="s">
        <v>2276</v>
      </c>
      <c r="E10" s="7500" t="s">
        <v>2277</v>
      </c>
      <c r="F10" s="7500" t="s">
        <v>50</v>
      </c>
      <c r="G10" s="7500" t="s">
        <v>2278</v>
      </c>
      <c r="H10" s="7500" t="s">
        <v>24</v>
      </c>
      <c r="I10" s="7500" t="s">
        <v>761</v>
      </c>
    </row>
    <row customHeight="1" ht="11.25">
      <c r="A11" s="7500" t="s">
        <v>2243</v>
      </c>
      <c r="B11" s="7500" t="s">
        <v>14</v>
      </c>
      <c r="C11" s="7500" t="s">
        <v>2279</v>
      </c>
      <c r="D11" s="7500" t="s">
        <v>45</v>
      </c>
      <c r="E11" s="7500" t="s">
        <v>48</v>
      </c>
      <c r="F11" s="7500" t="s">
        <v>50</v>
      </c>
      <c r="G11" s="7500" t="s">
        <v>24</v>
      </c>
      <c r="H11" s="7500" t="s">
        <v>24</v>
      </c>
      <c r="I11" s="7500" t="s">
        <v>761</v>
      </c>
    </row>
    <row customHeight="1" ht="11.25">
      <c r="A12" s="7500" t="s">
        <v>2243</v>
      </c>
      <c r="B12" s="7500" t="s">
        <v>14</v>
      </c>
      <c r="C12" s="7500" t="s">
        <v>2280</v>
      </c>
      <c r="D12" s="7500" t="s">
        <v>2281</v>
      </c>
      <c r="E12" s="7500" t="s">
        <v>2282</v>
      </c>
      <c r="F12" s="7500" t="s">
        <v>2283</v>
      </c>
      <c r="G12" s="7500" t="s">
        <v>24</v>
      </c>
      <c r="H12" s="7500" t="s">
        <v>24</v>
      </c>
      <c r="I12" s="7500" t="s">
        <v>761</v>
      </c>
    </row>
    <row customHeight="1" ht="11.25">
      <c r="A13" s="7500" t="s">
        <v>2243</v>
      </c>
      <c r="B13" s="7500" t="s">
        <v>14</v>
      </c>
      <c r="C13" s="7500" t="s">
        <v>2284</v>
      </c>
      <c r="D13" s="7500" t="s">
        <v>2285</v>
      </c>
      <c r="E13" s="7500" t="s">
        <v>2286</v>
      </c>
      <c r="F13" s="7500" t="s">
        <v>2287</v>
      </c>
      <c r="G13" s="7500" t="s">
        <v>2288</v>
      </c>
      <c r="H13" s="7500" t="s">
        <v>24</v>
      </c>
      <c r="I13" s="7500" t="s">
        <v>761</v>
      </c>
    </row>
    <row customHeight="1" ht="11.25">
      <c r="A14" s="7500" t="s">
        <v>2243</v>
      </c>
      <c r="B14" s="7500" t="s">
        <v>14</v>
      </c>
      <c r="C14" s="7500" t="s">
        <v>2289</v>
      </c>
      <c r="D14" s="7500" t="s">
        <v>2290</v>
      </c>
      <c r="E14" s="7500" t="s">
        <v>2291</v>
      </c>
      <c r="F14" s="7500" t="s">
        <v>2292</v>
      </c>
      <c r="G14" s="7500" t="s">
        <v>24</v>
      </c>
      <c r="H14" s="7500" t="s">
        <v>24</v>
      </c>
      <c r="I14" s="7500" t="s">
        <v>761</v>
      </c>
    </row>
    <row customHeight="1" ht="11.25">
      <c r="A15" s="7500" t="s">
        <v>2243</v>
      </c>
      <c r="B15" s="7500" t="s">
        <v>14</v>
      </c>
      <c r="C15" s="7500" t="s">
        <v>2293</v>
      </c>
      <c r="D15" s="7500" t="s">
        <v>2294</v>
      </c>
      <c r="E15" s="7500" t="s">
        <v>2295</v>
      </c>
      <c r="F15" s="7500" t="s">
        <v>2296</v>
      </c>
      <c r="G15" s="7500" t="s">
        <v>2297</v>
      </c>
      <c r="H15" s="7500" t="s">
        <v>24</v>
      </c>
      <c r="I15" s="7500" t="s">
        <v>761</v>
      </c>
    </row>
    <row customHeight="1" ht="11.25">
      <c r="A16" s="7500" t="s">
        <v>2243</v>
      </c>
      <c r="B16" s="7500" t="s">
        <v>14</v>
      </c>
      <c r="C16" s="7500" t="s">
        <v>2298</v>
      </c>
      <c r="D16" s="7500" t="s">
        <v>2299</v>
      </c>
      <c r="E16" s="7500" t="s">
        <v>2300</v>
      </c>
      <c r="F16" s="7500" t="s">
        <v>2301</v>
      </c>
      <c r="G16" s="7500" t="s">
        <v>24</v>
      </c>
      <c r="H16" s="7500" t="s">
        <v>24</v>
      </c>
      <c r="I16" s="7500" t="s">
        <v>761</v>
      </c>
    </row>
    <row customHeight="1" ht="11.25">
      <c r="A17" s="7500" t="s">
        <v>2243</v>
      </c>
      <c r="B17" s="7500" t="s">
        <v>14</v>
      </c>
      <c r="C17" s="7500" t="s">
        <v>2302</v>
      </c>
      <c r="D17" s="7500" t="s">
        <v>2303</v>
      </c>
      <c r="E17" s="7500" t="s">
        <v>2304</v>
      </c>
      <c r="F17" s="7500" t="s">
        <v>50</v>
      </c>
      <c r="G17" s="7500" t="s">
        <v>2305</v>
      </c>
      <c r="H17" s="7500" t="s">
        <v>24</v>
      </c>
      <c r="I17" s="7500" t="s">
        <v>761</v>
      </c>
    </row>
    <row customHeight="1" ht="11.25">
      <c r="A18" s="7500" t="s">
        <v>2243</v>
      </c>
      <c r="B18" s="7500" t="s">
        <v>14</v>
      </c>
      <c r="C18" s="7500" t="s">
        <v>2306</v>
      </c>
      <c r="D18" s="7500" t="s">
        <v>2307</v>
      </c>
      <c r="E18" s="7500" t="s">
        <v>2308</v>
      </c>
      <c r="F18" s="7500" t="s">
        <v>2309</v>
      </c>
      <c r="G18" s="7500" t="s">
        <v>24</v>
      </c>
      <c r="H18" s="7500" t="s">
        <v>24</v>
      </c>
      <c r="I18" s="7500" t="s">
        <v>761</v>
      </c>
    </row>
    <row customHeight="1" ht="11.25">
      <c r="A19" s="7500" t="s">
        <v>2243</v>
      </c>
      <c r="B19" s="7500" t="s">
        <v>14</v>
      </c>
      <c r="C19" s="7500" t="s">
        <v>2310</v>
      </c>
      <c r="D19" s="7500" t="s">
        <v>2311</v>
      </c>
      <c r="E19" s="7500" t="s">
        <v>2312</v>
      </c>
      <c r="F19" s="7500" t="s">
        <v>50</v>
      </c>
      <c r="G19" s="7500" t="s">
        <v>24</v>
      </c>
      <c r="H19" s="7500" t="s">
        <v>24</v>
      </c>
      <c r="I19" s="7500" t="s">
        <v>761</v>
      </c>
    </row>
    <row customHeight="1" ht="11.25">
      <c r="A20" s="7500" t="s">
        <v>2243</v>
      </c>
      <c r="B20" s="7500" t="s">
        <v>14</v>
      </c>
      <c r="C20" s="7500" t="s">
        <v>2313</v>
      </c>
      <c r="D20" s="7500" t="s">
        <v>2314</v>
      </c>
      <c r="E20" s="7500" t="s">
        <v>2315</v>
      </c>
      <c r="F20" s="7500" t="s">
        <v>50</v>
      </c>
      <c r="G20" s="7500" t="s">
        <v>2316</v>
      </c>
      <c r="H20" s="7500" t="s">
        <v>24</v>
      </c>
      <c r="I20" s="7500" t="s">
        <v>761</v>
      </c>
    </row>
    <row customHeight="1" ht="11.25">
      <c r="A21" s="7500" t="s">
        <v>2243</v>
      </c>
      <c r="B21" s="7500" t="s">
        <v>14</v>
      </c>
      <c r="C21" s="7500" t="s">
        <v>24</v>
      </c>
      <c r="D21" s="7500" t="s">
        <v>2317</v>
      </c>
      <c r="E21" s="7500" t="s">
        <v>2318</v>
      </c>
      <c r="F21" s="7500" t="s">
        <v>50</v>
      </c>
      <c r="G21" s="7500" t="s">
        <v>24</v>
      </c>
      <c r="H21" s="7500" t="s">
        <v>24</v>
      </c>
      <c r="I21" s="7500" t="s">
        <v>761</v>
      </c>
    </row>
    <row customHeight="1" ht="11.25">
      <c r="A22" s="7500" t="s">
        <v>2243</v>
      </c>
      <c r="B22" s="7500" t="s">
        <v>14</v>
      </c>
      <c r="C22" s="7500" t="s">
        <v>2319</v>
      </c>
      <c r="D22" s="7500" t="s">
        <v>2320</v>
      </c>
      <c r="E22" s="7500" t="s">
        <v>2321</v>
      </c>
      <c r="F22" s="7500" t="s">
        <v>2322</v>
      </c>
      <c r="G22" s="7500" t="s">
        <v>24</v>
      </c>
      <c r="H22" s="7500" t="s">
        <v>24</v>
      </c>
      <c r="I22" s="7500" t="s">
        <v>761</v>
      </c>
    </row>
    <row customHeight="1" ht="11.25">
      <c r="A23" s="7500" t="s">
        <v>2243</v>
      </c>
      <c r="B23" s="7500" t="s">
        <v>14</v>
      </c>
      <c r="C23" s="7500" t="s">
        <v>2323</v>
      </c>
      <c r="D23" s="7500" t="s">
        <v>2324</v>
      </c>
      <c r="E23" s="7500" t="s">
        <v>2325</v>
      </c>
      <c r="F23" s="7500" t="s">
        <v>2255</v>
      </c>
      <c r="G23" s="7500" t="s">
        <v>24</v>
      </c>
      <c r="H23" s="7500" t="s">
        <v>24</v>
      </c>
      <c r="I23" s="7500" t="s">
        <v>761</v>
      </c>
    </row>
    <row customHeight="1" ht="11.25">
      <c r="A24" s="7500" t="s">
        <v>2243</v>
      </c>
      <c r="B24" s="7500" t="s">
        <v>14</v>
      </c>
      <c r="C24" s="7500" t="s">
        <v>2326</v>
      </c>
      <c r="D24" s="7500" t="s">
        <v>2327</v>
      </c>
      <c r="E24" s="7500" t="s">
        <v>2328</v>
      </c>
      <c r="F24" s="7500" t="s">
        <v>2322</v>
      </c>
      <c r="G24" s="7500" t="s">
        <v>2329</v>
      </c>
      <c r="H24" s="7500" t="s">
        <v>24</v>
      </c>
      <c r="I24" s="7500" t="s">
        <v>761</v>
      </c>
    </row>
    <row customHeight="1" ht="11.25">
      <c r="A25" s="7500" t="s">
        <v>2243</v>
      </c>
      <c r="B25" s="7500" t="s">
        <v>14</v>
      </c>
      <c r="C25" s="7500" t="s">
        <v>2330</v>
      </c>
      <c r="D25" s="7500" t="s">
        <v>2331</v>
      </c>
      <c r="E25" s="7500" t="s">
        <v>2332</v>
      </c>
      <c r="F25" s="7500" t="s">
        <v>2322</v>
      </c>
      <c r="G25" s="7500" t="s">
        <v>2333</v>
      </c>
      <c r="H25" s="7500" t="s">
        <v>24</v>
      </c>
      <c r="I25" s="7500" t="s">
        <v>761</v>
      </c>
    </row>
    <row customHeight="1" ht="11.25">
      <c r="A26" s="7500" t="s">
        <v>2243</v>
      </c>
      <c r="B26" s="7500" t="s">
        <v>14</v>
      </c>
      <c r="C26" s="7500" t="s">
        <v>2334</v>
      </c>
      <c r="D26" s="7500" t="s">
        <v>2335</v>
      </c>
      <c r="E26" s="7500" t="s">
        <v>2336</v>
      </c>
      <c r="F26" s="7500" t="s">
        <v>2337</v>
      </c>
      <c r="G26" s="7500" t="s">
        <v>2338</v>
      </c>
      <c r="H26" s="7500" t="s">
        <v>24</v>
      </c>
      <c r="I26" s="7500" t="s">
        <v>761</v>
      </c>
    </row>
    <row customHeight="1" ht="11.25">
      <c r="A27" s="7500" t="s">
        <v>2243</v>
      </c>
      <c r="B27" s="7500" t="s">
        <v>14</v>
      </c>
      <c r="C27" s="7500" t="s">
        <v>2339</v>
      </c>
      <c r="D27" s="7500" t="s">
        <v>2340</v>
      </c>
      <c r="E27" s="7500" t="s">
        <v>2341</v>
      </c>
      <c r="F27" s="7500" t="s">
        <v>2342</v>
      </c>
      <c r="G27" s="7500" t="s">
        <v>24</v>
      </c>
      <c r="H27" s="7500" t="s">
        <v>24</v>
      </c>
      <c r="I27" s="7500" t="s">
        <v>761</v>
      </c>
    </row>
    <row customHeight="1" ht="11.25">
      <c r="A28" s="7500" t="s">
        <v>2243</v>
      </c>
      <c r="B28" s="7500" t="s">
        <v>14</v>
      </c>
      <c r="C28" s="7500" t="s">
        <v>2343</v>
      </c>
      <c r="D28" s="7500" t="s">
        <v>2344</v>
      </c>
      <c r="E28" s="7500" t="s">
        <v>2345</v>
      </c>
      <c r="F28" s="7500" t="s">
        <v>2287</v>
      </c>
      <c r="G28" s="7500" t="s">
        <v>24</v>
      </c>
      <c r="H28" s="7500" t="s">
        <v>24</v>
      </c>
      <c r="I28" s="7500" t="s">
        <v>761</v>
      </c>
    </row>
    <row customHeight="1" ht="11.25">
      <c r="A29" s="7500" t="s">
        <v>2243</v>
      </c>
      <c r="B29" s="7500" t="s">
        <v>14</v>
      </c>
      <c r="C29" s="7500" t="s">
        <v>2346</v>
      </c>
      <c r="D29" s="7500" t="s">
        <v>2347</v>
      </c>
      <c r="E29" s="7500" t="s">
        <v>2348</v>
      </c>
      <c r="F29" s="7500" t="s">
        <v>2349</v>
      </c>
      <c r="G29" s="7500" t="s">
        <v>24</v>
      </c>
      <c r="H29" s="7500" t="s">
        <v>24</v>
      </c>
      <c r="I29" s="7500" t="s">
        <v>761</v>
      </c>
    </row>
    <row customHeight="1" ht="11.25">
      <c r="A30" s="7500" t="s">
        <v>2243</v>
      </c>
      <c r="B30" s="7500" t="s">
        <v>14</v>
      </c>
      <c r="C30" s="7500" t="s">
        <v>2350</v>
      </c>
      <c r="D30" s="7500" t="s">
        <v>2351</v>
      </c>
      <c r="E30" s="7500" t="s">
        <v>2352</v>
      </c>
      <c r="F30" s="7500" t="s">
        <v>2353</v>
      </c>
      <c r="G30" s="7500" t="s">
        <v>24</v>
      </c>
      <c r="H30" s="7500" t="s">
        <v>24</v>
      </c>
      <c r="I30" s="7500" t="s">
        <v>761</v>
      </c>
    </row>
    <row customHeight="1" ht="11.25">
      <c r="A31" s="7500" t="s">
        <v>2243</v>
      </c>
      <c r="B31" s="7500" t="s">
        <v>14</v>
      </c>
      <c r="C31" s="7500" t="s">
        <v>2354</v>
      </c>
      <c r="D31" s="7500" t="s">
        <v>2355</v>
      </c>
      <c r="E31" s="7500" t="s">
        <v>2356</v>
      </c>
      <c r="F31" s="7500" t="s">
        <v>2255</v>
      </c>
      <c r="G31" s="7500" t="s">
        <v>24</v>
      </c>
      <c r="H31" s="7500" t="s">
        <v>24</v>
      </c>
      <c r="I31" s="7500" t="s">
        <v>761</v>
      </c>
    </row>
    <row customHeight="1" ht="11.25">
      <c r="A32" s="7500" t="s">
        <v>2243</v>
      </c>
      <c r="B32" s="7500" t="s">
        <v>14</v>
      </c>
      <c r="C32" s="7500" t="s">
        <v>2357</v>
      </c>
      <c r="D32" s="7500" t="s">
        <v>2358</v>
      </c>
      <c r="E32" s="7500" t="s">
        <v>2359</v>
      </c>
      <c r="F32" s="7500" t="s">
        <v>2296</v>
      </c>
      <c r="G32" s="7500" t="s">
        <v>24</v>
      </c>
      <c r="H32" s="7500" t="s">
        <v>24</v>
      </c>
      <c r="I32" s="7500" t="s">
        <v>761</v>
      </c>
    </row>
    <row customHeight="1" ht="11.25">
      <c r="A33" s="7500" t="s">
        <v>2243</v>
      </c>
      <c r="B33" s="7500" t="s">
        <v>14</v>
      </c>
      <c r="C33" s="7500" t="s">
        <v>2360</v>
      </c>
      <c r="D33" s="7500" t="s">
        <v>2361</v>
      </c>
      <c r="E33" s="7500" t="s">
        <v>2362</v>
      </c>
      <c r="F33" s="7500" t="s">
        <v>2255</v>
      </c>
      <c r="G33" s="7500" t="s">
        <v>24</v>
      </c>
      <c r="H33" s="7500" t="s">
        <v>24</v>
      </c>
      <c r="I33" s="7500" t="s">
        <v>761</v>
      </c>
    </row>
    <row customHeight="1" ht="11.25">
      <c r="A34" s="7500" t="s">
        <v>2243</v>
      </c>
      <c r="B34" s="7500" t="s">
        <v>14</v>
      </c>
      <c r="C34" s="7500" t="s">
        <v>2363</v>
      </c>
      <c r="D34" s="7500" t="s">
        <v>2364</v>
      </c>
      <c r="E34" s="7500" t="s">
        <v>2365</v>
      </c>
      <c r="F34" s="7500" t="s">
        <v>50</v>
      </c>
      <c r="G34" s="7500" t="s">
        <v>24</v>
      </c>
      <c r="H34" s="7500" t="s">
        <v>24</v>
      </c>
      <c r="I34" s="7500" t="s">
        <v>761</v>
      </c>
    </row>
    <row customHeight="1" ht="11.25">
      <c r="A35" s="7500" t="s">
        <v>2243</v>
      </c>
      <c r="B35" s="7500" t="s">
        <v>14</v>
      </c>
      <c r="C35" s="7500" t="s">
        <v>2366</v>
      </c>
      <c r="D35" s="7500" t="s">
        <v>2367</v>
      </c>
      <c r="E35" s="7500" t="s">
        <v>2368</v>
      </c>
      <c r="F35" s="7500" t="s">
        <v>2337</v>
      </c>
      <c r="G35" s="7500" t="s">
        <v>24</v>
      </c>
      <c r="H35" s="7500" t="s">
        <v>24</v>
      </c>
      <c r="I35" s="7500" t="s">
        <v>761</v>
      </c>
    </row>
    <row customHeight="1" ht="11.25">
      <c r="A36" s="7500" t="s">
        <v>2243</v>
      </c>
      <c r="B36" s="7500" t="s">
        <v>14</v>
      </c>
      <c r="C36" s="7500" t="s">
        <v>2369</v>
      </c>
      <c r="D36" s="7500" t="s">
        <v>2370</v>
      </c>
      <c r="E36" s="7500" t="s">
        <v>2371</v>
      </c>
      <c r="F36" s="7500" t="s">
        <v>2337</v>
      </c>
      <c r="G36" s="7500" t="s">
        <v>2372</v>
      </c>
      <c r="H36" s="7500" t="s">
        <v>24</v>
      </c>
      <c r="I36" s="7500" t="s">
        <v>761</v>
      </c>
    </row>
    <row customHeight="1" ht="11.25">
      <c r="A37" s="7500" t="s">
        <v>2243</v>
      </c>
      <c r="B37" s="7500" t="s">
        <v>14</v>
      </c>
      <c r="C37" s="7500" t="s">
        <v>2373</v>
      </c>
      <c r="D37" s="7500" t="s">
        <v>2374</v>
      </c>
      <c r="E37" s="7500" t="s">
        <v>2375</v>
      </c>
      <c r="F37" s="7500" t="s">
        <v>2376</v>
      </c>
      <c r="G37" s="7500" t="s">
        <v>24</v>
      </c>
      <c r="H37" s="7500" t="s">
        <v>24</v>
      </c>
      <c r="I37" s="7500" t="s">
        <v>761</v>
      </c>
    </row>
    <row customHeight="1" ht="11.25">
      <c r="A38" s="7500" t="s">
        <v>2243</v>
      </c>
      <c r="B38" s="7500" t="s">
        <v>14</v>
      </c>
      <c r="C38" s="7500" t="s">
        <v>2377</v>
      </c>
      <c r="D38" s="7500" t="s">
        <v>2378</v>
      </c>
      <c r="E38" s="7500" t="s">
        <v>2379</v>
      </c>
      <c r="F38" s="7500" t="s">
        <v>2322</v>
      </c>
      <c r="G38" s="7500" t="s">
        <v>24</v>
      </c>
      <c r="H38" s="7500" t="s">
        <v>24</v>
      </c>
      <c r="I38" s="7500" t="s">
        <v>761</v>
      </c>
    </row>
    <row customHeight="1" ht="11.25">
      <c r="A39" s="7500" t="s">
        <v>2243</v>
      </c>
      <c r="B39" s="7500" t="s">
        <v>14</v>
      </c>
      <c r="C39" s="7500" t="s">
        <v>2380</v>
      </c>
      <c r="D39" s="7500" t="s">
        <v>2381</v>
      </c>
      <c r="E39" s="7500" t="s">
        <v>2382</v>
      </c>
      <c r="F39" s="7500" t="s">
        <v>2255</v>
      </c>
      <c r="G39" s="7500" t="s">
        <v>24</v>
      </c>
      <c r="H39" s="7500" t="s">
        <v>24</v>
      </c>
      <c r="I39" s="7500" t="s">
        <v>761</v>
      </c>
    </row>
    <row customHeight="1" ht="11.25">
      <c r="A40" s="7500" t="s">
        <v>2243</v>
      </c>
      <c r="B40" s="7500" t="s">
        <v>14</v>
      </c>
      <c r="C40" s="7500" t="s">
        <v>2383</v>
      </c>
      <c r="D40" s="7500" t="s">
        <v>2384</v>
      </c>
      <c r="E40" s="7500" t="s">
        <v>2385</v>
      </c>
      <c r="F40" s="7500" t="s">
        <v>2296</v>
      </c>
      <c r="G40" s="7500" t="s">
        <v>24</v>
      </c>
      <c r="H40" s="7500" t="s">
        <v>24</v>
      </c>
      <c r="I40" s="7500" t="s">
        <v>761</v>
      </c>
    </row>
    <row customHeight="1" ht="11.25">
      <c r="A41" s="7500" t="s">
        <v>2243</v>
      </c>
      <c r="B41" s="7500" t="s">
        <v>14</v>
      </c>
      <c r="C41" s="7500" t="s">
        <v>2386</v>
      </c>
      <c r="D41" s="7500" t="s">
        <v>2387</v>
      </c>
      <c r="E41" s="7500" t="s">
        <v>2388</v>
      </c>
      <c r="F41" s="7500" t="s">
        <v>2389</v>
      </c>
      <c r="G41" s="7500" t="s">
        <v>24</v>
      </c>
      <c r="H41" s="7500" t="s">
        <v>24</v>
      </c>
      <c r="I41" s="7500" t="s">
        <v>761</v>
      </c>
    </row>
    <row customHeight="1" ht="11.25">
      <c r="A42" s="7500" t="s">
        <v>2243</v>
      </c>
      <c r="B42" s="7500" t="s">
        <v>14</v>
      </c>
      <c r="C42" s="7500" t="s">
        <v>2390</v>
      </c>
      <c r="D42" s="7500" t="s">
        <v>2391</v>
      </c>
      <c r="E42" s="7500" t="s">
        <v>2392</v>
      </c>
      <c r="F42" s="7500" t="s">
        <v>2255</v>
      </c>
      <c r="G42" s="7500" t="s">
        <v>2393</v>
      </c>
      <c r="H42" s="7500" t="s">
        <v>24</v>
      </c>
      <c r="I42" s="7500" t="s">
        <v>761</v>
      </c>
    </row>
    <row customHeight="1" ht="11.25">
      <c r="A43" s="7500" t="s">
        <v>2243</v>
      </c>
      <c r="B43" s="7500" t="s">
        <v>14</v>
      </c>
      <c r="C43" s="7500" t="s">
        <v>2394</v>
      </c>
      <c r="D43" s="7500" t="s">
        <v>2395</v>
      </c>
      <c r="E43" s="7500" t="s">
        <v>2396</v>
      </c>
      <c r="F43" s="7500" t="s">
        <v>2337</v>
      </c>
      <c r="G43" s="7500" t="s">
        <v>2397</v>
      </c>
      <c r="H43" s="7500" t="s">
        <v>24</v>
      </c>
      <c r="I43" s="7500" t="s">
        <v>761</v>
      </c>
    </row>
    <row customHeight="1" ht="11.25">
      <c r="A44" s="7500" t="s">
        <v>2243</v>
      </c>
      <c r="B44" s="7500" t="s">
        <v>14</v>
      </c>
      <c r="C44" s="7500" t="s">
        <v>2398</v>
      </c>
      <c r="D44" s="7500" t="s">
        <v>2399</v>
      </c>
      <c r="E44" s="7500" t="s">
        <v>2400</v>
      </c>
      <c r="F44" s="7500" t="s">
        <v>2255</v>
      </c>
      <c r="G44" s="7500" t="s">
        <v>24</v>
      </c>
      <c r="H44" s="7500" t="s">
        <v>24</v>
      </c>
      <c r="I44" s="7500" t="s">
        <v>761</v>
      </c>
    </row>
    <row customHeight="1" ht="11.25">
      <c r="A45" s="7500" t="s">
        <v>2243</v>
      </c>
      <c r="B45" s="7500" t="s">
        <v>14</v>
      </c>
      <c r="C45" s="7500" t="s">
        <v>2401</v>
      </c>
      <c r="D45" s="7500" t="s">
        <v>2402</v>
      </c>
      <c r="E45" s="7500" t="s">
        <v>2403</v>
      </c>
      <c r="F45" s="7500" t="s">
        <v>2404</v>
      </c>
      <c r="G45" s="7500" t="s">
        <v>2405</v>
      </c>
      <c r="H45" s="7500" t="s">
        <v>24</v>
      </c>
      <c r="I45" s="7500" t="s">
        <v>761</v>
      </c>
    </row>
    <row customHeight="1" ht="11.25">
      <c r="A46" s="7500" t="s">
        <v>2243</v>
      </c>
      <c r="B46" s="7500" t="s">
        <v>14</v>
      </c>
      <c r="C46" s="7500" t="s">
        <v>2406</v>
      </c>
      <c r="D46" s="7500" t="s">
        <v>2407</v>
      </c>
      <c r="E46" s="7500" t="s">
        <v>2408</v>
      </c>
      <c r="F46" s="7500" t="s">
        <v>2409</v>
      </c>
      <c r="G46" s="7500" t="s">
        <v>2410</v>
      </c>
      <c r="H46" s="7500" t="s">
        <v>24</v>
      </c>
      <c r="I46" s="7500" t="s">
        <v>761</v>
      </c>
    </row>
    <row customHeight="1" ht="11.25">
      <c r="A47" s="7500" t="s">
        <v>2243</v>
      </c>
      <c r="B47" s="7500" t="s">
        <v>14</v>
      </c>
      <c r="C47" s="7500" t="s">
        <v>2411</v>
      </c>
      <c r="D47" s="7500" t="s">
        <v>2412</v>
      </c>
      <c r="E47" s="7500" t="s">
        <v>2413</v>
      </c>
      <c r="F47" s="7500" t="s">
        <v>2414</v>
      </c>
      <c r="G47" s="7500" t="s">
        <v>24</v>
      </c>
      <c r="H47" s="7500" t="s">
        <v>24</v>
      </c>
      <c r="I47" s="7500" t="s">
        <v>761</v>
      </c>
    </row>
    <row customHeight="1" ht="11.25">
      <c r="A48" s="7500" t="s">
        <v>2243</v>
      </c>
      <c r="B48" s="7500" t="s">
        <v>14</v>
      </c>
      <c r="C48" s="7500" t="s">
        <v>2415</v>
      </c>
      <c r="D48" s="7500" t="s">
        <v>2416</v>
      </c>
      <c r="E48" s="7500" t="s">
        <v>2417</v>
      </c>
      <c r="F48" s="7500" t="s">
        <v>2255</v>
      </c>
      <c r="G48" s="7500" t="s">
        <v>24</v>
      </c>
      <c r="H48" s="7500" t="s">
        <v>24</v>
      </c>
      <c r="I48" s="7500" t="s">
        <v>761</v>
      </c>
    </row>
    <row customHeight="1" ht="11.25">
      <c r="A49" s="7500" t="s">
        <v>2243</v>
      </c>
      <c r="B49" s="7500" t="s">
        <v>14</v>
      </c>
      <c r="C49" s="7500" t="s">
        <v>2418</v>
      </c>
      <c r="D49" s="7500" t="s">
        <v>2419</v>
      </c>
      <c r="E49" s="7500" t="s">
        <v>2420</v>
      </c>
      <c r="F49" s="7500" t="s">
        <v>2255</v>
      </c>
      <c r="G49" s="7500" t="s">
        <v>24</v>
      </c>
      <c r="H49" s="7500" t="s">
        <v>24</v>
      </c>
      <c r="I49" s="7500" t="s">
        <v>761</v>
      </c>
    </row>
    <row customHeight="1" ht="11.25">
      <c r="A50" s="7500" t="s">
        <v>2243</v>
      </c>
      <c r="B50" s="7500" t="s">
        <v>14</v>
      </c>
      <c r="C50" s="7500" t="s">
        <v>2421</v>
      </c>
      <c r="D50" s="7500" t="s">
        <v>2422</v>
      </c>
      <c r="E50" s="7500" t="s">
        <v>2423</v>
      </c>
      <c r="F50" s="7500" t="s">
        <v>2424</v>
      </c>
      <c r="G50" s="7500" t="s">
        <v>2425</v>
      </c>
      <c r="H50" s="7500" t="s">
        <v>24</v>
      </c>
      <c r="I50" s="7500" t="s">
        <v>761</v>
      </c>
    </row>
    <row customHeight="1" ht="11.25">
      <c r="A51" s="7500" t="s">
        <v>2243</v>
      </c>
      <c r="B51" s="7500" t="s">
        <v>14</v>
      </c>
      <c r="C51" s="7500" t="s">
        <v>2426</v>
      </c>
      <c r="D51" s="7500" t="s">
        <v>2427</v>
      </c>
      <c r="E51" s="7500" t="s">
        <v>2428</v>
      </c>
      <c r="F51" s="7500" t="s">
        <v>50</v>
      </c>
      <c r="G51" s="7500" t="s">
        <v>24</v>
      </c>
      <c r="H51" s="7500" t="s">
        <v>2429</v>
      </c>
      <c r="I51" s="7500" t="s">
        <v>761</v>
      </c>
    </row>
    <row customHeight="1" ht="11.25">
      <c r="A52" s="7500" t="s">
        <v>2243</v>
      </c>
      <c r="B52" s="7500" t="s">
        <v>14</v>
      </c>
      <c r="C52" s="7500" t="s">
        <v>2430</v>
      </c>
      <c r="D52" s="7500" t="s">
        <v>2431</v>
      </c>
      <c r="E52" s="7500" t="s">
        <v>2432</v>
      </c>
      <c r="F52" s="7500" t="s">
        <v>2337</v>
      </c>
      <c r="G52" s="7500" t="s">
        <v>24</v>
      </c>
      <c r="H52" s="7500" t="s">
        <v>24</v>
      </c>
      <c r="I52" s="7500" t="s">
        <v>761</v>
      </c>
    </row>
    <row customHeight="1" ht="11.25">
      <c r="A53" s="7500" t="s">
        <v>2243</v>
      </c>
      <c r="B53" s="7500" t="s">
        <v>14</v>
      </c>
      <c r="C53" s="7500" t="s">
        <v>2433</v>
      </c>
      <c r="D53" s="7500" t="s">
        <v>2434</v>
      </c>
      <c r="E53" s="7500" t="s">
        <v>2435</v>
      </c>
      <c r="F53" s="7500" t="s">
        <v>2342</v>
      </c>
      <c r="G53" s="7500" t="s">
        <v>24</v>
      </c>
      <c r="H53" s="7500" t="s">
        <v>24</v>
      </c>
      <c r="I53" s="7500" t="s">
        <v>761</v>
      </c>
    </row>
    <row customHeight="1" ht="11.25">
      <c r="A54" s="7500" t="s">
        <v>2243</v>
      </c>
      <c r="B54" s="7500" t="s">
        <v>14</v>
      </c>
      <c r="C54" s="7500" t="s">
        <v>2436</v>
      </c>
      <c r="D54" s="7500" t="s">
        <v>2437</v>
      </c>
      <c r="E54" s="7500" t="s">
        <v>2438</v>
      </c>
      <c r="F54" s="7500" t="s">
        <v>2353</v>
      </c>
      <c r="G54" s="7500" t="s">
        <v>2439</v>
      </c>
      <c r="H54" s="7500" t="s">
        <v>24</v>
      </c>
      <c r="I54" s="7500" t="s">
        <v>761</v>
      </c>
    </row>
    <row customHeight="1" ht="11.25">
      <c r="A55" s="7500" t="s">
        <v>2243</v>
      </c>
      <c r="B55" s="7500" t="s">
        <v>14</v>
      </c>
      <c r="C55" s="7500" t="s">
        <v>2440</v>
      </c>
      <c r="D55" s="7500" t="s">
        <v>2441</v>
      </c>
      <c r="E55" s="7500" t="s">
        <v>2442</v>
      </c>
      <c r="F55" s="7500" t="s">
        <v>2424</v>
      </c>
      <c r="G55" s="7500" t="s">
        <v>24</v>
      </c>
      <c r="H55" s="7500" t="s">
        <v>24</v>
      </c>
      <c r="I55" s="7500" t="s">
        <v>761</v>
      </c>
    </row>
    <row customHeight="1" ht="11.25">
      <c r="A56" s="7500" t="s">
        <v>2243</v>
      </c>
      <c r="B56" s="7500" t="s">
        <v>14</v>
      </c>
      <c r="C56" s="7500" t="s">
        <v>2443</v>
      </c>
      <c r="D56" s="7500" t="s">
        <v>2444</v>
      </c>
      <c r="E56" s="7500" t="s">
        <v>2445</v>
      </c>
      <c r="F56" s="7500" t="s">
        <v>2446</v>
      </c>
      <c r="G56" s="7500" t="s">
        <v>2447</v>
      </c>
      <c r="H56" s="7500" t="s">
        <v>24</v>
      </c>
      <c r="I56" s="7500" t="s">
        <v>761</v>
      </c>
    </row>
    <row customHeight="1" ht="11.25">
      <c r="A57" s="7500" t="s">
        <v>2243</v>
      </c>
      <c r="B57" s="7500" t="s">
        <v>14</v>
      </c>
      <c r="C57" s="7500" t="s">
        <v>2448</v>
      </c>
      <c r="D57" s="7500" t="s">
        <v>2449</v>
      </c>
      <c r="E57" s="7500" t="s">
        <v>2450</v>
      </c>
      <c r="F57" s="7500" t="s">
        <v>2451</v>
      </c>
      <c r="G57" s="7500" t="s">
        <v>24</v>
      </c>
      <c r="H57" s="7500" t="s">
        <v>24</v>
      </c>
      <c r="I57" s="7500" t="s">
        <v>761</v>
      </c>
    </row>
    <row customHeight="1" ht="11.25">
      <c r="A58" s="7500" t="s">
        <v>2243</v>
      </c>
      <c r="B58" s="7500" t="s">
        <v>14</v>
      </c>
      <c r="C58" s="7500" t="s">
        <v>2452</v>
      </c>
      <c r="D58" s="7500" t="s">
        <v>2453</v>
      </c>
      <c r="E58" s="7500" t="s">
        <v>2454</v>
      </c>
      <c r="F58" s="7500" t="s">
        <v>2287</v>
      </c>
      <c r="G58" s="7500" t="s">
        <v>24</v>
      </c>
      <c r="H58" s="7500" t="s">
        <v>24</v>
      </c>
      <c r="I58" s="7500" t="s">
        <v>761</v>
      </c>
    </row>
    <row customHeight="1" ht="11.25">
      <c r="A59" s="7500" t="s">
        <v>2243</v>
      </c>
      <c r="B59" s="7500" t="s">
        <v>14</v>
      </c>
      <c r="C59" s="7500" t="s">
        <v>2455</v>
      </c>
      <c r="D59" s="7500" t="s">
        <v>2456</v>
      </c>
      <c r="E59" s="7500" t="s">
        <v>2457</v>
      </c>
      <c r="F59" s="7500" t="s">
        <v>50</v>
      </c>
      <c r="G59" s="7500" t="s">
        <v>24</v>
      </c>
      <c r="H59" s="7500" t="s">
        <v>24</v>
      </c>
      <c r="I59" s="7500" t="s">
        <v>761</v>
      </c>
    </row>
    <row customHeight="1" ht="11.25">
      <c r="A60" s="7500" t="s">
        <v>2243</v>
      </c>
      <c r="B60" s="7500" t="s">
        <v>14</v>
      </c>
      <c r="C60" s="7500" t="s">
        <v>2458</v>
      </c>
      <c r="D60" s="7500" t="s">
        <v>2459</v>
      </c>
      <c r="E60" s="7500" t="s">
        <v>2460</v>
      </c>
      <c r="F60" s="7500" t="s">
        <v>2461</v>
      </c>
      <c r="G60" s="7500" t="s">
        <v>2462</v>
      </c>
      <c r="H60" s="7500" t="s">
        <v>24</v>
      </c>
      <c r="I60" s="7500" t="s">
        <v>761</v>
      </c>
    </row>
    <row customHeight="1" ht="11.25">
      <c r="A61" s="7500" t="s">
        <v>2243</v>
      </c>
      <c r="B61" s="7500" t="s">
        <v>14</v>
      </c>
      <c r="C61" s="7500" t="s">
        <v>2463</v>
      </c>
      <c r="D61" s="7500" t="s">
        <v>2464</v>
      </c>
      <c r="E61" s="7500" t="s">
        <v>2408</v>
      </c>
      <c r="F61" s="7500" t="s">
        <v>2465</v>
      </c>
      <c r="G61" s="7500" t="s">
        <v>24</v>
      </c>
      <c r="H61" s="7500" t="s">
        <v>24</v>
      </c>
      <c r="I61" s="7500" t="s">
        <v>761</v>
      </c>
    </row>
    <row customHeight="1" ht="11.25">
      <c r="A62" s="7500" t="s">
        <v>2243</v>
      </c>
      <c r="B62" s="7500" t="s">
        <v>14</v>
      </c>
      <c r="C62" s="7500" t="s">
        <v>2466</v>
      </c>
      <c r="D62" s="7500" t="s">
        <v>2467</v>
      </c>
      <c r="E62" s="7500" t="s">
        <v>2468</v>
      </c>
      <c r="F62" s="7500" t="s">
        <v>50</v>
      </c>
      <c r="G62" s="7500" t="s">
        <v>24</v>
      </c>
      <c r="H62" s="7500" t="s">
        <v>24</v>
      </c>
      <c r="I62" s="7500" t="s">
        <v>761</v>
      </c>
    </row>
    <row customHeight="1" ht="11.25">
      <c r="A63" s="7500" t="s">
        <v>2243</v>
      </c>
      <c r="B63" s="7500" t="s">
        <v>14</v>
      </c>
      <c r="C63" s="7500" t="s">
        <v>2469</v>
      </c>
      <c r="D63" s="7500" t="s">
        <v>2470</v>
      </c>
      <c r="E63" s="7500" t="s">
        <v>2460</v>
      </c>
      <c r="F63" s="7500" t="s">
        <v>2471</v>
      </c>
      <c r="G63" s="7500" t="s">
        <v>2472</v>
      </c>
      <c r="H63" s="7500" t="s">
        <v>24</v>
      </c>
      <c r="I63" s="7500" t="s">
        <v>761</v>
      </c>
    </row>
    <row customHeight="1" ht="11.25">
      <c r="A64" s="7500" t="s">
        <v>2243</v>
      </c>
      <c r="B64" s="7500" t="s">
        <v>14</v>
      </c>
      <c r="C64" s="7500" t="s">
        <v>2473</v>
      </c>
      <c r="D64" s="7500" t="s">
        <v>2474</v>
      </c>
      <c r="E64" s="7500" t="s">
        <v>2475</v>
      </c>
      <c r="F64" s="7500" t="s">
        <v>2255</v>
      </c>
      <c r="G64" s="7500" t="s">
        <v>2476</v>
      </c>
      <c r="H64" s="7500" t="s">
        <v>2477</v>
      </c>
      <c r="I64" s="7500" t="s">
        <v>761</v>
      </c>
    </row>
    <row customHeight="1" ht="11.25">
      <c r="A65" s="7500" t="s">
        <v>2243</v>
      </c>
      <c r="B65" s="7500" t="s">
        <v>14</v>
      </c>
      <c r="C65" s="7500" t="s">
        <v>2478</v>
      </c>
      <c r="D65" s="7500" t="s">
        <v>2479</v>
      </c>
      <c r="E65" s="7500" t="s">
        <v>2480</v>
      </c>
      <c r="F65" s="7500" t="s">
        <v>2481</v>
      </c>
      <c r="G65" s="7500" t="s">
        <v>24</v>
      </c>
      <c r="H65" s="7500" t="s">
        <v>24</v>
      </c>
      <c r="I65" s="7500" t="s">
        <v>761</v>
      </c>
    </row>
    <row customHeight="1" ht="11.25">
      <c r="A66" s="7500" t="s">
        <v>2243</v>
      </c>
      <c r="B66" s="7500" t="s">
        <v>14</v>
      </c>
      <c r="C66" s="7500" t="s">
        <v>2482</v>
      </c>
      <c r="D66" s="7500" t="s">
        <v>2483</v>
      </c>
      <c r="E66" s="7500" t="s">
        <v>2484</v>
      </c>
      <c r="F66" s="7500" t="s">
        <v>2485</v>
      </c>
      <c r="G66" s="7500" t="s">
        <v>2486</v>
      </c>
      <c r="H66" s="7500" t="s">
        <v>24</v>
      </c>
      <c r="I66" s="7500" t="s">
        <v>761</v>
      </c>
    </row>
    <row customHeight="1" ht="11.25">
      <c r="A67" s="7500" t="s">
        <v>2243</v>
      </c>
      <c r="B67" s="7500" t="s">
        <v>14</v>
      </c>
      <c r="C67" s="7500" t="s">
        <v>2487</v>
      </c>
      <c r="D67" s="7500" t="s">
        <v>2488</v>
      </c>
      <c r="E67" s="7500" t="s">
        <v>2489</v>
      </c>
      <c r="F67" s="7500" t="s">
        <v>2485</v>
      </c>
      <c r="G67" s="7500" t="s">
        <v>24</v>
      </c>
      <c r="H67" s="7500" t="s">
        <v>24</v>
      </c>
      <c r="I67" s="7500" t="s">
        <v>761</v>
      </c>
    </row>
    <row customHeight="1" ht="11.25">
      <c r="A68" s="7500" t="s">
        <v>2243</v>
      </c>
      <c r="B68" s="7500" t="s">
        <v>14</v>
      </c>
      <c r="C68" s="7500" t="s">
        <v>2490</v>
      </c>
      <c r="D68" s="7500" t="s">
        <v>2491</v>
      </c>
      <c r="E68" s="7500" t="s">
        <v>2492</v>
      </c>
      <c r="F68" s="7500" t="s">
        <v>2255</v>
      </c>
      <c r="G68" s="7500" t="s">
        <v>24</v>
      </c>
      <c r="H68" s="7500" t="s">
        <v>24</v>
      </c>
      <c r="I68" s="7500" t="s">
        <v>761</v>
      </c>
    </row>
    <row customHeight="1" ht="11.25">
      <c r="A69" s="7500" t="s">
        <v>2243</v>
      </c>
      <c r="B69" s="7500" t="s">
        <v>14</v>
      </c>
      <c r="C69" s="7500" t="s">
        <v>2493</v>
      </c>
      <c r="D69" s="7500" t="s">
        <v>2494</v>
      </c>
      <c r="E69" s="7500" t="s">
        <v>2495</v>
      </c>
      <c r="F69" s="7500" t="s">
        <v>2414</v>
      </c>
      <c r="G69" s="7500" t="s">
        <v>24</v>
      </c>
      <c r="H69" s="7500" t="s">
        <v>24</v>
      </c>
      <c r="I69" s="7500" t="s">
        <v>761</v>
      </c>
    </row>
    <row customHeight="1" ht="11.25">
      <c r="A70" s="7500" t="s">
        <v>2243</v>
      </c>
      <c r="B70" s="7500" t="s">
        <v>14</v>
      </c>
      <c r="C70" s="7500" t="s">
        <v>2244</v>
      </c>
      <c r="D70" s="7500" t="s">
        <v>2245</v>
      </c>
      <c r="E70" s="7500" t="s">
        <v>2246</v>
      </c>
      <c r="F70" s="7500" t="s">
        <v>2247</v>
      </c>
      <c r="G70" s="7500" t="s">
        <v>2248</v>
      </c>
      <c r="H70" s="7500" t="s">
        <v>24</v>
      </c>
      <c r="I70" s="7500" t="s">
        <v>845</v>
      </c>
    </row>
    <row customHeight="1" ht="11.25">
      <c r="A71" s="7500" t="s">
        <v>2243</v>
      </c>
      <c r="B71" s="7500" t="s">
        <v>14</v>
      </c>
      <c r="C71" s="7500" t="s">
        <v>2249</v>
      </c>
      <c r="D71" s="7500" t="s">
        <v>2245</v>
      </c>
      <c r="E71" s="7500" t="s">
        <v>2246</v>
      </c>
      <c r="F71" s="7500" t="s">
        <v>2250</v>
      </c>
      <c r="G71" s="7500" t="s">
        <v>2251</v>
      </c>
      <c r="H71" s="7500" t="s">
        <v>24</v>
      </c>
      <c r="I71" s="7500" t="s">
        <v>845</v>
      </c>
    </row>
    <row customHeight="1" ht="11.25">
      <c r="A72" s="7500" t="s">
        <v>2243</v>
      </c>
      <c r="B72" s="7500" t="s">
        <v>14</v>
      </c>
      <c r="C72" s="7500" t="s">
        <v>2260</v>
      </c>
      <c r="D72" s="7500" t="s">
        <v>2261</v>
      </c>
      <c r="E72" s="7500" t="s">
        <v>2262</v>
      </c>
      <c r="F72" s="7500" t="s">
        <v>2263</v>
      </c>
      <c r="G72" s="7500" t="s">
        <v>24</v>
      </c>
      <c r="H72" s="7500" t="s">
        <v>24</v>
      </c>
      <c r="I72" s="7500" t="s">
        <v>845</v>
      </c>
    </row>
    <row customHeight="1" ht="11.25">
      <c r="A73" s="7500" t="s">
        <v>2243</v>
      </c>
      <c r="B73" s="7500" t="s">
        <v>14</v>
      </c>
      <c r="C73" s="7500" t="s">
        <v>2264</v>
      </c>
      <c r="D73" s="7500" t="s">
        <v>2265</v>
      </c>
      <c r="E73" s="7500" t="s">
        <v>2266</v>
      </c>
      <c r="F73" s="7500" t="s">
        <v>2263</v>
      </c>
      <c r="G73" s="7500" t="s">
        <v>2267</v>
      </c>
      <c r="H73" s="7500" t="s">
        <v>24</v>
      </c>
      <c r="I73" s="7500" t="s">
        <v>845</v>
      </c>
    </row>
    <row customHeight="1" ht="11.25">
      <c r="A74" s="7500" t="s">
        <v>2243</v>
      </c>
      <c r="B74" s="7500" t="s">
        <v>14</v>
      </c>
      <c r="C74" s="7500" t="s">
        <v>2268</v>
      </c>
      <c r="D74" s="7500" t="s">
        <v>2269</v>
      </c>
      <c r="E74" s="7500" t="s">
        <v>2270</v>
      </c>
      <c r="F74" s="7500" t="s">
        <v>2271</v>
      </c>
      <c r="G74" s="7500" t="s">
        <v>24</v>
      </c>
      <c r="H74" s="7500" t="s">
        <v>24</v>
      </c>
      <c r="I74" s="7500" t="s">
        <v>845</v>
      </c>
    </row>
    <row customHeight="1" ht="11.25">
      <c r="A75" s="7500" t="s">
        <v>2243</v>
      </c>
      <c r="B75" s="7500" t="s">
        <v>14</v>
      </c>
      <c r="C75" s="7500" t="s">
        <v>2272</v>
      </c>
      <c r="D75" s="7500" t="s">
        <v>2273</v>
      </c>
      <c r="E75" s="7500" t="s">
        <v>2274</v>
      </c>
      <c r="F75" s="7500" t="s">
        <v>50</v>
      </c>
      <c r="G75" s="7500" t="s">
        <v>24</v>
      </c>
      <c r="H75" s="7500" t="s">
        <v>24</v>
      </c>
      <c r="I75" s="7500" t="s">
        <v>845</v>
      </c>
    </row>
    <row customHeight="1" ht="11.25">
      <c r="A76" s="7500" t="s">
        <v>2243</v>
      </c>
      <c r="B76" s="7500" t="s">
        <v>14</v>
      </c>
      <c r="C76" s="7500" t="s">
        <v>2279</v>
      </c>
      <c r="D76" s="7500" t="s">
        <v>45</v>
      </c>
      <c r="E76" s="7500" t="s">
        <v>48</v>
      </c>
      <c r="F76" s="7500" t="s">
        <v>50</v>
      </c>
      <c r="G76" s="7500" t="s">
        <v>24</v>
      </c>
      <c r="H76" s="7500" t="s">
        <v>24</v>
      </c>
      <c r="I76" s="7500" t="s">
        <v>845</v>
      </c>
    </row>
    <row customHeight="1" ht="11.25">
      <c r="A77" s="7500" t="s">
        <v>2243</v>
      </c>
      <c r="B77" s="7500" t="s">
        <v>14</v>
      </c>
      <c r="C77" s="7500" t="s">
        <v>2284</v>
      </c>
      <c r="D77" s="7500" t="s">
        <v>2285</v>
      </c>
      <c r="E77" s="7500" t="s">
        <v>2286</v>
      </c>
      <c r="F77" s="7500" t="s">
        <v>2287</v>
      </c>
      <c r="G77" s="7500" t="s">
        <v>2288</v>
      </c>
      <c r="H77" s="7500" t="s">
        <v>24</v>
      </c>
      <c r="I77" s="7500" t="s">
        <v>845</v>
      </c>
    </row>
    <row customHeight="1" ht="11.25">
      <c r="A78" s="7500" t="s">
        <v>2243</v>
      </c>
      <c r="B78" s="7500" t="s">
        <v>14</v>
      </c>
      <c r="C78" s="7500" t="s">
        <v>2289</v>
      </c>
      <c r="D78" s="7500" t="s">
        <v>2290</v>
      </c>
      <c r="E78" s="7500" t="s">
        <v>2291</v>
      </c>
      <c r="F78" s="7500" t="s">
        <v>2292</v>
      </c>
      <c r="G78" s="7500" t="s">
        <v>24</v>
      </c>
      <c r="H78" s="7500" t="s">
        <v>24</v>
      </c>
      <c r="I78" s="7500" t="s">
        <v>845</v>
      </c>
    </row>
    <row customHeight="1" ht="11.25">
      <c r="A79" s="7500" t="s">
        <v>2243</v>
      </c>
      <c r="B79" s="7500" t="s">
        <v>14</v>
      </c>
      <c r="C79" s="7500" t="s">
        <v>2302</v>
      </c>
      <c r="D79" s="7500" t="s">
        <v>2303</v>
      </c>
      <c r="E79" s="7500" t="s">
        <v>2304</v>
      </c>
      <c r="F79" s="7500" t="s">
        <v>50</v>
      </c>
      <c r="G79" s="7500" t="s">
        <v>2305</v>
      </c>
      <c r="H79" s="7500" t="s">
        <v>24</v>
      </c>
      <c r="I79" s="7500" t="s">
        <v>845</v>
      </c>
    </row>
    <row customHeight="1" ht="11.25">
      <c r="A80" s="7500" t="s">
        <v>2243</v>
      </c>
      <c r="B80" s="7500" t="s">
        <v>14</v>
      </c>
      <c r="C80" s="7500" t="s">
        <v>2313</v>
      </c>
      <c r="D80" s="7500" t="s">
        <v>2314</v>
      </c>
      <c r="E80" s="7500" t="s">
        <v>2315</v>
      </c>
      <c r="F80" s="7500" t="s">
        <v>50</v>
      </c>
      <c r="G80" s="7500" t="s">
        <v>2316</v>
      </c>
      <c r="H80" s="7500" t="s">
        <v>24</v>
      </c>
      <c r="I80" s="7500" t="s">
        <v>845</v>
      </c>
    </row>
    <row customHeight="1" ht="11.25">
      <c r="A81" s="7500" t="s">
        <v>2243</v>
      </c>
      <c r="B81" s="7500" t="s">
        <v>14</v>
      </c>
      <c r="C81" s="7500" t="s">
        <v>24</v>
      </c>
      <c r="D81" s="7500" t="s">
        <v>2317</v>
      </c>
      <c r="E81" s="7500" t="s">
        <v>2318</v>
      </c>
      <c r="F81" s="7500" t="s">
        <v>50</v>
      </c>
      <c r="G81" s="7500" t="s">
        <v>24</v>
      </c>
      <c r="H81" s="7500" t="s">
        <v>24</v>
      </c>
      <c r="I81" s="7500" t="s">
        <v>845</v>
      </c>
    </row>
    <row customHeight="1" ht="11.25">
      <c r="A82" s="7500" t="s">
        <v>2243</v>
      </c>
      <c r="B82" s="7500" t="s">
        <v>14</v>
      </c>
      <c r="C82" s="7500" t="s">
        <v>2319</v>
      </c>
      <c r="D82" s="7500" t="s">
        <v>2320</v>
      </c>
      <c r="E82" s="7500" t="s">
        <v>2321</v>
      </c>
      <c r="F82" s="7500" t="s">
        <v>2322</v>
      </c>
      <c r="G82" s="7500" t="s">
        <v>24</v>
      </c>
      <c r="H82" s="7500" t="s">
        <v>24</v>
      </c>
      <c r="I82" s="7500" t="s">
        <v>845</v>
      </c>
    </row>
    <row customHeight="1" ht="11.25">
      <c r="A83" s="7500" t="s">
        <v>2243</v>
      </c>
      <c r="B83" s="7500" t="s">
        <v>14</v>
      </c>
      <c r="C83" s="7500" t="s">
        <v>2339</v>
      </c>
      <c r="D83" s="7500" t="s">
        <v>2340</v>
      </c>
      <c r="E83" s="7500" t="s">
        <v>2341</v>
      </c>
      <c r="F83" s="7500" t="s">
        <v>2342</v>
      </c>
      <c r="G83" s="7500" t="s">
        <v>24</v>
      </c>
      <c r="H83" s="7500" t="s">
        <v>24</v>
      </c>
      <c r="I83" s="7500" t="s">
        <v>845</v>
      </c>
    </row>
    <row customHeight="1" ht="11.25">
      <c r="A84" s="7500" t="s">
        <v>2243</v>
      </c>
      <c r="B84" s="7500" t="s">
        <v>14</v>
      </c>
      <c r="C84" s="7500" t="s">
        <v>2346</v>
      </c>
      <c r="D84" s="7500" t="s">
        <v>2347</v>
      </c>
      <c r="E84" s="7500" t="s">
        <v>2348</v>
      </c>
      <c r="F84" s="7500" t="s">
        <v>2349</v>
      </c>
      <c r="G84" s="7500" t="s">
        <v>24</v>
      </c>
      <c r="H84" s="7500" t="s">
        <v>24</v>
      </c>
      <c r="I84" s="7500" t="s">
        <v>845</v>
      </c>
    </row>
    <row customHeight="1" ht="11.25">
      <c r="A85" s="7500" t="s">
        <v>2243</v>
      </c>
      <c r="B85" s="7500" t="s">
        <v>14</v>
      </c>
      <c r="C85" s="7500" t="s">
        <v>2350</v>
      </c>
      <c r="D85" s="7500" t="s">
        <v>2351</v>
      </c>
      <c r="E85" s="7500" t="s">
        <v>2352</v>
      </c>
      <c r="F85" s="7500" t="s">
        <v>2353</v>
      </c>
      <c r="G85" s="7500" t="s">
        <v>24</v>
      </c>
      <c r="H85" s="7500" t="s">
        <v>24</v>
      </c>
      <c r="I85" s="7500" t="s">
        <v>845</v>
      </c>
    </row>
    <row customHeight="1" ht="11.25">
      <c r="A86" s="7500" t="s">
        <v>2243</v>
      </c>
      <c r="B86" s="7500" t="s">
        <v>14</v>
      </c>
      <c r="C86" s="7500" t="s">
        <v>2354</v>
      </c>
      <c r="D86" s="7500" t="s">
        <v>2355</v>
      </c>
      <c r="E86" s="7500" t="s">
        <v>2356</v>
      </c>
      <c r="F86" s="7500" t="s">
        <v>2255</v>
      </c>
      <c r="G86" s="7500" t="s">
        <v>24</v>
      </c>
      <c r="H86" s="7500" t="s">
        <v>24</v>
      </c>
      <c r="I86" s="7500" t="s">
        <v>845</v>
      </c>
    </row>
    <row customHeight="1" ht="11.25">
      <c r="A87" s="7500" t="s">
        <v>2243</v>
      </c>
      <c r="B87" s="7500" t="s">
        <v>14</v>
      </c>
      <c r="C87" s="7500" t="s">
        <v>2357</v>
      </c>
      <c r="D87" s="7500" t="s">
        <v>2358</v>
      </c>
      <c r="E87" s="7500" t="s">
        <v>2359</v>
      </c>
      <c r="F87" s="7500" t="s">
        <v>2296</v>
      </c>
      <c r="G87" s="7500" t="s">
        <v>24</v>
      </c>
      <c r="H87" s="7500" t="s">
        <v>24</v>
      </c>
      <c r="I87" s="7500" t="s">
        <v>845</v>
      </c>
    </row>
    <row customHeight="1" ht="11.25">
      <c r="A88" s="7500" t="s">
        <v>2243</v>
      </c>
      <c r="B88" s="7500" t="s">
        <v>14</v>
      </c>
      <c r="C88" s="7500" t="s">
        <v>2360</v>
      </c>
      <c r="D88" s="7500" t="s">
        <v>2361</v>
      </c>
      <c r="E88" s="7500" t="s">
        <v>2362</v>
      </c>
      <c r="F88" s="7500" t="s">
        <v>2255</v>
      </c>
      <c r="G88" s="7500" t="s">
        <v>24</v>
      </c>
      <c r="H88" s="7500" t="s">
        <v>24</v>
      </c>
      <c r="I88" s="7500" t="s">
        <v>845</v>
      </c>
    </row>
    <row customHeight="1" ht="11.25">
      <c r="A89" s="7500" t="s">
        <v>2243</v>
      </c>
      <c r="B89" s="7500" t="s">
        <v>14</v>
      </c>
      <c r="C89" s="7500" t="s">
        <v>2363</v>
      </c>
      <c r="D89" s="7500" t="s">
        <v>2364</v>
      </c>
      <c r="E89" s="7500" t="s">
        <v>2365</v>
      </c>
      <c r="F89" s="7500" t="s">
        <v>50</v>
      </c>
      <c r="G89" s="7500" t="s">
        <v>24</v>
      </c>
      <c r="H89" s="7500" t="s">
        <v>24</v>
      </c>
      <c r="I89" s="7500" t="s">
        <v>845</v>
      </c>
    </row>
    <row customHeight="1" ht="11.25">
      <c r="A90" s="7500" t="s">
        <v>2243</v>
      </c>
      <c r="B90" s="7500" t="s">
        <v>14</v>
      </c>
      <c r="C90" s="7500" t="s">
        <v>2377</v>
      </c>
      <c r="D90" s="7500" t="s">
        <v>2378</v>
      </c>
      <c r="E90" s="7500" t="s">
        <v>2379</v>
      </c>
      <c r="F90" s="7500" t="s">
        <v>2322</v>
      </c>
      <c r="G90" s="7500" t="s">
        <v>24</v>
      </c>
      <c r="H90" s="7500" t="s">
        <v>24</v>
      </c>
      <c r="I90" s="7500" t="s">
        <v>845</v>
      </c>
    </row>
    <row customHeight="1" ht="11.25">
      <c r="A91" s="7500" t="s">
        <v>2243</v>
      </c>
      <c r="B91" s="7500" t="s">
        <v>14</v>
      </c>
      <c r="C91" s="7500" t="s">
        <v>2380</v>
      </c>
      <c r="D91" s="7500" t="s">
        <v>2381</v>
      </c>
      <c r="E91" s="7500" t="s">
        <v>2382</v>
      </c>
      <c r="F91" s="7500" t="s">
        <v>2255</v>
      </c>
      <c r="G91" s="7500" t="s">
        <v>24</v>
      </c>
      <c r="H91" s="7500" t="s">
        <v>24</v>
      </c>
      <c r="I91" s="7500" t="s">
        <v>845</v>
      </c>
    </row>
    <row customHeight="1" ht="11.25">
      <c r="A92" s="7500" t="s">
        <v>2243</v>
      </c>
      <c r="B92" s="7500" t="s">
        <v>14</v>
      </c>
      <c r="C92" s="7500" t="s">
        <v>2383</v>
      </c>
      <c r="D92" s="7500" t="s">
        <v>2384</v>
      </c>
      <c r="E92" s="7500" t="s">
        <v>2385</v>
      </c>
      <c r="F92" s="7500" t="s">
        <v>2296</v>
      </c>
      <c r="G92" s="7500" t="s">
        <v>24</v>
      </c>
      <c r="H92" s="7500" t="s">
        <v>24</v>
      </c>
      <c r="I92" s="7500" t="s">
        <v>845</v>
      </c>
    </row>
    <row customHeight="1" ht="11.25">
      <c r="A93" s="7500" t="s">
        <v>2243</v>
      </c>
      <c r="B93" s="7500" t="s">
        <v>14</v>
      </c>
      <c r="C93" s="7500" t="s">
        <v>2386</v>
      </c>
      <c r="D93" s="7500" t="s">
        <v>2387</v>
      </c>
      <c r="E93" s="7500" t="s">
        <v>2388</v>
      </c>
      <c r="F93" s="7500" t="s">
        <v>2389</v>
      </c>
      <c r="G93" s="7500" t="s">
        <v>24</v>
      </c>
      <c r="H93" s="7500" t="s">
        <v>24</v>
      </c>
      <c r="I93" s="7500" t="s">
        <v>845</v>
      </c>
    </row>
    <row customHeight="1" ht="11.25">
      <c r="A94" s="7500" t="s">
        <v>2243</v>
      </c>
      <c r="B94" s="7500" t="s">
        <v>14</v>
      </c>
      <c r="C94" s="7500" t="s">
        <v>2398</v>
      </c>
      <c r="D94" s="7500" t="s">
        <v>2399</v>
      </c>
      <c r="E94" s="7500" t="s">
        <v>2400</v>
      </c>
      <c r="F94" s="7500" t="s">
        <v>2255</v>
      </c>
      <c r="G94" s="7500" t="s">
        <v>24</v>
      </c>
      <c r="H94" s="7500" t="s">
        <v>24</v>
      </c>
      <c r="I94" s="7500" t="s">
        <v>845</v>
      </c>
    </row>
    <row customHeight="1" ht="11.25">
      <c r="A95" s="7500" t="s">
        <v>2243</v>
      </c>
      <c r="B95" s="7500" t="s">
        <v>14</v>
      </c>
      <c r="C95" s="7500" t="s">
        <v>2401</v>
      </c>
      <c r="D95" s="7500" t="s">
        <v>2402</v>
      </c>
      <c r="E95" s="7500" t="s">
        <v>2403</v>
      </c>
      <c r="F95" s="7500" t="s">
        <v>2404</v>
      </c>
      <c r="G95" s="7500" t="s">
        <v>2405</v>
      </c>
      <c r="H95" s="7500" t="s">
        <v>24</v>
      </c>
      <c r="I95" s="7500" t="s">
        <v>845</v>
      </c>
    </row>
    <row customHeight="1" ht="11.25">
      <c r="A96" s="7500" t="s">
        <v>2243</v>
      </c>
      <c r="B96" s="7500" t="s">
        <v>14</v>
      </c>
      <c r="C96" s="7500" t="s">
        <v>2411</v>
      </c>
      <c r="D96" s="7500" t="s">
        <v>2412</v>
      </c>
      <c r="E96" s="7500" t="s">
        <v>2413</v>
      </c>
      <c r="F96" s="7500" t="s">
        <v>2414</v>
      </c>
      <c r="G96" s="7500" t="s">
        <v>24</v>
      </c>
      <c r="H96" s="7500" t="s">
        <v>24</v>
      </c>
      <c r="I96" s="7500" t="s">
        <v>845</v>
      </c>
    </row>
    <row customHeight="1" ht="11.25">
      <c r="A97" s="7500" t="s">
        <v>2243</v>
      </c>
      <c r="B97" s="7500" t="s">
        <v>14</v>
      </c>
      <c r="C97" s="7500" t="s">
        <v>2415</v>
      </c>
      <c r="D97" s="7500" t="s">
        <v>2416</v>
      </c>
      <c r="E97" s="7500" t="s">
        <v>2417</v>
      </c>
      <c r="F97" s="7500" t="s">
        <v>2255</v>
      </c>
      <c r="G97" s="7500" t="s">
        <v>24</v>
      </c>
      <c r="H97" s="7500" t="s">
        <v>24</v>
      </c>
      <c r="I97" s="7500" t="s">
        <v>845</v>
      </c>
    </row>
    <row customHeight="1" ht="11.25">
      <c r="A98" s="7500" t="s">
        <v>2243</v>
      </c>
      <c r="B98" s="7500" t="s">
        <v>14</v>
      </c>
      <c r="C98" s="7500" t="s">
        <v>2418</v>
      </c>
      <c r="D98" s="7500" t="s">
        <v>2419</v>
      </c>
      <c r="E98" s="7500" t="s">
        <v>2420</v>
      </c>
      <c r="F98" s="7500" t="s">
        <v>2255</v>
      </c>
      <c r="G98" s="7500" t="s">
        <v>24</v>
      </c>
      <c r="H98" s="7500" t="s">
        <v>24</v>
      </c>
      <c r="I98" s="7500" t="s">
        <v>845</v>
      </c>
    </row>
    <row customHeight="1" ht="11.25">
      <c r="A99" s="7500" t="s">
        <v>2243</v>
      </c>
      <c r="B99" s="7500" t="s">
        <v>14</v>
      </c>
      <c r="C99" s="7500" t="s">
        <v>2421</v>
      </c>
      <c r="D99" s="7500" t="s">
        <v>2422</v>
      </c>
      <c r="E99" s="7500" t="s">
        <v>2423</v>
      </c>
      <c r="F99" s="7500" t="s">
        <v>2424</v>
      </c>
      <c r="G99" s="7500" t="s">
        <v>2425</v>
      </c>
      <c r="H99" s="7500" t="s">
        <v>24</v>
      </c>
      <c r="I99" s="7500" t="s">
        <v>845</v>
      </c>
    </row>
    <row customHeight="1" ht="11.25">
      <c r="A100" s="7500" t="s">
        <v>2243</v>
      </c>
      <c r="B100" s="7500" t="s">
        <v>14</v>
      </c>
      <c r="C100" s="7500" t="s">
        <v>2426</v>
      </c>
      <c r="D100" s="7500" t="s">
        <v>2427</v>
      </c>
      <c r="E100" s="7500" t="s">
        <v>2428</v>
      </c>
      <c r="F100" s="7500" t="s">
        <v>50</v>
      </c>
      <c r="G100" s="7500" t="s">
        <v>24</v>
      </c>
      <c r="H100" s="7500" t="s">
        <v>2429</v>
      </c>
      <c r="I100" s="7500" t="s">
        <v>845</v>
      </c>
    </row>
    <row customHeight="1" ht="11.25">
      <c r="A101" s="7500" t="s">
        <v>2243</v>
      </c>
      <c r="B101" s="7500" t="s">
        <v>14</v>
      </c>
      <c r="C101" s="7500" t="s">
        <v>2430</v>
      </c>
      <c r="D101" s="7500" t="s">
        <v>2431</v>
      </c>
      <c r="E101" s="7500" t="s">
        <v>2432</v>
      </c>
      <c r="F101" s="7500" t="s">
        <v>2337</v>
      </c>
      <c r="G101" s="7500" t="s">
        <v>24</v>
      </c>
      <c r="H101" s="7500" t="s">
        <v>24</v>
      </c>
      <c r="I101" s="7500" t="s">
        <v>845</v>
      </c>
    </row>
    <row customHeight="1" ht="11.25">
      <c r="A102" s="7500" t="s">
        <v>2243</v>
      </c>
      <c r="B102" s="7500" t="s">
        <v>14</v>
      </c>
      <c r="C102" s="7500" t="s">
        <v>2436</v>
      </c>
      <c r="D102" s="7500" t="s">
        <v>2437</v>
      </c>
      <c r="E102" s="7500" t="s">
        <v>2438</v>
      </c>
      <c r="F102" s="7500" t="s">
        <v>2353</v>
      </c>
      <c r="G102" s="7500" t="s">
        <v>2439</v>
      </c>
      <c r="H102" s="7500" t="s">
        <v>24</v>
      </c>
      <c r="I102" s="7500" t="s">
        <v>845</v>
      </c>
    </row>
    <row customHeight="1" ht="11.25">
      <c r="A103" s="7500" t="s">
        <v>2243</v>
      </c>
      <c r="B103" s="7500" t="s">
        <v>14</v>
      </c>
      <c r="C103" s="7500" t="s">
        <v>2440</v>
      </c>
      <c r="D103" s="7500" t="s">
        <v>2441</v>
      </c>
      <c r="E103" s="7500" t="s">
        <v>2442</v>
      </c>
      <c r="F103" s="7500" t="s">
        <v>2424</v>
      </c>
      <c r="G103" s="7500" t="s">
        <v>24</v>
      </c>
      <c r="H103" s="7500" t="s">
        <v>24</v>
      </c>
      <c r="I103" s="7500" t="s">
        <v>845</v>
      </c>
    </row>
    <row customHeight="1" ht="11.25">
      <c r="A104" s="7500" t="s">
        <v>2243</v>
      </c>
      <c r="B104" s="7500" t="s">
        <v>14</v>
      </c>
      <c r="C104" s="7500" t="s">
        <v>2448</v>
      </c>
      <c r="D104" s="7500" t="s">
        <v>2449</v>
      </c>
      <c r="E104" s="7500" t="s">
        <v>2450</v>
      </c>
      <c r="F104" s="7500" t="s">
        <v>2451</v>
      </c>
      <c r="G104" s="7500" t="s">
        <v>24</v>
      </c>
      <c r="H104" s="7500" t="s">
        <v>24</v>
      </c>
      <c r="I104" s="7500" t="s">
        <v>845</v>
      </c>
    </row>
    <row customHeight="1" ht="11.25">
      <c r="A105" s="7500" t="s">
        <v>2243</v>
      </c>
      <c r="B105" s="7500" t="s">
        <v>14</v>
      </c>
      <c r="C105" s="7500" t="s">
        <v>2452</v>
      </c>
      <c r="D105" s="7500" t="s">
        <v>2453</v>
      </c>
      <c r="E105" s="7500" t="s">
        <v>2454</v>
      </c>
      <c r="F105" s="7500" t="s">
        <v>2287</v>
      </c>
      <c r="G105" s="7500" t="s">
        <v>24</v>
      </c>
      <c r="H105" s="7500" t="s">
        <v>24</v>
      </c>
      <c r="I105" s="7500" t="s">
        <v>845</v>
      </c>
    </row>
    <row customHeight="1" ht="11.25">
      <c r="A106" s="7500" t="s">
        <v>2243</v>
      </c>
      <c r="B106" s="7500" t="s">
        <v>14</v>
      </c>
      <c r="C106" s="7500" t="s">
        <v>2455</v>
      </c>
      <c r="D106" s="7500" t="s">
        <v>2456</v>
      </c>
      <c r="E106" s="7500" t="s">
        <v>2457</v>
      </c>
      <c r="F106" s="7500" t="s">
        <v>50</v>
      </c>
      <c r="G106" s="7500" t="s">
        <v>24</v>
      </c>
      <c r="H106" s="7500" t="s">
        <v>24</v>
      </c>
      <c r="I106" s="7500" t="s">
        <v>845</v>
      </c>
    </row>
    <row customHeight="1" ht="11.25">
      <c r="A107" s="7500" t="s">
        <v>2243</v>
      </c>
      <c r="B107" s="7500" t="s">
        <v>14</v>
      </c>
      <c r="C107" s="7500" t="s">
        <v>2458</v>
      </c>
      <c r="D107" s="7500" t="s">
        <v>2459</v>
      </c>
      <c r="E107" s="7500" t="s">
        <v>2460</v>
      </c>
      <c r="F107" s="7500" t="s">
        <v>2461</v>
      </c>
      <c r="G107" s="7500" t="s">
        <v>2462</v>
      </c>
      <c r="H107" s="7500" t="s">
        <v>24</v>
      </c>
      <c r="I107" s="7500" t="s">
        <v>845</v>
      </c>
    </row>
    <row customHeight="1" ht="11.25">
      <c r="A108" s="7500" t="s">
        <v>2243</v>
      </c>
      <c r="B108" s="7500" t="s">
        <v>14</v>
      </c>
      <c r="C108" s="7500" t="s">
        <v>2466</v>
      </c>
      <c r="D108" s="7500" t="s">
        <v>2467</v>
      </c>
      <c r="E108" s="7500" t="s">
        <v>2468</v>
      </c>
      <c r="F108" s="7500" t="s">
        <v>50</v>
      </c>
      <c r="G108" s="7500" t="s">
        <v>24</v>
      </c>
      <c r="H108" s="7500" t="s">
        <v>24</v>
      </c>
      <c r="I108" s="7500" t="s">
        <v>845</v>
      </c>
    </row>
    <row customHeight="1" ht="11.25">
      <c r="A109" s="7500" t="s">
        <v>2243</v>
      </c>
      <c r="B109" s="7500" t="s">
        <v>14</v>
      </c>
      <c r="C109" s="7500" t="s">
        <v>2469</v>
      </c>
      <c r="D109" s="7500" t="s">
        <v>2470</v>
      </c>
      <c r="E109" s="7500" t="s">
        <v>2460</v>
      </c>
      <c r="F109" s="7500" t="s">
        <v>2471</v>
      </c>
      <c r="G109" s="7500" t="s">
        <v>2472</v>
      </c>
      <c r="H109" s="7500" t="s">
        <v>24</v>
      </c>
      <c r="I109" s="7500" t="s">
        <v>845</v>
      </c>
    </row>
    <row customHeight="1" ht="11.25">
      <c r="A110" s="7500" t="s">
        <v>2243</v>
      </c>
      <c r="B110" s="7500" t="s">
        <v>14</v>
      </c>
      <c r="C110" s="7500" t="s">
        <v>2478</v>
      </c>
      <c r="D110" s="7500" t="s">
        <v>2479</v>
      </c>
      <c r="E110" s="7500" t="s">
        <v>2480</v>
      </c>
      <c r="F110" s="7500" t="s">
        <v>2481</v>
      </c>
      <c r="G110" s="7500" t="s">
        <v>24</v>
      </c>
      <c r="H110" s="7500" t="s">
        <v>24</v>
      </c>
      <c r="I110" s="7500" t="s">
        <v>845</v>
      </c>
    </row>
    <row customHeight="1" ht="11.25">
      <c r="A111" s="7500" t="s">
        <v>2243</v>
      </c>
      <c r="B111" s="7500" t="s">
        <v>14</v>
      </c>
      <c r="C111" s="7500" t="s">
        <v>2487</v>
      </c>
      <c r="D111" s="7500" t="s">
        <v>2488</v>
      </c>
      <c r="E111" s="7500" t="s">
        <v>2489</v>
      </c>
      <c r="F111" s="7500" t="s">
        <v>2485</v>
      </c>
      <c r="G111" s="7500" t="s">
        <v>24</v>
      </c>
      <c r="H111" s="7500" t="s">
        <v>24</v>
      </c>
      <c r="I111" s="7500" t="s">
        <v>845</v>
      </c>
    </row>
    <row customHeight="1" ht="11.25">
      <c r="A112" s="7500" t="s">
        <v>2243</v>
      </c>
      <c r="B112" s="7500" t="s">
        <v>14</v>
      </c>
      <c r="C112" s="7500" t="s">
        <v>2244</v>
      </c>
      <c r="D112" s="7500" t="s">
        <v>2245</v>
      </c>
      <c r="E112" s="7500" t="s">
        <v>2246</v>
      </c>
      <c r="F112" s="7500" t="s">
        <v>2247</v>
      </c>
      <c r="G112" s="7500" t="s">
        <v>2248</v>
      </c>
      <c r="H112" s="7500" t="s">
        <v>24</v>
      </c>
      <c r="I112" s="7500" t="s">
        <v>807</v>
      </c>
    </row>
    <row customHeight="1" ht="11.25">
      <c r="A113" s="7500" t="s">
        <v>2243</v>
      </c>
      <c r="B113" s="7500" t="s">
        <v>14</v>
      </c>
      <c r="C113" s="7500" t="s">
        <v>2249</v>
      </c>
      <c r="D113" s="7500" t="s">
        <v>2245</v>
      </c>
      <c r="E113" s="7500" t="s">
        <v>2246</v>
      </c>
      <c r="F113" s="7500" t="s">
        <v>2250</v>
      </c>
      <c r="G113" s="7500" t="s">
        <v>2251</v>
      </c>
      <c r="H113" s="7500" t="s">
        <v>24</v>
      </c>
      <c r="I113" s="7500" t="s">
        <v>807</v>
      </c>
    </row>
    <row customHeight="1" ht="11.25">
      <c r="A114" s="7500" t="s">
        <v>2243</v>
      </c>
      <c r="B114" s="7500" t="s">
        <v>14</v>
      </c>
      <c r="C114" s="7500" t="s">
        <v>2496</v>
      </c>
      <c r="D114" s="7500" t="s">
        <v>2497</v>
      </c>
      <c r="E114" s="7500" t="s">
        <v>2498</v>
      </c>
      <c r="F114" s="7500" t="s">
        <v>2309</v>
      </c>
      <c r="G114" s="7500" t="s">
        <v>2499</v>
      </c>
      <c r="H114" s="7500" t="s">
        <v>24</v>
      </c>
      <c r="I114" s="7500" t="s">
        <v>807</v>
      </c>
    </row>
    <row customHeight="1" ht="11.25">
      <c r="A115" s="7500" t="s">
        <v>2243</v>
      </c>
      <c r="B115" s="7500" t="s">
        <v>14</v>
      </c>
      <c r="C115" s="7500" t="s">
        <v>2252</v>
      </c>
      <c r="D115" s="7500" t="s">
        <v>2253</v>
      </c>
      <c r="E115" s="7500" t="s">
        <v>2254</v>
      </c>
      <c r="F115" s="7500" t="s">
        <v>2255</v>
      </c>
      <c r="G115" s="7500" t="s">
        <v>24</v>
      </c>
      <c r="H115" s="7500" t="s">
        <v>24</v>
      </c>
      <c r="I115" s="7500" t="s">
        <v>807</v>
      </c>
    </row>
    <row customHeight="1" ht="11.25">
      <c r="A116" s="7500" t="s">
        <v>2243</v>
      </c>
      <c r="B116" s="7500" t="s">
        <v>14</v>
      </c>
      <c r="C116" s="7500" t="s">
        <v>2500</v>
      </c>
      <c r="D116" s="7500" t="s">
        <v>2501</v>
      </c>
      <c r="E116" s="7500" t="s">
        <v>2502</v>
      </c>
      <c r="F116" s="7500" t="s">
        <v>2255</v>
      </c>
      <c r="G116" s="7500" t="s">
        <v>2503</v>
      </c>
      <c r="H116" s="7500" t="s">
        <v>24</v>
      </c>
      <c r="I116" s="7500" t="s">
        <v>807</v>
      </c>
    </row>
    <row customHeight="1" ht="11.25">
      <c r="A117" s="7500" t="s">
        <v>2243</v>
      </c>
      <c r="B117" s="7500" t="s">
        <v>14</v>
      </c>
      <c r="C117" s="7500" t="s">
        <v>2264</v>
      </c>
      <c r="D117" s="7500" t="s">
        <v>2265</v>
      </c>
      <c r="E117" s="7500" t="s">
        <v>2266</v>
      </c>
      <c r="F117" s="7500" t="s">
        <v>2263</v>
      </c>
      <c r="G117" s="7500" t="s">
        <v>2267</v>
      </c>
      <c r="H117" s="7500" t="s">
        <v>24</v>
      </c>
      <c r="I117" s="7500" t="s">
        <v>807</v>
      </c>
    </row>
    <row customHeight="1" ht="11.25">
      <c r="A118" s="7500" t="s">
        <v>2243</v>
      </c>
      <c r="B118" s="7500" t="s">
        <v>14</v>
      </c>
      <c r="C118" s="7500" t="s">
        <v>2504</v>
      </c>
      <c r="D118" s="7500" t="s">
        <v>2505</v>
      </c>
      <c r="E118" s="7500" t="s">
        <v>2506</v>
      </c>
      <c r="F118" s="7500" t="s">
        <v>2271</v>
      </c>
      <c r="G118" s="7500" t="s">
        <v>2507</v>
      </c>
      <c r="H118" s="7500" t="s">
        <v>24</v>
      </c>
      <c r="I118" s="7500" t="s">
        <v>807</v>
      </c>
    </row>
    <row customHeight="1" ht="11.25">
      <c r="A119" s="7500" t="s">
        <v>2243</v>
      </c>
      <c r="B119" s="7500" t="s">
        <v>14</v>
      </c>
      <c r="C119" s="7500" t="s">
        <v>2275</v>
      </c>
      <c r="D119" s="7500" t="s">
        <v>2276</v>
      </c>
      <c r="E119" s="7500" t="s">
        <v>2277</v>
      </c>
      <c r="F119" s="7500" t="s">
        <v>50</v>
      </c>
      <c r="G119" s="7500" t="s">
        <v>2278</v>
      </c>
      <c r="H119" s="7500" t="s">
        <v>24</v>
      </c>
      <c r="I119" s="7500" t="s">
        <v>807</v>
      </c>
    </row>
    <row customHeight="1" ht="11.25">
      <c r="A120" s="7500" t="s">
        <v>2243</v>
      </c>
      <c r="B120" s="7500" t="s">
        <v>14</v>
      </c>
      <c r="C120" s="7500" t="s">
        <v>2280</v>
      </c>
      <c r="D120" s="7500" t="s">
        <v>2281</v>
      </c>
      <c r="E120" s="7500" t="s">
        <v>2282</v>
      </c>
      <c r="F120" s="7500" t="s">
        <v>2283</v>
      </c>
      <c r="G120" s="7500" t="s">
        <v>24</v>
      </c>
      <c r="H120" s="7500" t="s">
        <v>24</v>
      </c>
      <c r="I120" s="7500" t="s">
        <v>807</v>
      </c>
    </row>
    <row customHeight="1" ht="11.25">
      <c r="A121" s="7500" t="s">
        <v>2243</v>
      </c>
      <c r="B121" s="7500" t="s">
        <v>14</v>
      </c>
      <c r="C121" s="7500" t="s">
        <v>2284</v>
      </c>
      <c r="D121" s="7500" t="s">
        <v>2285</v>
      </c>
      <c r="E121" s="7500" t="s">
        <v>2286</v>
      </c>
      <c r="F121" s="7500" t="s">
        <v>2287</v>
      </c>
      <c r="G121" s="7500" t="s">
        <v>2288</v>
      </c>
      <c r="H121" s="7500" t="s">
        <v>24</v>
      </c>
      <c r="I121" s="7500" t="s">
        <v>807</v>
      </c>
    </row>
    <row customHeight="1" ht="11.25">
      <c r="A122" s="7500" t="s">
        <v>2243</v>
      </c>
      <c r="B122" s="7500" t="s">
        <v>14</v>
      </c>
      <c r="C122" s="7500" t="s">
        <v>2508</v>
      </c>
      <c r="D122" s="7500" t="s">
        <v>2509</v>
      </c>
      <c r="E122" s="7500" t="s">
        <v>2300</v>
      </c>
      <c r="F122" s="7500" t="s">
        <v>2485</v>
      </c>
      <c r="G122" s="7500" t="s">
        <v>2510</v>
      </c>
      <c r="H122" s="7500" t="s">
        <v>24</v>
      </c>
      <c r="I122" s="7500" t="s">
        <v>807</v>
      </c>
    </row>
    <row customHeight="1" ht="11.25">
      <c r="A123" s="7500" t="s">
        <v>2243</v>
      </c>
      <c r="B123" s="7500" t="s">
        <v>14</v>
      </c>
      <c r="C123" s="7500" t="s">
        <v>2302</v>
      </c>
      <c r="D123" s="7500" t="s">
        <v>2303</v>
      </c>
      <c r="E123" s="7500" t="s">
        <v>2304</v>
      </c>
      <c r="F123" s="7500" t="s">
        <v>50</v>
      </c>
      <c r="G123" s="7500" t="s">
        <v>2305</v>
      </c>
      <c r="H123" s="7500" t="s">
        <v>24</v>
      </c>
      <c r="I123" s="7500" t="s">
        <v>807</v>
      </c>
    </row>
    <row customHeight="1" ht="11.25">
      <c r="A124" s="7500" t="s">
        <v>2243</v>
      </c>
      <c r="B124" s="7500" t="s">
        <v>14</v>
      </c>
      <c r="C124" s="7500" t="s">
        <v>2511</v>
      </c>
      <c r="D124" s="7500" t="s">
        <v>2512</v>
      </c>
      <c r="E124" s="7500" t="s">
        <v>2513</v>
      </c>
      <c r="F124" s="7500" t="s">
        <v>2337</v>
      </c>
      <c r="G124" s="7500" t="s">
        <v>2514</v>
      </c>
      <c r="H124" s="7500" t="s">
        <v>24</v>
      </c>
      <c r="I124" s="7500" t="s">
        <v>807</v>
      </c>
    </row>
    <row customHeight="1" ht="11.25">
      <c r="A125" s="7500" t="s">
        <v>2243</v>
      </c>
      <c r="B125" s="7500" t="s">
        <v>14</v>
      </c>
      <c r="C125" s="7500" t="s">
        <v>2313</v>
      </c>
      <c r="D125" s="7500" t="s">
        <v>2314</v>
      </c>
      <c r="E125" s="7500" t="s">
        <v>2315</v>
      </c>
      <c r="F125" s="7500" t="s">
        <v>50</v>
      </c>
      <c r="G125" s="7500" t="s">
        <v>2316</v>
      </c>
      <c r="H125" s="7500" t="s">
        <v>24</v>
      </c>
      <c r="I125" s="7500" t="s">
        <v>807</v>
      </c>
    </row>
    <row customHeight="1" ht="11.25">
      <c r="A126" s="7500" t="s">
        <v>2243</v>
      </c>
      <c r="B126" s="7500" t="s">
        <v>14</v>
      </c>
      <c r="C126" s="7500" t="s">
        <v>24</v>
      </c>
      <c r="D126" s="7500" t="s">
        <v>2317</v>
      </c>
      <c r="E126" s="7500" t="s">
        <v>2318</v>
      </c>
      <c r="F126" s="7500" t="s">
        <v>50</v>
      </c>
      <c r="G126" s="7500" t="s">
        <v>24</v>
      </c>
      <c r="H126" s="7500" t="s">
        <v>24</v>
      </c>
      <c r="I126" s="7500" t="s">
        <v>807</v>
      </c>
    </row>
    <row customHeight="1" ht="11.25">
      <c r="A127" s="7500" t="s">
        <v>2243</v>
      </c>
      <c r="B127" s="7500" t="s">
        <v>14</v>
      </c>
      <c r="C127" s="7500" t="s">
        <v>2319</v>
      </c>
      <c r="D127" s="7500" t="s">
        <v>2320</v>
      </c>
      <c r="E127" s="7500" t="s">
        <v>2321</v>
      </c>
      <c r="F127" s="7500" t="s">
        <v>2322</v>
      </c>
      <c r="G127" s="7500" t="s">
        <v>24</v>
      </c>
      <c r="H127" s="7500" t="s">
        <v>24</v>
      </c>
      <c r="I127" s="7500" t="s">
        <v>807</v>
      </c>
    </row>
    <row customHeight="1" ht="11.25">
      <c r="A128" s="7500" t="s">
        <v>2243</v>
      </c>
      <c r="B128" s="7500" t="s">
        <v>14</v>
      </c>
      <c r="C128" s="7500" t="s">
        <v>2515</v>
      </c>
      <c r="D128" s="7500" t="s">
        <v>2516</v>
      </c>
      <c r="E128" s="7500" t="s">
        <v>2517</v>
      </c>
      <c r="F128" s="7500" t="s">
        <v>2255</v>
      </c>
      <c r="G128" s="7500" t="s">
        <v>24</v>
      </c>
      <c r="H128" s="7500" t="s">
        <v>24</v>
      </c>
      <c r="I128" s="7500" t="s">
        <v>807</v>
      </c>
    </row>
    <row customHeight="1" ht="11.25">
      <c r="A129" s="7500" t="s">
        <v>2243</v>
      </c>
      <c r="B129" s="7500" t="s">
        <v>14</v>
      </c>
      <c r="C129" s="7500" t="s">
        <v>2323</v>
      </c>
      <c r="D129" s="7500" t="s">
        <v>2324</v>
      </c>
      <c r="E129" s="7500" t="s">
        <v>2325</v>
      </c>
      <c r="F129" s="7500" t="s">
        <v>2255</v>
      </c>
      <c r="G129" s="7500" t="s">
        <v>24</v>
      </c>
      <c r="H129" s="7500" t="s">
        <v>24</v>
      </c>
      <c r="I129" s="7500" t="s">
        <v>807</v>
      </c>
    </row>
    <row customHeight="1" ht="11.25">
      <c r="A130" s="7500" t="s">
        <v>2243</v>
      </c>
      <c r="B130" s="7500" t="s">
        <v>14</v>
      </c>
      <c r="C130" s="7500" t="s">
        <v>2326</v>
      </c>
      <c r="D130" s="7500" t="s">
        <v>2327</v>
      </c>
      <c r="E130" s="7500" t="s">
        <v>2328</v>
      </c>
      <c r="F130" s="7500" t="s">
        <v>2322</v>
      </c>
      <c r="G130" s="7500" t="s">
        <v>2329</v>
      </c>
      <c r="H130" s="7500" t="s">
        <v>24</v>
      </c>
      <c r="I130" s="7500" t="s">
        <v>807</v>
      </c>
    </row>
    <row customHeight="1" ht="11.25">
      <c r="A131" s="7500" t="s">
        <v>2243</v>
      </c>
      <c r="B131" s="7500" t="s">
        <v>14</v>
      </c>
      <c r="C131" s="7500" t="s">
        <v>2330</v>
      </c>
      <c r="D131" s="7500" t="s">
        <v>2331</v>
      </c>
      <c r="E131" s="7500" t="s">
        <v>2332</v>
      </c>
      <c r="F131" s="7500" t="s">
        <v>2322</v>
      </c>
      <c r="G131" s="7500" t="s">
        <v>2333</v>
      </c>
      <c r="H131" s="7500" t="s">
        <v>24</v>
      </c>
      <c r="I131" s="7500" t="s">
        <v>807</v>
      </c>
    </row>
    <row customHeight="1" ht="11.25">
      <c r="A132" s="7500" t="s">
        <v>2243</v>
      </c>
      <c r="B132" s="7500" t="s">
        <v>14</v>
      </c>
      <c r="C132" s="7500" t="s">
        <v>2334</v>
      </c>
      <c r="D132" s="7500" t="s">
        <v>2335</v>
      </c>
      <c r="E132" s="7500" t="s">
        <v>2336</v>
      </c>
      <c r="F132" s="7500" t="s">
        <v>2337</v>
      </c>
      <c r="G132" s="7500" t="s">
        <v>2338</v>
      </c>
      <c r="H132" s="7500" t="s">
        <v>24</v>
      </c>
      <c r="I132" s="7500" t="s">
        <v>807</v>
      </c>
    </row>
    <row customHeight="1" ht="11.25">
      <c r="A133" s="7500" t="s">
        <v>2243</v>
      </c>
      <c r="B133" s="7500" t="s">
        <v>14</v>
      </c>
      <c r="C133" s="7500" t="s">
        <v>2339</v>
      </c>
      <c r="D133" s="7500" t="s">
        <v>2340</v>
      </c>
      <c r="E133" s="7500" t="s">
        <v>2341</v>
      </c>
      <c r="F133" s="7500" t="s">
        <v>2342</v>
      </c>
      <c r="G133" s="7500" t="s">
        <v>24</v>
      </c>
      <c r="H133" s="7500" t="s">
        <v>24</v>
      </c>
      <c r="I133" s="7500" t="s">
        <v>807</v>
      </c>
    </row>
    <row customHeight="1" ht="11.25">
      <c r="A134" s="7500" t="s">
        <v>2243</v>
      </c>
      <c r="B134" s="7500" t="s">
        <v>14</v>
      </c>
      <c r="C134" s="7500" t="s">
        <v>2518</v>
      </c>
      <c r="D134" s="7500" t="s">
        <v>2519</v>
      </c>
      <c r="E134" s="7500" t="s">
        <v>2520</v>
      </c>
      <c r="F134" s="7500" t="s">
        <v>2521</v>
      </c>
      <c r="G134" s="7500" t="s">
        <v>24</v>
      </c>
      <c r="H134" s="7500" t="s">
        <v>24</v>
      </c>
      <c r="I134" s="7500" t="s">
        <v>807</v>
      </c>
    </row>
    <row customHeight="1" ht="11.25">
      <c r="A135" s="7500" t="s">
        <v>2243</v>
      </c>
      <c r="B135" s="7500" t="s">
        <v>14</v>
      </c>
      <c r="C135" s="7500" t="s">
        <v>2350</v>
      </c>
      <c r="D135" s="7500" t="s">
        <v>2351</v>
      </c>
      <c r="E135" s="7500" t="s">
        <v>2352</v>
      </c>
      <c r="F135" s="7500" t="s">
        <v>2353</v>
      </c>
      <c r="G135" s="7500" t="s">
        <v>24</v>
      </c>
      <c r="H135" s="7500" t="s">
        <v>24</v>
      </c>
      <c r="I135" s="7500" t="s">
        <v>807</v>
      </c>
    </row>
    <row customHeight="1" ht="11.25">
      <c r="A136" s="7500" t="s">
        <v>2243</v>
      </c>
      <c r="B136" s="7500" t="s">
        <v>14</v>
      </c>
      <c r="C136" s="7500" t="s">
        <v>2354</v>
      </c>
      <c r="D136" s="7500" t="s">
        <v>2355</v>
      </c>
      <c r="E136" s="7500" t="s">
        <v>2356</v>
      </c>
      <c r="F136" s="7500" t="s">
        <v>2255</v>
      </c>
      <c r="G136" s="7500" t="s">
        <v>24</v>
      </c>
      <c r="H136" s="7500" t="s">
        <v>24</v>
      </c>
      <c r="I136" s="7500" t="s">
        <v>807</v>
      </c>
    </row>
    <row customHeight="1" ht="11.25">
      <c r="A137" s="7500" t="s">
        <v>2243</v>
      </c>
      <c r="B137" s="7500" t="s">
        <v>14</v>
      </c>
      <c r="C137" s="7500" t="s">
        <v>2522</v>
      </c>
      <c r="D137" s="7500" t="s">
        <v>2523</v>
      </c>
      <c r="E137" s="7500" t="s">
        <v>2524</v>
      </c>
      <c r="F137" s="7500" t="s">
        <v>2353</v>
      </c>
      <c r="G137" s="7500" t="s">
        <v>2525</v>
      </c>
      <c r="H137" s="7500" t="s">
        <v>24</v>
      </c>
      <c r="I137" s="7500" t="s">
        <v>807</v>
      </c>
    </row>
    <row customHeight="1" ht="11.25">
      <c r="A138" s="7500" t="s">
        <v>2243</v>
      </c>
      <c r="B138" s="7500" t="s">
        <v>14</v>
      </c>
      <c r="C138" s="7500" t="s">
        <v>2360</v>
      </c>
      <c r="D138" s="7500" t="s">
        <v>2361</v>
      </c>
      <c r="E138" s="7500" t="s">
        <v>2362</v>
      </c>
      <c r="F138" s="7500" t="s">
        <v>2255</v>
      </c>
      <c r="G138" s="7500" t="s">
        <v>24</v>
      </c>
      <c r="H138" s="7500" t="s">
        <v>24</v>
      </c>
      <c r="I138" s="7500" t="s">
        <v>807</v>
      </c>
    </row>
    <row customHeight="1" ht="11.25">
      <c r="A139" s="7500" t="s">
        <v>2243</v>
      </c>
      <c r="B139" s="7500" t="s">
        <v>14</v>
      </c>
      <c r="C139" s="7500" t="s">
        <v>2366</v>
      </c>
      <c r="D139" s="7500" t="s">
        <v>2367</v>
      </c>
      <c r="E139" s="7500" t="s">
        <v>2368</v>
      </c>
      <c r="F139" s="7500" t="s">
        <v>2337</v>
      </c>
      <c r="G139" s="7500" t="s">
        <v>24</v>
      </c>
      <c r="H139" s="7500" t="s">
        <v>24</v>
      </c>
      <c r="I139" s="7500" t="s">
        <v>807</v>
      </c>
    </row>
    <row customHeight="1" ht="11.25">
      <c r="A140" s="7500" t="s">
        <v>2243</v>
      </c>
      <c r="B140" s="7500" t="s">
        <v>14</v>
      </c>
      <c r="C140" s="7500" t="s">
        <v>2369</v>
      </c>
      <c r="D140" s="7500" t="s">
        <v>2370</v>
      </c>
      <c r="E140" s="7500" t="s">
        <v>2371</v>
      </c>
      <c r="F140" s="7500" t="s">
        <v>2337</v>
      </c>
      <c r="G140" s="7500" t="s">
        <v>2372</v>
      </c>
      <c r="H140" s="7500" t="s">
        <v>24</v>
      </c>
      <c r="I140" s="7500" t="s">
        <v>807</v>
      </c>
    </row>
    <row customHeight="1" ht="11.25">
      <c r="A141" s="7500" t="s">
        <v>2243</v>
      </c>
      <c r="B141" s="7500" t="s">
        <v>14</v>
      </c>
      <c r="C141" s="7500" t="s">
        <v>2526</v>
      </c>
      <c r="D141" s="7500" t="s">
        <v>2527</v>
      </c>
      <c r="E141" s="7500" t="s">
        <v>2528</v>
      </c>
      <c r="F141" s="7500" t="s">
        <v>2404</v>
      </c>
      <c r="G141" s="7500" t="s">
        <v>2529</v>
      </c>
      <c r="H141" s="7500" t="s">
        <v>24</v>
      </c>
      <c r="I141" s="7500" t="s">
        <v>807</v>
      </c>
    </row>
    <row customHeight="1" ht="11.25">
      <c r="A142" s="7500" t="s">
        <v>2243</v>
      </c>
      <c r="B142" s="7500" t="s">
        <v>14</v>
      </c>
      <c r="C142" s="7500" t="s">
        <v>2530</v>
      </c>
      <c r="D142" s="7500" t="s">
        <v>2531</v>
      </c>
      <c r="E142" s="7500" t="s">
        <v>2532</v>
      </c>
      <c r="F142" s="7500" t="s">
        <v>2322</v>
      </c>
      <c r="G142" s="7500" t="s">
        <v>24</v>
      </c>
      <c r="H142" s="7500" t="s">
        <v>24</v>
      </c>
      <c r="I142" s="7500" t="s">
        <v>807</v>
      </c>
    </row>
    <row customHeight="1" ht="11.25">
      <c r="A143" s="7500" t="s">
        <v>2243</v>
      </c>
      <c r="B143" s="7500" t="s">
        <v>14</v>
      </c>
      <c r="C143" s="7500" t="s">
        <v>2380</v>
      </c>
      <c r="D143" s="7500" t="s">
        <v>2381</v>
      </c>
      <c r="E143" s="7500" t="s">
        <v>2382</v>
      </c>
      <c r="F143" s="7500" t="s">
        <v>2255</v>
      </c>
      <c r="G143" s="7500" t="s">
        <v>24</v>
      </c>
      <c r="H143" s="7500" t="s">
        <v>24</v>
      </c>
      <c r="I143" s="7500" t="s">
        <v>807</v>
      </c>
    </row>
    <row customHeight="1" ht="11.25">
      <c r="A144" s="7500" t="s">
        <v>2243</v>
      </c>
      <c r="B144" s="7500" t="s">
        <v>14</v>
      </c>
      <c r="C144" s="7500" t="s">
        <v>2386</v>
      </c>
      <c r="D144" s="7500" t="s">
        <v>2387</v>
      </c>
      <c r="E144" s="7500" t="s">
        <v>2388</v>
      </c>
      <c r="F144" s="7500" t="s">
        <v>2389</v>
      </c>
      <c r="G144" s="7500" t="s">
        <v>24</v>
      </c>
      <c r="H144" s="7500" t="s">
        <v>24</v>
      </c>
      <c r="I144" s="7500" t="s">
        <v>807</v>
      </c>
    </row>
    <row customHeight="1" ht="11.25">
      <c r="A145" s="7500" t="s">
        <v>2243</v>
      </c>
      <c r="B145" s="7500" t="s">
        <v>14</v>
      </c>
      <c r="C145" s="7500" t="s">
        <v>2394</v>
      </c>
      <c r="D145" s="7500" t="s">
        <v>2395</v>
      </c>
      <c r="E145" s="7500" t="s">
        <v>2396</v>
      </c>
      <c r="F145" s="7500" t="s">
        <v>2337</v>
      </c>
      <c r="G145" s="7500" t="s">
        <v>2397</v>
      </c>
      <c r="H145" s="7500" t="s">
        <v>24</v>
      </c>
      <c r="I145" s="7500" t="s">
        <v>807</v>
      </c>
    </row>
    <row customHeight="1" ht="11.25">
      <c r="A146" s="7500" t="s">
        <v>2243</v>
      </c>
      <c r="B146" s="7500" t="s">
        <v>14</v>
      </c>
      <c r="C146" s="7500" t="s">
        <v>2398</v>
      </c>
      <c r="D146" s="7500" t="s">
        <v>2399</v>
      </c>
      <c r="E146" s="7500" t="s">
        <v>2400</v>
      </c>
      <c r="F146" s="7500" t="s">
        <v>2255</v>
      </c>
      <c r="G146" s="7500" t="s">
        <v>24</v>
      </c>
      <c r="H146" s="7500" t="s">
        <v>24</v>
      </c>
      <c r="I146" s="7500" t="s">
        <v>807</v>
      </c>
    </row>
    <row customHeight="1" ht="11.25">
      <c r="A147" s="7500" t="s">
        <v>2243</v>
      </c>
      <c r="B147" s="7500" t="s">
        <v>14</v>
      </c>
      <c r="C147" s="7500" t="s">
        <v>2533</v>
      </c>
      <c r="D147" s="7500" t="s">
        <v>2534</v>
      </c>
      <c r="E147" s="7500" t="s">
        <v>2535</v>
      </c>
      <c r="F147" s="7500" t="s">
        <v>2521</v>
      </c>
      <c r="G147" s="7500" t="s">
        <v>24</v>
      </c>
      <c r="H147" s="7500" t="s">
        <v>2536</v>
      </c>
      <c r="I147" s="7500" t="s">
        <v>807</v>
      </c>
    </row>
    <row customHeight="1" ht="11.25">
      <c r="A148" s="7500" t="s">
        <v>2243</v>
      </c>
      <c r="B148" s="7500" t="s">
        <v>14</v>
      </c>
      <c r="C148" s="7500" t="s">
        <v>2537</v>
      </c>
      <c r="D148" s="7500" t="s">
        <v>2538</v>
      </c>
      <c r="E148" s="7500" t="s">
        <v>2539</v>
      </c>
      <c r="F148" s="7500" t="s">
        <v>50</v>
      </c>
      <c r="G148" s="7500" t="s">
        <v>2540</v>
      </c>
      <c r="H148" s="7500" t="s">
        <v>24</v>
      </c>
      <c r="I148" s="7500" t="s">
        <v>807</v>
      </c>
    </row>
    <row customHeight="1" ht="11.25">
      <c r="A149" s="7500" t="s">
        <v>2243</v>
      </c>
      <c r="B149" s="7500" t="s">
        <v>14</v>
      </c>
      <c r="C149" s="7500" t="s">
        <v>2406</v>
      </c>
      <c r="D149" s="7500" t="s">
        <v>2407</v>
      </c>
      <c r="E149" s="7500" t="s">
        <v>2408</v>
      </c>
      <c r="F149" s="7500" t="s">
        <v>2409</v>
      </c>
      <c r="G149" s="7500" t="s">
        <v>2410</v>
      </c>
      <c r="H149" s="7500" t="s">
        <v>24</v>
      </c>
      <c r="I149" s="7500" t="s">
        <v>807</v>
      </c>
    </row>
    <row customHeight="1" ht="11.25">
      <c r="A150" s="7500" t="s">
        <v>2243</v>
      </c>
      <c r="B150" s="7500" t="s">
        <v>14</v>
      </c>
      <c r="C150" s="7500" t="s">
        <v>2541</v>
      </c>
      <c r="D150" s="7500" t="s">
        <v>2542</v>
      </c>
      <c r="E150" s="7500" t="s">
        <v>2543</v>
      </c>
      <c r="F150" s="7500" t="s">
        <v>2544</v>
      </c>
      <c r="G150" s="7500" t="s">
        <v>2545</v>
      </c>
      <c r="H150" s="7500" t="s">
        <v>24</v>
      </c>
      <c r="I150" s="7500" t="s">
        <v>807</v>
      </c>
    </row>
    <row customHeight="1" ht="11.25">
      <c r="A151" s="7500" t="s">
        <v>2243</v>
      </c>
      <c r="B151" s="7500" t="s">
        <v>14</v>
      </c>
      <c r="C151" s="7500" t="s">
        <v>2411</v>
      </c>
      <c r="D151" s="7500" t="s">
        <v>2412</v>
      </c>
      <c r="E151" s="7500" t="s">
        <v>2413</v>
      </c>
      <c r="F151" s="7500" t="s">
        <v>2414</v>
      </c>
      <c r="G151" s="7500" t="s">
        <v>24</v>
      </c>
      <c r="H151" s="7500" t="s">
        <v>24</v>
      </c>
      <c r="I151" s="7500" t="s">
        <v>807</v>
      </c>
    </row>
    <row customHeight="1" ht="11.25">
      <c r="A152" s="7500" t="s">
        <v>2243</v>
      </c>
      <c r="B152" s="7500" t="s">
        <v>14</v>
      </c>
      <c r="C152" s="7500" t="s">
        <v>2546</v>
      </c>
      <c r="D152" s="7500" t="s">
        <v>2547</v>
      </c>
      <c r="E152" s="7500" t="s">
        <v>2548</v>
      </c>
      <c r="F152" s="7500" t="s">
        <v>2549</v>
      </c>
      <c r="G152" s="7500" t="s">
        <v>24</v>
      </c>
      <c r="H152" s="7500" t="s">
        <v>24</v>
      </c>
      <c r="I152" s="7500" t="s">
        <v>807</v>
      </c>
    </row>
    <row customHeight="1" ht="11.25">
      <c r="A153" s="7500" t="s">
        <v>2243</v>
      </c>
      <c r="B153" s="7500" t="s">
        <v>14</v>
      </c>
      <c r="C153" s="7500" t="s">
        <v>2550</v>
      </c>
      <c r="D153" s="7500" t="s">
        <v>2551</v>
      </c>
      <c r="E153" s="7500" t="s">
        <v>2552</v>
      </c>
      <c r="F153" s="7500" t="s">
        <v>2549</v>
      </c>
      <c r="G153" s="7500" t="s">
        <v>24</v>
      </c>
      <c r="H153" s="7500" t="s">
        <v>24</v>
      </c>
      <c r="I153" s="7500" t="s">
        <v>807</v>
      </c>
    </row>
    <row customHeight="1" ht="11.25">
      <c r="A154" s="7500" t="s">
        <v>2243</v>
      </c>
      <c r="B154" s="7500" t="s">
        <v>14</v>
      </c>
      <c r="C154" s="7500" t="s">
        <v>2553</v>
      </c>
      <c r="D154" s="7500" t="s">
        <v>2554</v>
      </c>
      <c r="E154" s="7500" t="s">
        <v>2555</v>
      </c>
      <c r="F154" s="7500" t="s">
        <v>2544</v>
      </c>
      <c r="G154" s="7500" t="s">
        <v>2556</v>
      </c>
      <c r="H154" s="7500" t="s">
        <v>24</v>
      </c>
      <c r="I154" s="7500" t="s">
        <v>807</v>
      </c>
    </row>
    <row customHeight="1" ht="11.25">
      <c r="A155" s="7500" t="s">
        <v>2243</v>
      </c>
      <c r="B155" s="7500" t="s">
        <v>14</v>
      </c>
      <c r="C155" s="7500" t="s">
        <v>2421</v>
      </c>
      <c r="D155" s="7500" t="s">
        <v>2422</v>
      </c>
      <c r="E155" s="7500" t="s">
        <v>2423</v>
      </c>
      <c r="F155" s="7500" t="s">
        <v>2424</v>
      </c>
      <c r="G155" s="7500" t="s">
        <v>2425</v>
      </c>
      <c r="H155" s="7500" t="s">
        <v>24</v>
      </c>
      <c r="I155" s="7500" t="s">
        <v>807</v>
      </c>
    </row>
    <row customHeight="1" ht="11.25">
      <c r="A156" s="7500" t="s">
        <v>2243</v>
      </c>
      <c r="B156" s="7500" t="s">
        <v>14</v>
      </c>
      <c r="C156" s="7500" t="s">
        <v>2557</v>
      </c>
      <c r="D156" s="7500" t="s">
        <v>2558</v>
      </c>
      <c r="E156" s="7500" t="s">
        <v>2559</v>
      </c>
      <c r="F156" s="7500" t="s">
        <v>2404</v>
      </c>
      <c r="G156" s="7500" t="s">
        <v>24</v>
      </c>
      <c r="H156" s="7500" t="s">
        <v>24</v>
      </c>
      <c r="I156" s="7500" t="s">
        <v>807</v>
      </c>
    </row>
    <row customHeight="1" ht="11.25">
      <c r="A157" s="7500" t="s">
        <v>2243</v>
      </c>
      <c r="B157" s="7500" t="s">
        <v>14</v>
      </c>
      <c r="C157" s="7500" t="s">
        <v>2560</v>
      </c>
      <c r="D157" s="7500" t="s">
        <v>2561</v>
      </c>
      <c r="E157" s="7500" t="s">
        <v>2562</v>
      </c>
      <c r="F157" s="7500" t="s">
        <v>2451</v>
      </c>
      <c r="G157" s="7500" t="s">
        <v>2563</v>
      </c>
      <c r="H157" s="7500" t="s">
        <v>24</v>
      </c>
      <c r="I157" s="7500" t="s">
        <v>807</v>
      </c>
    </row>
    <row customHeight="1" ht="11.25">
      <c r="A158" s="7500" t="s">
        <v>2243</v>
      </c>
      <c r="B158" s="7500" t="s">
        <v>14</v>
      </c>
      <c r="C158" s="7500" t="s">
        <v>2436</v>
      </c>
      <c r="D158" s="7500" t="s">
        <v>2437</v>
      </c>
      <c r="E158" s="7500" t="s">
        <v>2438</v>
      </c>
      <c r="F158" s="7500" t="s">
        <v>2353</v>
      </c>
      <c r="G158" s="7500" t="s">
        <v>2439</v>
      </c>
      <c r="H158" s="7500" t="s">
        <v>24</v>
      </c>
      <c r="I158" s="7500" t="s">
        <v>807</v>
      </c>
    </row>
    <row customHeight="1" ht="11.25">
      <c r="A159" s="7500" t="s">
        <v>2243</v>
      </c>
      <c r="B159" s="7500" t="s">
        <v>14</v>
      </c>
      <c r="C159" s="7500" t="s">
        <v>2564</v>
      </c>
      <c r="D159" s="7500" t="s">
        <v>2565</v>
      </c>
      <c r="E159" s="7500" t="s">
        <v>2566</v>
      </c>
      <c r="F159" s="7500" t="s">
        <v>2255</v>
      </c>
      <c r="G159" s="7500" t="s">
        <v>24</v>
      </c>
      <c r="H159" s="7500" t="s">
        <v>24</v>
      </c>
      <c r="I159" s="7500" t="s">
        <v>807</v>
      </c>
    </row>
    <row customHeight="1" ht="11.25">
      <c r="A160" s="7500" t="s">
        <v>2243</v>
      </c>
      <c r="B160" s="7500" t="s">
        <v>14</v>
      </c>
      <c r="C160" s="7500" t="s">
        <v>2458</v>
      </c>
      <c r="D160" s="7500" t="s">
        <v>2459</v>
      </c>
      <c r="E160" s="7500" t="s">
        <v>2460</v>
      </c>
      <c r="F160" s="7500" t="s">
        <v>2461</v>
      </c>
      <c r="G160" s="7500" t="s">
        <v>2462</v>
      </c>
      <c r="H160" s="7500" t="s">
        <v>24</v>
      </c>
      <c r="I160" s="7500" t="s">
        <v>807</v>
      </c>
    </row>
    <row customHeight="1" ht="11.25">
      <c r="A161" s="7500" t="s">
        <v>2243</v>
      </c>
      <c r="B161" s="7500" t="s">
        <v>14</v>
      </c>
      <c r="C161" s="7500" t="s">
        <v>2463</v>
      </c>
      <c r="D161" s="7500" t="s">
        <v>2464</v>
      </c>
      <c r="E161" s="7500" t="s">
        <v>2408</v>
      </c>
      <c r="F161" s="7500" t="s">
        <v>2465</v>
      </c>
      <c r="G161" s="7500" t="s">
        <v>24</v>
      </c>
      <c r="H161" s="7500" t="s">
        <v>24</v>
      </c>
      <c r="I161" s="7500" t="s">
        <v>807</v>
      </c>
    </row>
    <row customHeight="1" ht="11.25">
      <c r="A162" s="7500" t="s">
        <v>2243</v>
      </c>
      <c r="B162" s="7500" t="s">
        <v>14</v>
      </c>
      <c r="C162" s="7500" t="s">
        <v>2469</v>
      </c>
      <c r="D162" s="7500" t="s">
        <v>2470</v>
      </c>
      <c r="E162" s="7500" t="s">
        <v>2460</v>
      </c>
      <c r="F162" s="7500" t="s">
        <v>2471</v>
      </c>
      <c r="G162" s="7500" t="s">
        <v>2472</v>
      </c>
      <c r="H162" s="7500" t="s">
        <v>24</v>
      </c>
      <c r="I162" s="7500" t="s">
        <v>807</v>
      </c>
    </row>
    <row customHeight="1" ht="11.25">
      <c r="A163" s="7500" t="s">
        <v>2243</v>
      </c>
      <c r="B163" s="7500" t="s">
        <v>14</v>
      </c>
      <c r="C163" s="7500" t="s">
        <v>2473</v>
      </c>
      <c r="D163" s="7500" t="s">
        <v>2474</v>
      </c>
      <c r="E163" s="7500" t="s">
        <v>2475</v>
      </c>
      <c r="F163" s="7500" t="s">
        <v>2255</v>
      </c>
      <c r="G163" s="7500" t="s">
        <v>2476</v>
      </c>
      <c r="H163" s="7500" t="s">
        <v>2477</v>
      </c>
      <c r="I163" s="7500" t="s">
        <v>807</v>
      </c>
    </row>
    <row customHeight="1" ht="11.25">
      <c r="A164" s="7500" t="s">
        <v>2243</v>
      </c>
      <c r="B164" s="7500" t="s">
        <v>14</v>
      </c>
      <c r="C164" s="7500" t="s">
        <v>2478</v>
      </c>
      <c r="D164" s="7500" t="s">
        <v>2479</v>
      </c>
      <c r="E164" s="7500" t="s">
        <v>2480</v>
      </c>
      <c r="F164" s="7500" t="s">
        <v>2481</v>
      </c>
      <c r="G164" s="7500" t="s">
        <v>24</v>
      </c>
      <c r="H164" s="7500" t="s">
        <v>24</v>
      </c>
      <c r="I164" s="7500" t="s">
        <v>807</v>
      </c>
    </row>
    <row customHeight="1" ht="11.25">
      <c r="A165" s="7500" t="s">
        <v>2243</v>
      </c>
      <c r="B165" s="7500" t="s">
        <v>14</v>
      </c>
      <c r="C165" s="7500" t="s">
        <v>2487</v>
      </c>
      <c r="D165" s="7500" t="s">
        <v>2488</v>
      </c>
      <c r="E165" s="7500" t="s">
        <v>2489</v>
      </c>
      <c r="F165" s="7500" t="s">
        <v>2485</v>
      </c>
      <c r="G165" s="7500" t="s">
        <v>24</v>
      </c>
      <c r="H165" s="7500" t="s">
        <v>24</v>
      </c>
      <c r="I165" s="7500" t="s">
        <v>807</v>
      </c>
    </row>
    <row customHeight="1" ht="11.25">
      <c r="A166" s="7500" t="s">
        <v>2243</v>
      </c>
      <c r="B166" s="7500" t="s">
        <v>14</v>
      </c>
      <c r="C166" s="7500" t="s">
        <v>2493</v>
      </c>
      <c r="D166" s="7500" t="s">
        <v>2494</v>
      </c>
      <c r="E166" s="7500" t="s">
        <v>2495</v>
      </c>
      <c r="F166" s="7500" t="s">
        <v>2414</v>
      </c>
      <c r="G166" s="7500" t="s">
        <v>24</v>
      </c>
      <c r="H166" s="7500" t="s">
        <v>24</v>
      </c>
      <c r="I166" s="7500" t="s">
        <v>807</v>
      </c>
    </row>
    <row customHeight="1" ht="11.25">
      <c r="A167" s="7500" t="s">
        <v>2243</v>
      </c>
      <c r="B167" s="7500" t="s">
        <v>14</v>
      </c>
      <c r="C167" s="7500" t="s">
        <v>2567</v>
      </c>
      <c r="D167" s="7500" t="s">
        <v>2568</v>
      </c>
      <c r="E167" s="7500" t="s">
        <v>2569</v>
      </c>
      <c r="F167" s="7500" t="s">
        <v>2481</v>
      </c>
      <c r="G167" s="7500" t="s">
        <v>2570</v>
      </c>
      <c r="H167" s="7500" t="s">
        <v>24</v>
      </c>
      <c r="I167" s="7500" t="s">
        <v>859</v>
      </c>
    </row>
    <row customHeight="1" ht="11.25">
      <c r="A168" s="7500" t="s">
        <v>2243</v>
      </c>
      <c r="B168" s="7500" t="s">
        <v>14</v>
      </c>
      <c r="C168" s="7500" t="s">
        <v>2249</v>
      </c>
      <c r="D168" s="7500" t="s">
        <v>2245</v>
      </c>
      <c r="E168" s="7500" t="s">
        <v>2246</v>
      </c>
      <c r="F168" s="7500" t="s">
        <v>2250</v>
      </c>
      <c r="G168" s="7500" t="s">
        <v>2251</v>
      </c>
      <c r="H168" s="7500" t="s">
        <v>24</v>
      </c>
      <c r="I168" s="7500" t="s">
        <v>859</v>
      </c>
    </row>
    <row customHeight="1" ht="11.25">
      <c r="A169" s="7500" t="s">
        <v>2243</v>
      </c>
      <c r="B169" s="7500" t="s">
        <v>14</v>
      </c>
      <c r="C169" s="7500" t="s">
        <v>2496</v>
      </c>
      <c r="D169" s="7500" t="s">
        <v>2497</v>
      </c>
      <c r="E169" s="7500" t="s">
        <v>2498</v>
      </c>
      <c r="F169" s="7500" t="s">
        <v>2309</v>
      </c>
      <c r="G169" s="7500" t="s">
        <v>2499</v>
      </c>
      <c r="H169" s="7500" t="s">
        <v>24</v>
      </c>
      <c r="I169" s="7500" t="s">
        <v>859</v>
      </c>
    </row>
    <row customHeight="1" ht="11.25">
      <c r="A170" s="7500" t="s">
        <v>2243</v>
      </c>
      <c r="B170" s="7500" t="s">
        <v>14</v>
      </c>
      <c r="C170" s="7500" t="s">
        <v>2252</v>
      </c>
      <c r="D170" s="7500" t="s">
        <v>2253</v>
      </c>
      <c r="E170" s="7500" t="s">
        <v>2254</v>
      </c>
      <c r="F170" s="7500" t="s">
        <v>2255</v>
      </c>
      <c r="G170" s="7500" t="s">
        <v>24</v>
      </c>
      <c r="H170" s="7500" t="s">
        <v>24</v>
      </c>
      <c r="I170" s="7500" t="s">
        <v>859</v>
      </c>
    </row>
    <row customHeight="1" ht="11.25">
      <c r="A171" s="7500" t="s">
        <v>2243</v>
      </c>
      <c r="B171" s="7500" t="s">
        <v>14</v>
      </c>
      <c r="C171" s="7500" t="s">
        <v>2500</v>
      </c>
      <c r="D171" s="7500" t="s">
        <v>2501</v>
      </c>
      <c r="E171" s="7500" t="s">
        <v>2502</v>
      </c>
      <c r="F171" s="7500" t="s">
        <v>2255</v>
      </c>
      <c r="G171" s="7500" t="s">
        <v>2503</v>
      </c>
      <c r="H171" s="7500" t="s">
        <v>24</v>
      </c>
      <c r="I171" s="7500" t="s">
        <v>859</v>
      </c>
    </row>
    <row customHeight="1" ht="11.25">
      <c r="A172" s="7500" t="s">
        <v>2243</v>
      </c>
      <c r="B172" s="7500" t="s">
        <v>14</v>
      </c>
      <c r="C172" s="7500" t="s">
        <v>2264</v>
      </c>
      <c r="D172" s="7500" t="s">
        <v>2265</v>
      </c>
      <c r="E172" s="7500" t="s">
        <v>2266</v>
      </c>
      <c r="F172" s="7500" t="s">
        <v>2263</v>
      </c>
      <c r="G172" s="7500" t="s">
        <v>2267</v>
      </c>
      <c r="H172" s="7500" t="s">
        <v>24</v>
      </c>
      <c r="I172" s="7500" t="s">
        <v>859</v>
      </c>
    </row>
    <row customHeight="1" ht="11.25">
      <c r="A173" s="7500" t="s">
        <v>2243</v>
      </c>
      <c r="B173" s="7500" t="s">
        <v>14</v>
      </c>
      <c r="C173" s="7500" t="s">
        <v>2504</v>
      </c>
      <c r="D173" s="7500" t="s">
        <v>2505</v>
      </c>
      <c r="E173" s="7500" t="s">
        <v>2506</v>
      </c>
      <c r="F173" s="7500" t="s">
        <v>2271</v>
      </c>
      <c r="G173" s="7500" t="s">
        <v>2507</v>
      </c>
      <c r="H173" s="7500" t="s">
        <v>24</v>
      </c>
      <c r="I173" s="7500" t="s">
        <v>859</v>
      </c>
    </row>
    <row customHeight="1" ht="11.25">
      <c r="A174" s="7500" t="s">
        <v>2243</v>
      </c>
      <c r="B174" s="7500" t="s">
        <v>14</v>
      </c>
      <c r="C174" s="7500" t="s">
        <v>2275</v>
      </c>
      <c r="D174" s="7500" t="s">
        <v>2276</v>
      </c>
      <c r="E174" s="7500" t="s">
        <v>2277</v>
      </c>
      <c r="F174" s="7500" t="s">
        <v>50</v>
      </c>
      <c r="G174" s="7500" t="s">
        <v>2278</v>
      </c>
      <c r="H174" s="7500" t="s">
        <v>24</v>
      </c>
      <c r="I174" s="7500" t="s">
        <v>859</v>
      </c>
    </row>
    <row customHeight="1" ht="11.25">
      <c r="A175" s="7500" t="s">
        <v>2243</v>
      </c>
      <c r="B175" s="7500" t="s">
        <v>14</v>
      </c>
      <c r="C175" s="7500" t="s">
        <v>2284</v>
      </c>
      <c r="D175" s="7500" t="s">
        <v>2285</v>
      </c>
      <c r="E175" s="7500" t="s">
        <v>2286</v>
      </c>
      <c r="F175" s="7500" t="s">
        <v>2287</v>
      </c>
      <c r="G175" s="7500" t="s">
        <v>2288</v>
      </c>
      <c r="H175" s="7500" t="s">
        <v>24</v>
      </c>
      <c r="I175" s="7500" t="s">
        <v>859</v>
      </c>
    </row>
    <row customHeight="1" ht="11.25">
      <c r="A176" s="7500" t="s">
        <v>2243</v>
      </c>
      <c r="B176" s="7500" t="s">
        <v>14</v>
      </c>
      <c r="C176" s="7500" t="s">
        <v>2508</v>
      </c>
      <c r="D176" s="7500" t="s">
        <v>2509</v>
      </c>
      <c r="E176" s="7500" t="s">
        <v>2300</v>
      </c>
      <c r="F176" s="7500" t="s">
        <v>2485</v>
      </c>
      <c r="G176" s="7500" t="s">
        <v>2510</v>
      </c>
      <c r="H176" s="7500" t="s">
        <v>24</v>
      </c>
      <c r="I176" s="7500" t="s">
        <v>859</v>
      </c>
    </row>
    <row customHeight="1" ht="11.25">
      <c r="A177" s="7500" t="s">
        <v>2243</v>
      </c>
      <c r="B177" s="7500" t="s">
        <v>14</v>
      </c>
      <c r="C177" s="7500" t="s">
        <v>2302</v>
      </c>
      <c r="D177" s="7500" t="s">
        <v>2303</v>
      </c>
      <c r="E177" s="7500" t="s">
        <v>2304</v>
      </c>
      <c r="F177" s="7500" t="s">
        <v>50</v>
      </c>
      <c r="G177" s="7500" t="s">
        <v>2305</v>
      </c>
      <c r="H177" s="7500" t="s">
        <v>24</v>
      </c>
      <c r="I177" s="7500" t="s">
        <v>859</v>
      </c>
    </row>
    <row customHeight="1" ht="11.25">
      <c r="A178" s="7500" t="s">
        <v>2243</v>
      </c>
      <c r="B178" s="7500" t="s">
        <v>14</v>
      </c>
      <c r="C178" s="7500" t="s">
        <v>2511</v>
      </c>
      <c r="D178" s="7500" t="s">
        <v>2512</v>
      </c>
      <c r="E178" s="7500" t="s">
        <v>2513</v>
      </c>
      <c r="F178" s="7500" t="s">
        <v>2337</v>
      </c>
      <c r="G178" s="7500" t="s">
        <v>2514</v>
      </c>
      <c r="H178" s="7500" t="s">
        <v>24</v>
      </c>
      <c r="I178" s="7500" t="s">
        <v>859</v>
      </c>
    </row>
    <row customHeight="1" ht="11.25">
      <c r="A179" s="7500" t="s">
        <v>2243</v>
      </c>
      <c r="B179" s="7500" t="s">
        <v>14</v>
      </c>
      <c r="C179" s="7500" t="s">
        <v>2313</v>
      </c>
      <c r="D179" s="7500" t="s">
        <v>2314</v>
      </c>
      <c r="E179" s="7500" t="s">
        <v>2315</v>
      </c>
      <c r="F179" s="7500" t="s">
        <v>50</v>
      </c>
      <c r="G179" s="7500" t="s">
        <v>2316</v>
      </c>
      <c r="H179" s="7500" t="s">
        <v>24</v>
      </c>
      <c r="I179" s="7500" t="s">
        <v>859</v>
      </c>
    </row>
    <row customHeight="1" ht="11.25">
      <c r="A180" s="7500" t="s">
        <v>2243</v>
      </c>
      <c r="B180" s="7500" t="s">
        <v>14</v>
      </c>
      <c r="C180" s="7500" t="s">
        <v>24</v>
      </c>
      <c r="D180" s="7500" t="s">
        <v>2317</v>
      </c>
      <c r="E180" s="7500" t="s">
        <v>2318</v>
      </c>
      <c r="F180" s="7500" t="s">
        <v>50</v>
      </c>
      <c r="G180" s="7500" t="s">
        <v>24</v>
      </c>
      <c r="H180" s="7500" t="s">
        <v>24</v>
      </c>
      <c r="I180" s="7500" t="s">
        <v>859</v>
      </c>
    </row>
    <row customHeight="1" ht="11.25">
      <c r="A181" s="7500" t="s">
        <v>2243</v>
      </c>
      <c r="B181" s="7500" t="s">
        <v>14</v>
      </c>
      <c r="C181" s="7500" t="s">
        <v>2319</v>
      </c>
      <c r="D181" s="7500" t="s">
        <v>2320</v>
      </c>
      <c r="E181" s="7500" t="s">
        <v>2321</v>
      </c>
      <c r="F181" s="7500" t="s">
        <v>2322</v>
      </c>
      <c r="G181" s="7500" t="s">
        <v>24</v>
      </c>
      <c r="H181" s="7500" t="s">
        <v>24</v>
      </c>
      <c r="I181" s="7500" t="s">
        <v>859</v>
      </c>
    </row>
    <row customHeight="1" ht="11.25">
      <c r="A182" s="7500" t="s">
        <v>2243</v>
      </c>
      <c r="B182" s="7500" t="s">
        <v>14</v>
      </c>
      <c r="C182" s="7500" t="s">
        <v>2323</v>
      </c>
      <c r="D182" s="7500" t="s">
        <v>2324</v>
      </c>
      <c r="E182" s="7500" t="s">
        <v>2325</v>
      </c>
      <c r="F182" s="7500" t="s">
        <v>2255</v>
      </c>
      <c r="G182" s="7500" t="s">
        <v>24</v>
      </c>
      <c r="H182" s="7500" t="s">
        <v>24</v>
      </c>
      <c r="I182" s="7500" t="s">
        <v>859</v>
      </c>
    </row>
    <row customHeight="1" ht="11.25">
      <c r="A183" s="7500" t="s">
        <v>2243</v>
      </c>
      <c r="B183" s="7500" t="s">
        <v>14</v>
      </c>
      <c r="C183" s="7500" t="s">
        <v>2326</v>
      </c>
      <c r="D183" s="7500" t="s">
        <v>2327</v>
      </c>
      <c r="E183" s="7500" t="s">
        <v>2328</v>
      </c>
      <c r="F183" s="7500" t="s">
        <v>2322</v>
      </c>
      <c r="G183" s="7500" t="s">
        <v>2329</v>
      </c>
      <c r="H183" s="7500" t="s">
        <v>24</v>
      </c>
      <c r="I183" s="7500" t="s">
        <v>859</v>
      </c>
    </row>
    <row customHeight="1" ht="11.25">
      <c r="A184" s="7500" t="s">
        <v>2243</v>
      </c>
      <c r="B184" s="7500" t="s">
        <v>14</v>
      </c>
      <c r="C184" s="7500" t="s">
        <v>2330</v>
      </c>
      <c r="D184" s="7500" t="s">
        <v>2331</v>
      </c>
      <c r="E184" s="7500" t="s">
        <v>2332</v>
      </c>
      <c r="F184" s="7500" t="s">
        <v>2322</v>
      </c>
      <c r="G184" s="7500" t="s">
        <v>2333</v>
      </c>
      <c r="H184" s="7500" t="s">
        <v>24</v>
      </c>
      <c r="I184" s="7500" t="s">
        <v>859</v>
      </c>
    </row>
    <row customHeight="1" ht="11.25">
      <c r="A185" s="7500" t="s">
        <v>2243</v>
      </c>
      <c r="B185" s="7500" t="s">
        <v>14</v>
      </c>
      <c r="C185" s="7500" t="s">
        <v>2334</v>
      </c>
      <c r="D185" s="7500" t="s">
        <v>2335</v>
      </c>
      <c r="E185" s="7500" t="s">
        <v>2336</v>
      </c>
      <c r="F185" s="7500" t="s">
        <v>2337</v>
      </c>
      <c r="G185" s="7500" t="s">
        <v>2338</v>
      </c>
      <c r="H185" s="7500" t="s">
        <v>24</v>
      </c>
      <c r="I185" s="7500" t="s">
        <v>859</v>
      </c>
    </row>
    <row customHeight="1" ht="11.25">
      <c r="A186" s="7500" t="s">
        <v>2243</v>
      </c>
      <c r="B186" s="7500" t="s">
        <v>14</v>
      </c>
      <c r="C186" s="7500" t="s">
        <v>2339</v>
      </c>
      <c r="D186" s="7500" t="s">
        <v>2340</v>
      </c>
      <c r="E186" s="7500" t="s">
        <v>2341</v>
      </c>
      <c r="F186" s="7500" t="s">
        <v>2342</v>
      </c>
      <c r="G186" s="7500" t="s">
        <v>24</v>
      </c>
      <c r="H186" s="7500" t="s">
        <v>24</v>
      </c>
      <c r="I186" s="7500" t="s">
        <v>859</v>
      </c>
    </row>
    <row customHeight="1" ht="11.25">
      <c r="A187" s="7500" t="s">
        <v>2243</v>
      </c>
      <c r="B187" s="7500" t="s">
        <v>14</v>
      </c>
      <c r="C187" s="7500" t="s">
        <v>2518</v>
      </c>
      <c r="D187" s="7500" t="s">
        <v>2519</v>
      </c>
      <c r="E187" s="7500" t="s">
        <v>2520</v>
      </c>
      <c r="F187" s="7500" t="s">
        <v>2521</v>
      </c>
      <c r="G187" s="7500" t="s">
        <v>24</v>
      </c>
      <c r="H187" s="7500" t="s">
        <v>24</v>
      </c>
      <c r="I187" s="7500" t="s">
        <v>859</v>
      </c>
    </row>
    <row customHeight="1" ht="11.25">
      <c r="A188" s="7500" t="s">
        <v>2243</v>
      </c>
      <c r="B188" s="7500" t="s">
        <v>14</v>
      </c>
      <c r="C188" s="7500" t="s">
        <v>2350</v>
      </c>
      <c r="D188" s="7500" t="s">
        <v>2351</v>
      </c>
      <c r="E188" s="7500" t="s">
        <v>2352</v>
      </c>
      <c r="F188" s="7500" t="s">
        <v>2353</v>
      </c>
      <c r="G188" s="7500" t="s">
        <v>24</v>
      </c>
      <c r="H188" s="7500" t="s">
        <v>24</v>
      </c>
      <c r="I188" s="7500" t="s">
        <v>859</v>
      </c>
    </row>
    <row customHeight="1" ht="11.25">
      <c r="A189" s="7500" t="s">
        <v>2243</v>
      </c>
      <c r="B189" s="7500" t="s">
        <v>14</v>
      </c>
      <c r="C189" s="7500" t="s">
        <v>2354</v>
      </c>
      <c r="D189" s="7500" t="s">
        <v>2355</v>
      </c>
      <c r="E189" s="7500" t="s">
        <v>2356</v>
      </c>
      <c r="F189" s="7500" t="s">
        <v>2255</v>
      </c>
      <c r="G189" s="7500" t="s">
        <v>24</v>
      </c>
      <c r="H189" s="7500" t="s">
        <v>24</v>
      </c>
      <c r="I189" s="7500" t="s">
        <v>859</v>
      </c>
    </row>
    <row customHeight="1" ht="11.25">
      <c r="A190" s="7500" t="s">
        <v>2243</v>
      </c>
      <c r="B190" s="7500" t="s">
        <v>14</v>
      </c>
      <c r="C190" s="7500" t="s">
        <v>2522</v>
      </c>
      <c r="D190" s="7500" t="s">
        <v>2523</v>
      </c>
      <c r="E190" s="7500" t="s">
        <v>2524</v>
      </c>
      <c r="F190" s="7500" t="s">
        <v>2353</v>
      </c>
      <c r="G190" s="7500" t="s">
        <v>2525</v>
      </c>
      <c r="H190" s="7500" t="s">
        <v>24</v>
      </c>
      <c r="I190" s="7500" t="s">
        <v>859</v>
      </c>
    </row>
    <row customHeight="1" ht="11.25">
      <c r="A191" s="7500" t="s">
        <v>2243</v>
      </c>
      <c r="B191" s="7500" t="s">
        <v>14</v>
      </c>
      <c r="C191" s="7500" t="s">
        <v>2360</v>
      </c>
      <c r="D191" s="7500" t="s">
        <v>2361</v>
      </c>
      <c r="E191" s="7500" t="s">
        <v>2362</v>
      </c>
      <c r="F191" s="7500" t="s">
        <v>2255</v>
      </c>
      <c r="G191" s="7500" t="s">
        <v>24</v>
      </c>
      <c r="H191" s="7500" t="s">
        <v>24</v>
      </c>
      <c r="I191" s="7500" t="s">
        <v>859</v>
      </c>
    </row>
    <row customHeight="1" ht="11.25">
      <c r="A192" s="7500" t="s">
        <v>2243</v>
      </c>
      <c r="B192" s="7500" t="s">
        <v>14</v>
      </c>
      <c r="C192" s="7500" t="s">
        <v>2366</v>
      </c>
      <c r="D192" s="7500" t="s">
        <v>2367</v>
      </c>
      <c r="E192" s="7500" t="s">
        <v>2368</v>
      </c>
      <c r="F192" s="7500" t="s">
        <v>2337</v>
      </c>
      <c r="G192" s="7500" t="s">
        <v>24</v>
      </c>
      <c r="H192" s="7500" t="s">
        <v>24</v>
      </c>
      <c r="I192" s="7500" t="s">
        <v>859</v>
      </c>
    </row>
    <row customHeight="1" ht="11.25">
      <c r="A193" s="7500" t="s">
        <v>2243</v>
      </c>
      <c r="B193" s="7500" t="s">
        <v>14</v>
      </c>
      <c r="C193" s="7500" t="s">
        <v>2369</v>
      </c>
      <c r="D193" s="7500" t="s">
        <v>2370</v>
      </c>
      <c r="E193" s="7500" t="s">
        <v>2371</v>
      </c>
      <c r="F193" s="7500" t="s">
        <v>2337</v>
      </c>
      <c r="G193" s="7500" t="s">
        <v>2372</v>
      </c>
      <c r="H193" s="7500" t="s">
        <v>24</v>
      </c>
      <c r="I193" s="7500" t="s">
        <v>859</v>
      </c>
    </row>
    <row customHeight="1" ht="11.25">
      <c r="A194" s="7500" t="s">
        <v>2243</v>
      </c>
      <c r="B194" s="7500" t="s">
        <v>14</v>
      </c>
      <c r="C194" s="7500" t="s">
        <v>2526</v>
      </c>
      <c r="D194" s="7500" t="s">
        <v>2527</v>
      </c>
      <c r="E194" s="7500" t="s">
        <v>2528</v>
      </c>
      <c r="F194" s="7500" t="s">
        <v>2404</v>
      </c>
      <c r="G194" s="7500" t="s">
        <v>2529</v>
      </c>
      <c r="H194" s="7500" t="s">
        <v>24</v>
      </c>
      <c r="I194" s="7500" t="s">
        <v>859</v>
      </c>
    </row>
    <row customHeight="1" ht="11.25">
      <c r="A195" s="7500" t="s">
        <v>2243</v>
      </c>
      <c r="B195" s="7500" t="s">
        <v>14</v>
      </c>
      <c r="C195" s="7500" t="s">
        <v>2530</v>
      </c>
      <c r="D195" s="7500" t="s">
        <v>2531</v>
      </c>
      <c r="E195" s="7500" t="s">
        <v>2532</v>
      </c>
      <c r="F195" s="7500" t="s">
        <v>2322</v>
      </c>
      <c r="G195" s="7500" t="s">
        <v>24</v>
      </c>
      <c r="H195" s="7500" t="s">
        <v>24</v>
      </c>
      <c r="I195" s="7500" t="s">
        <v>859</v>
      </c>
    </row>
    <row customHeight="1" ht="11.25">
      <c r="A196" s="7500" t="s">
        <v>2243</v>
      </c>
      <c r="B196" s="7500" t="s">
        <v>14</v>
      </c>
      <c r="C196" s="7500" t="s">
        <v>2386</v>
      </c>
      <c r="D196" s="7500" t="s">
        <v>2387</v>
      </c>
      <c r="E196" s="7500" t="s">
        <v>2388</v>
      </c>
      <c r="F196" s="7500" t="s">
        <v>2389</v>
      </c>
      <c r="G196" s="7500" t="s">
        <v>24</v>
      </c>
      <c r="H196" s="7500" t="s">
        <v>24</v>
      </c>
      <c r="I196" s="7500" t="s">
        <v>859</v>
      </c>
    </row>
    <row customHeight="1" ht="11.25">
      <c r="A197" s="7500" t="s">
        <v>2243</v>
      </c>
      <c r="B197" s="7500" t="s">
        <v>14</v>
      </c>
      <c r="C197" s="7500" t="s">
        <v>2394</v>
      </c>
      <c r="D197" s="7500" t="s">
        <v>2395</v>
      </c>
      <c r="E197" s="7500" t="s">
        <v>2396</v>
      </c>
      <c r="F197" s="7500" t="s">
        <v>2337</v>
      </c>
      <c r="G197" s="7500" t="s">
        <v>2397</v>
      </c>
      <c r="H197" s="7500" t="s">
        <v>24</v>
      </c>
      <c r="I197" s="7500" t="s">
        <v>859</v>
      </c>
    </row>
    <row customHeight="1" ht="11.25">
      <c r="A198" s="7500" t="s">
        <v>2243</v>
      </c>
      <c r="B198" s="7500" t="s">
        <v>14</v>
      </c>
      <c r="C198" s="7500" t="s">
        <v>2398</v>
      </c>
      <c r="D198" s="7500" t="s">
        <v>2399</v>
      </c>
      <c r="E198" s="7500" t="s">
        <v>2400</v>
      </c>
      <c r="F198" s="7500" t="s">
        <v>2255</v>
      </c>
      <c r="G198" s="7500" t="s">
        <v>24</v>
      </c>
      <c r="H198" s="7500" t="s">
        <v>24</v>
      </c>
      <c r="I198" s="7500" t="s">
        <v>859</v>
      </c>
    </row>
    <row customHeight="1" ht="11.25">
      <c r="A199" s="7500" t="s">
        <v>2243</v>
      </c>
      <c r="B199" s="7500" t="s">
        <v>14</v>
      </c>
      <c r="C199" s="7500" t="s">
        <v>2533</v>
      </c>
      <c r="D199" s="7500" t="s">
        <v>2534</v>
      </c>
      <c r="E199" s="7500" t="s">
        <v>2535</v>
      </c>
      <c r="F199" s="7500" t="s">
        <v>2521</v>
      </c>
      <c r="G199" s="7500" t="s">
        <v>24</v>
      </c>
      <c r="H199" s="7500" t="s">
        <v>2536</v>
      </c>
      <c r="I199" s="7500" t="s">
        <v>859</v>
      </c>
    </row>
    <row customHeight="1" ht="11.25">
      <c r="A200" s="7500" t="s">
        <v>2243</v>
      </c>
      <c r="B200" s="7500" t="s">
        <v>14</v>
      </c>
      <c r="C200" s="7500" t="s">
        <v>2537</v>
      </c>
      <c r="D200" s="7500" t="s">
        <v>2538</v>
      </c>
      <c r="E200" s="7500" t="s">
        <v>2539</v>
      </c>
      <c r="F200" s="7500" t="s">
        <v>50</v>
      </c>
      <c r="G200" s="7500" t="s">
        <v>2540</v>
      </c>
      <c r="H200" s="7500" t="s">
        <v>24</v>
      </c>
      <c r="I200" s="7500" t="s">
        <v>859</v>
      </c>
    </row>
    <row customHeight="1" ht="11.25">
      <c r="A201" s="7500" t="s">
        <v>2243</v>
      </c>
      <c r="B201" s="7500" t="s">
        <v>14</v>
      </c>
      <c r="C201" s="7500" t="s">
        <v>2406</v>
      </c>
      <c r="D201" s="7500" t="s">
        <v>2407</v>
      </c>
      <c r="E201" s="7500" t="s">
        <v>2408</v>
      </c>
      <c r="F201" s="7500" t="s">
        <v>2409</v>
      </c>
      <c r="G201" s="7500" t="s">
        <v>2410</v>
      </c>
      <c r="H201" s="7500" t="s">
        <v>24</v>
      </c>
      <c r="I201" s="7500" t="s">
        <v>859</v>
      </c>
    </row>
    <row customHeight="1" ht="11.25">
      <c r="A202" s="7500" t="s">
        <v>2243</v>
      </c>
      <c r="B202" s="7500" t="s">
        <v>14</v>
      </c>
      <c r="C202" s="7500" t="s">
        <v>2411</v>
      </c>
      <c r="D202" s="7500" t="s">
        <v>2412</v>
      </c>
      <c r="E202" s="7500" t="s">
        <v>2413</v>
      </c>
      <c r="F202" s="7500" t="s">
        <v>2414</v>
      </c>
      <c r="G202" s="7500" t="s">
        <v>24</v>
      </c>
      <c r="H202" s="7500" t="s">
        <v>24</v>
      </c>
      <c r="I202" s="7500" t="s">
        <v>859</v>
      </c>
    </row>
    <row customHeight="1" ht="11.25">
      <c r="A203" s="7500" t="s">
        <v>2243</v>
      </c>
      <c r="B203" s="7500" t="s">
        <v>14</v>
      </c>
      <c r="C203" s="7500" t="s">
        <v>2546</v>
      </c>
      <c r="D203" s="7500" t="s">
        <v>2547</v>
      </c>
      <c r="E203" s="7500" t="s">
        <v>2548</v>
      </c>
      <c r="F203" s="7500" t="s">
        <v>2549</v>
      </c>
      <c r="G203" s="7500" t="s">
        <v>24</v>
      </c>
      <c r="H203" s="7500" t="s">
        <v>24</v>
      </c>
      <c r="I203" s="7500" t="s">
        <v>859</v>
      </c>
    </row>
    <row customHeight="1" ht="11.25">
      <c r="A204" s="7500" t="s">
        <v>2243</v>
      </c>
      <c r="B204" s="7500" t="s">
        <v>14</v>
      </c>
      <c r="C204" s="7500" t="s">
        <v>2550</v>
      </c>
      <c r="D204" s="7500" t="s">
        <v>2551</v>
      </c>
      <c r="E204" s="7500" t="s">
        <v>2552</v>
      </c>
      <c r="F204" s="7500" t="s">
        <v>2549</v>
      </c>
      <c r="G204" s="7500" t="s">
        <v>24</v>
      </c>
      <c r="H204" s="7500" t="s">
        <v>24</v>
      </c>
      <c r="I204" s="7500" t="s">
        <v>859</v>
      </c>
    </row>
    <row customHeight="1" ht="11.25">
      <c r="A205" s="7500" t="s">
        <v>2243</v>
      </c>
      <c r="B205" s="7500" t="s">
        <v>14</v>
      </c>
      <c r="C205" s="7500" t="s">
        <v>2571</v>
      </c>
      <c r="D205" s="7500" t="s">
        <v>2572</v>
      </c>
      <c r="E205" s="7500" t="s">
        <v>2573</v>
      </c>
      <c r="F205" s="7500" t="s">
        <v>50</v>
      </c>
      <c r="G205" s="7500" t="s">
        <v>24</v>
      </c>
      <c r="H205" s="7500" t="s">
        <v>2574</v>
      </c>
      <c r="I205" s="7500" t="s">
        <v>859</v>
      </c>
    </row>
    <row customHeight="1" ht="11.25">
      <c r="A206" s="7500" t="s">
        <v>2243</v>
      </c>
      <c r="B206" s="7500" t="s">
        <v>14</v>
      </c>
      <c r="C206" s="7500" t="s">
        <v>2553</v>
      </c>
      <c r="D206" s="7500" t="s">
        <v>2554</v>
      </c>
      <c r="E206" s="7500" t="s">
        <v>2555</v>
      </c>
      <c r="F206" s="7500" t="s">
        <v>2544</v>
      </c>
      <c r="G206" s="7500" t="s">
        <v>2556</v>
      </c>
      <c r="H206" s="7500" t="s">
        <v>24</v>
      </c>
      <c r="I206" s="7500" t="s">
        <v>859</v>
      </c>
    </row>
    <row customHeight="1" ht="11.25">
      <c r="A207" s="7500" t="s">
        <v>2243</v>
      </c>
      <c r="B207" s="7500" t="s">
        <v>14</v>
      </c>
      <c r="C207" s="7500" t="s">
        <v>2421</v>
      </c>
      <c r="D207" s="7500" t="s">
        <v>2422</v>
      </c>
      <c r="E207" s="7500" t="s">
        <v>2423</v>
      </c>
      <c r="F207" s="7500" t="s">
        <v>2424</v>
      </c>
      <c r="G207" s="7500" t="s">
        <v>2425</v>
      </c>
      <c r="H207" s="7500" t="s">
        <v>24</v>
      </c>
      <c r="I207" s="7500" t="s">
        <v>859</v>
      </c>
    </row>
    <row customHeight="1" ht="11.25">
      <c r="A208" s="7500" t="s">
        <v>2243</v>
      </c>
      <c r="B208" s="7500" t="s">
        <v>14</v>
      </c>
      <c r="C208" s="7500" t="s">
        <v>2557</v>
      </c>
      <c r="D208" s="7500" t="s">
        <v>2558</v>
      </c>
      <c r="E208" s="7500" t="s">
        <v>2559</v>
      </c>
      <c r="F208" s="7500" t="s">
        <v>2404</v>
      </c>
      <c r="G208" s="7500" t="s">
        <v>24</v>
      </c>
      <c r="H208" s="7500" t="s">
        <v>24</v>
      </c>
      <c r="I208" s="7500" t="s">
        <v>859</v>
      </c>
    </row>
    <row customHeight="1" ht="11.25">
      <c r="A209" s="7500" t="s">
        <v>2243</v>
      </c>
      <c r="B209" s="7500" t="s">
        <v>14</v>
      </c>
      <c r="C209" s="7500" t="s">
        <v>2560</v>
      </c>
      <c r="D209" s="7500" t="s">
        <v>2561</v>
      </c>
      <c r="E209" s="7500" t="s">
        <v>2562</v>
      </c>
      <c r="F209" s="7500" t="s">
        <v>2451</v>
      </c>
      <c r="G209" s="7500" t="s">
        <v>2563</v>
      </c>
      <c r="H209" s="7500" t="s">
        <v>24</v>
      </c>
      <c r="I209" s="7500" t="s">
        <v>859</v>
      </c>
    </row>
    <row customHeight="1" ht="11.25">
      <c r="A210" s="7500" t="s">
        <v>2243</v>
      </c>
      <c r="B210" s="7500" t="s">
        <v>14</v>
      </c>
      <c r="C210" s="7500" t="s">
        <v>2436</v>
      </c>
      <c r="D210" s="7500" t="s">
        <v>2437</v>
      </c>
      <c r="E210" s="7500" t="s">
        <v>2438</v>
      </c>
      <c r="F210" s="7500" t="s">
        <v>2353</v>
      </c>
      <c r="G210" s="7500" t="s">
        <v>2439</v>
      </c>
      <c r="H210" s="7500" t="s">
        <v>24</v>
      </c>
      <c r="I210" s="7500" t="s">
        <v>859</v>
      </c>
    </row>
    <row customHeight="1" ht="11.25">
      <c r="A211" s="7500" t="s">
        <v>2243</v>
      </c>
      <c r="B211" s="7500" t="s">
        <v>14</v>
      </c>
      <c r="C211" s="7500" t="s">
        <v>2564</v>
      </c>
      <c r="D211" s="7500" t="s">
        <v>2565</v>
      </c>
      <c r="E211" s="7500" t="s">
        <v>2566</v>
      </c>
      <c r="F211" s="7500" t="s">
        <v>2255</v>
      </c>
      <c r="G211" s="7500" t="s">
        <v>24</v>
      </c>
      <c r="H211" s="7500" t="s">
        <v>24</v>
      </c>
      <c r="I211" s="7500" t="s">
        <v>859</v>
      </c>
    </row>
    <row customHeight="1" ht="11.25">
      <c r="A212" s="7500" t="s">
        <v>2243</v>
      </c>
      <c r="B212" s="7500" t="s">
        <v>14</v>
      </c>
      <c r="C212" s="7500" t="s">
        <v>2575</v>
      </c>
      <c r="D212" s="7500" t="s">
        <v>2576</v>
      </c>
      <c r="E212" s="7500" t="s">
        <v>2577</v>
      </c>
      <c r="F212" s="7500" t="s">
        <v>2578</v>
      </c>
      <c r="G212" s="7500" t="s">
        <v>2579</v>
      </c>
      <c r="H212" s="7500" t="s">
        <v>24</v>
      </c>
      <c r="I212" s="7500" t="s">
        <v>859</v>
      </c>
    </row>
    <row customHeight="1" ht="11.25">
      <c r="A213" s="7500" t="s">
        <v>2243</v>
      </c>
      <c r="B213" s="7500" t="s">
        <v>14</v>
      </c>
      <c r="C213" s="7500" t="s">
        <v>2458</v>
      </c>
      <c r="D213" s="7500" t="s">
        <v>2459</v>
      </c>
      <c r="E213" s="7500" t="s">
        <v>2460</v>
      </c>
      <c r="F213" s="7500" t="s">
        <v>2461</v>
      </c>
      <c r="G213" s="7500" t="s">
        <v>2462</v>
      </c>
      <c r="H213" s="7500" t="s">
        <v>24</v>
      </c>
      <c r="I213" s="7500" t="s">
        <v>859</v>
      </c>
    </row>
    <row customHeight="1" ht="11.25">
      <c r="A214" s="7500" t="s">
        <v>2243</v>
      </c>
      <c r="B214" s="7500" t="s">
        <v>14</v>
      </c>
      <c r="C214" s="7500" t="s">
        <v>2469</v>
      </c>
      <c r="D214" s="7500" t="s">
        <v>2470</v>
      </c>
      <c r="E214" s="7500" t="s">
        <v>2460</v>
      </c>
      <c r="F214" s="7500" t="s">
        <v>2471</v>
      </c>
      <c r="G214" s="7500" t="s">
        <v>2472</v>
      </c>
      <c r="H214" s="7500" t="s">
        <v>24</v>
      </c>
      <c r="I214" s="7500" t="s">
        <v>859</v>
      </c>
    </row>
    <row customHeight="1" ht="11.25">
      <c r="A215" s="7500" t="s">
        <v>2243</v>
      </c>
      <c r="B215" s="7500" t="s">
        <v>14</v>
      </c>
      <c r="C215" s="7500" t="s">
        <v>2473</v>
      </c>
      <c r="D215" s="7500" t="s">
        <v>2474</v>
      </c>
      <c r="E215" s="7500" t="s">
        <v>2475</v>
      </c>
      <c r="F215" s="7500" t="s">
        <v>2255</v>
      </c>
      <c r="G215" s="7500" t="s">
        <v>2476</v>
      </c>
      <c r="H215" s="7500" t="s">
        <v>2477</v>
      </c>
      <c r="I215" s="7500" t="s">
        <v>859</v>
      </c>
    </row>
    <row customHeight="1" ht="11.25">
      <c r="A216" s="7500" t="s">
        <v>2243</v>
      </c>
      <c r="B216" s="7500" t="s">
        <v>14</v>
      </c>
      <c r="C216" s="7500" t="s">
        <v>2478</v>
      </c>
      <c r="D216" s="7500" t="s">
        <v>2479</v>
      </c>
      <c r="E216" s="7500" t="s">
        <v>2480</v>
      </c>
      <c r="F216" s="7500" t="s">
        <v>2481</v>
      </c>
      <c r="G216" s="7500" t="s">
        <v>24</v>
      </c>
      <c r="H216" s="7500" t="s">
        <v>24</v>
      </c>
      <c r="I216" s="7500" t="s">
        <v>859</v>
      </c>
    </row>
    <row customHeight="1" ht="11.25">
      <c r="A217" s="7500" t="s">
        <v>2243</v>
      </c>
      <c r="B217" s="7500" t="s">
        <v>14</v>
      </c>
      <c r="C217" s="7500" t="s">
        <v>2487</v>
      </c>
      <c r="D217" s="7500" t="s">
        <v>2488</v>
      </c>
      <c r="E217" s="7500" t="s">
        <v>2489</v>
      </c>
      <c r="F217" s="7500" t="s">
        <v>2485</v>
      </c>
      <c r="G217" s="7500" t="s">
        <v>24</v>
      </c>
      <c r="H217" s="7500" t="s">
        <v>24</v>
      </c>
      <c r="I217" s="7500" t="s">
        <v>859</v>
      </c>
    </row>
    <row customHeight="1" ht="11.25">
      <c r="A218" s="7500" t="s">
        <v>2243</v>
      </c>
      <c r="B218" s="7500" t="s">
        <v>14</v>
      </c>
      <c r="C218" s="7500" t="s">
        <v>2580</v>
      </c>
      <c r="D218" s="7500" t="s">
        <v>2581</v>
      </c>
      <c r="E218" s="7500" t="s">
        <v>2582</v>
      </c>
      <c r="F218" s="7500" t="s">
        <v>2583</v>
      </c>
      <c r="G218" s="7500" t="s">
        <v>24</v>
      </c>
      <c r="H218" s="7500" t="s">
        <v>24</v>
      </c>
      <c r="I218" s="7500" t="s">
        <v>859</v>
      </c>
    </row>
    <row customHeight="1" ht="11.25">
      <c r="A219" s="7500" t="s">
        <v>2243</v>
      </c>
      <c r="B219" s="7500" t="s">
        <v>14</v>
      </c>
      <c r="C219" s="7500" t="s">
        <v>2493</v>
      </c>
      <c r="D219" s="7500" t="s">
        <v>2494</v>
      </c>
      <c r="E219" s="7500" t="s">
        <v>2495</v>
      </c>
      <c r="F219" s="7500" t="s">
        <v>2414</v>
      </c>
      <c r="G219" s="7500" t="s">
        <v>24</v>
      </c>
      <c r="H219" s="7500" t="s">
        <v>24</v>
      </c>
      <c r="I219" s="7500" t="s">
        <v>859</v>
      </c>
    </row>
    <row customHeight="1" ht="11.25">
      <c r="A220" s="7500" t="s">
        <v>2243</v>
      </c>
      <c r="B220" s="7500" t="s">
        <v>14</v>
      </c>
      <c r="C220" s="7500" t="s">
        <v>2256</v>
      </c>
      <c r="D220" s="7500" t="s">
        <v>2257</v>
      </c>
      <c r="E220" s="7500" t="s">
        <v>2258</v>
      </c>
      <c r="F220" s="7500" t="s">
        <v>50</v>
      </c>
      <c r="G220" s="7500" t="s">
        <v>2259</v>
      </c>
      <c r="H220" s="7500" t="s">
        <v>24</v>
      </c>
      <c r="I220" s="7500" t="s">
        <v>1684</v>
      </c>
    </row>
    <row customHeight="1" ht="11.25">
      <c r="A221" s="7500" t="s">
        <v>2243</v>
      </c>
      <c r="B221" s="7500" t="s">
        <v>14</v>
      </c>
      <c r="C221" s="7500" t="s">
        <v>24</v>
      </c>
      <c r="D221" s="7500" t="s">
        <v>2317</v>
      </c>
      <c r="E221" s="7500" t="s">
        <v>2318</v>
      </c>
      <c r="F221" s="7500" t="s">
        <v>50</v>
      </c>
      <c r="G221" s="7500" t="s">
        <v>24</v>
      </c>
      <c r="H221" s="7500" t="s">
        <v>24</v>
      </c>
      <c r="I221" s="7500" t="s">
        <v>1684</v>
      </c>
    </row>
    <row customHeight="1" ht="11.25">
      <c r="A222" s="7500" t="s">
        <v>2243</v>
      </c>
      <c r="B222" s="7500" t="s">
        <v>14</v>
      </c>
      <c r="C222" s="7500" t="s">
        <v>2584</v>
      </c>
      <c r="D222" s="7500" t="s">
        <v>2585</v>
      </c>
      <c r="E222" s="7500" t="s">
        <v>2586</v>
      </c>
      <c r="F222" s="7500" t="s">
        <v>2271</v>
      </c>
      <c r="G222" s="7500" t="s">
        <v>24</v>
      </c>
      <c r="H222" s="7500" t="s">
        <v>24</v>
      </c>
      <c r="I222" s="7500" t="s">
        <v>1684</v>
      </c>
    </row>
    <row customHeight="1" ht="11.25">
      <c r="A223" s="7500" t="s">
        <v>2243</v>
      </c>
      <c r="B223" s="7500" t="s">
        <v>14</v>
      </c>
      <c r="C223" s="7500" t="s">
        <v>2343</v>
      </c>
      <c r="D223" s="7500" t="s">
        <v>2344</v>
      </c>
      <c r="E223" s="7500" t="s">
        <v>2345</v>
      </c>
      <c r="F223" s="7500" t="s">
        <v>2287</v>
      </c>
      <c r="G223" s="7500" t="s">
        <v>24</v>
      </c>
      <c r="H223" s="7500" t="s">
        <v>24</v>
      </c>
      <c r="I223" s="7500" t="s">
        <v>1684</v>
      </c>
    </row>
    <row customHeight="1" ht="11.25">
      <c r="A224" s="7500" t="s">
        <v>2243</v>
      </c>
      <c r="B224" s="7500" t="s">
        <v>14</v>
      </c>
      <c r="C224" s="7500" t="s">
        <v>2533</v>
      </c>
      <c r="D224" s="7500" t="s">
        <v>2534</v>
      </c>
      <c r="E224" s="7500" t="s">
        <v>2535</v>
      </c>
      <c r="F224" s="7500" t="s">
        <v>2521</v>
      </c>
      <c r="G224" s="7500" t="s">
        <v>24</v>
      </c>
      <c r="H224" s="7500" t="s">
        <v>2536</v>
      </c>
      <c r="I224" s="7500" t="s">
        <v>1684</v>
      </c>
    </row>
    <row customHeight="1" ht="11.25">
      <c r="A225" s="7500" t="s">
        <v>2243</v>
      </c>
      <c r="B225" s="7500" t="s">
        <v>14</v>
      </c>
      <c r="C225" s="7500" t="s">
        <v>2401</v>
      </c>
      <c r="D225" s="7500" t="s">
        <v>2402</v>
      </c>
      <c r="E225" s="7500" t="s">
        <v>2403</v>
      </c>
      <c r="F225" s="7500" t="s">
        <v>2404</v>
      </c>
      <c r="G225" s="7500" t="s">
        <v>2405</v>
      </c>
      <c r="H225" s="7500" t="s">
        <v>24</v>
      </c>
      <c r="I225" s="7500" t="s">
        <v>1684</v>
      </c>
    </row>
    <row customHeight="1" ht="11.25">
      <c r="A226" s="7500" t="s">
        <v>2243</v>
      </c>
      <c r="B226" s="7500" t="s">
        <v>14</v>
      </c>
      <c r="C226" s="7500" t="s">
        <v>2587</v>
      </c>
      <c r="D226" s="7500" t="s">
        <v>2588</v>
      </c>
      <c r="E226" s="7500" t="s">
        <v>2589</v>
      </c>
      <c r="F226" s="7500" t="s">
        <v>2485</v>
      </c>
      <c r="G226" s="7500" t="s">
        <v>24</v>
      </c>
      <c r="H226" s="7500" t="s">
        <v>24</v>
      </c>
      <c r="I226" s="7500" t="s">
        <v>1684</v>
      </c>
    </row>
    <row customHeight="1" ht="11.25">
      <c r="A227" s="7500" t="s">
        <v>2243</v>
      </c>
      <c r="B227" s="7500" t="s">
        <v>14</v>
      </c>
      <c r="C227" s="7500" t="s">
        <v>2590</v>
      </c>
      <c r="D227" s="7500" t="s">
        <v>2591</v>
      </c>
      <c r="E227" s="7500" t="s">
        <v>2592</v>
      </c>
      <c r="F227" s="7500" t="s">
        <v>2337</v>
      </c>
      <c r="G227" s="7500" t="s">
        <v>24</v>
      </c>
      <c r="H227" s="7500" t="s">
        <v>24</v>
      </c>
      <c r="I227" s="7500" t="s">
        <v>1684</v>
      </c>
    </row>
    <row customHeight="1" ht="11.25">
      <c r="A228" s="7500" t="s">
        <v>2243</v>
      </c>
      <c r="B228" s="7500" t="s">
        <v>14</v>
      </c>
      <c r="C228" s="7500" t="s">
        <v>2593</v>
      </c>
      <c r="D228" s="7500" t="s">
        <v>2594</v>
      </c>
      <c r="E228" s="7500" t="s">
        <v>2595</v>
      </c>
      <c r="F228" s="7500" t="s">
        <v>2353</v>
      </c>
      <c r="G228" s="7500" t="s">
        <v>24</v>
      </c>
      <c r="H228" s="7500" t="s">
        <v>24</v>
      </c>
      <c r="I228" s="7500" t="s">
        <v>1684</v>
      </c>
    </row>
    <row customHeight="1" ht="11.25">
      <c r="A229" s="7500" t="s">
        <v>2243</v>
      </c>
      <c r="B229" s="7500" t="s">
        <v>14</v>
      </c>
      <c r="C229" s="7500" t="s">
        <v>2596</v>
      </c>
      <c r="D229" s="7500" t="s">
        <v>2597</v>
      </c>
      <c r="E229" s="7500" t="s">
        <v>2598</v>
      </c>
      <c r="F229" s="7500" t="s">
        <v>2389</v>
      </c>
      <c r="G229" s="7500" t="s">
        <v>24</v>
      </c>
      <c r="H229" s="7500" t="s">
        <v>24</v>
      </c>
      <c r="I229" s="7500" t="s">
        <v>1684</v>
      </c>
    </row>
    <row customHeight="1" ht="11.25">
      <c r="A230" s="7500" t="s">
        <v>2243</v>
      </c>
      <c r="B230" s="7500" t="s">
        <v>14</v>
      </c>
      <c r="C230" s="7500" t="s">
        <v>2599</v>
      </c>
      <c r="D230" s="7500" t="s">
        <v>2600</v>
      </c>
      <c r="E230" s="7500" t="s">
        <v>2601</v>
      </c>
      <c r="F230" s="7500" t="s">
        <v>50</v>
      </c>
      <c r="G230" s="7500" t="s">
        <v>24</v>
      </c>
      <c r="H230" s="7500" t="s">
        <v>24</v>
      </c>
      <c r="I230" s="7500" t="s">
        <v>1684</v>
      </c>
    </row>
    <row customHeight="1" ht="11.25">
      <c r="A231" s="7500" t="s">
        <v>2243</v>
      </c>
      <c r="B231" s="7500" t="s">
        <v>14</v>
      </c>
      <c r="C231" s="7500" t="s">
        <v>2602</v>
      </c>
      <c r="D231" s="7500" t="s">
        <v>2603</v>
      </c>
      <c r="E231" s="7500" t="s">
        <v>2604</v>
      </c>
      <c r="F231" s="7500" t="s">
        <v>2287</v>
      </c>
      <c r="G231" s="7500" t="s">
        <v>24</v>
      </c>
      <c r="H231" s="7500" t="s">
        <v>24</v>
      </c>
      <c r="I231" s="7500" t="s">
        <v>1684</v>
      </c>
    </row>
    <row customHeight="1" ht="11.25">
      <c r="A232" s="7500" t="s">
        <v>2243</v>
      </c>
      <c r="B232" s="7500" t="s">
        <v>14</v>
      </c>
      <c r="C232" s="7500" t="s">
        <v>2605</v>
      </c>
      <c r="D232" s="7500" t="s">
        <v>2606</v>
      </c>
      <c r="E232" s="7500" t="s">
        <v>2607</v>
      </c>
      <c r="F232" s="7500" t="s">
        <v>2296</v>
      </c>
      <c r="G232" s="7500" t="s">
        <v>24</v>
      </c>
      <c r="H232" s="7500" t="s">
        <v>24</v>
      </c>
      <c r="I232" s="7500" t="s">
        <v>1684</v>
      </c>
    </row>
    <row customHeight="1" ht="11.25">
      <c r="A233" s="7500" t="s">
        <v>2243</v>
      </c>
      <c r="B233" s="7500" t="s">
        <v>14</v>
      </c>
      <c r="C233" s="7500" t="s">
        <v>2608</v>
      </c>
      <c r="D233" s="7500" t="s">
        <v>2609</v>
      </c>
      <c r="E233" s="7500" t="s">
        <v>2610</v>
      </c>
      <c r="F233" s="7500" t="s">
        <v>2322</v>
      </c>
      <c r="G233" s="7500" t="s">
        <v>24</v>
      </c>
      <c r="H233" s="7500" t="s">
        <v>24</v>
      </c>
      <c r="I233" s="7500" t="s">
        <v>1684</v>
      </c>
    </row>
    <row customHeight="1" ht="11.25">
      <c r="A234" s="7500" t="s">
        <v>2243</v>
      </c>
      <c r="B234" s="7500" t="s">
        <v>14</v>
      </c>
      <c r="C234" s="7500" t="s">
        <v>2611</v>
      </c>
      <c r="D234" s="7500" t="s">
        <v>2612</v>
      </c>
      <c r="E234" s="7500" t="s">
        <v>2613</v>
      </c>
      <c r="F234" s="7500" t="s">
        <v>2342</v>
      </c>
      <c r="G234" s="7500" t="s">
        <v>2614</v>
      </c>
      <c r="H234" s="7500" t="s">
        <v>24</v>
      </c>
      <c r="I234" s="7500" t="s">
        <v>1684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2F346-548B-9258-B3F6-2F7A70BA38BD}" mc:Ignorable="x14ac xr xr2 xr3">
  <sheetPr>
    <tabColor rgb="FFFFCC99"/>
  </sheetPr>
  <dimension ref="A1:G48"/>
  <sheetViews>
    <sheetView topLeftCell="A1" showGridLines="0" workbookViewId="0">
      <selection activeCell="A1" sqref="A1"/>
    </sheetView>
  </sheetViews>
  <sheetFormatPr customHeight="1" defaultRowHeight="11.25"/>
  <cols>
    <col min="1" max="1" style="6940" width="9.140625"/>
  </cols>
  <sheetData>
    <row customHeight="1" ht="11.25">
      <c r="A1" s="373" t="s">
        <v>2615</v>
      </c>
      <c r="B1" s="48" t="s">
        <v>2616</v>
      </c>
      <c r="C1" s="48" t="s">
        <v>2617</v>
      </c>
      <c r="D1" s="48" t="s">
        <v>2618</v>
      </c>
      <c r="E1" s="0" t="s">
        <v>2619</v>
      </c>
      <c r="F1" s="0" t="s">
        <v>2620</v>
      </c>
      <c r="G1" s="0" t="s">
        <v>2621</v>
      </c>
    </row>
    <row customHeight="1" ht="11.25">
      <c r="A2" s="373" t="s">
        <v>14</v>
      </c>
      <c r="B2" s="0" t="s">
        <v>2622</v>
      </c>
      <c r="C2" s="0" t="s">
        <v>2623</v>
      </c>
      <c r="D2" s="0" t="s">
        <v>2622</v>
      </c>
      <c r="E2" s="0" t="s">
        <v>2623</v>
      </c>
      <c r="F2" s="0" t="s">
        <v>2624</v>
      </c>
      <c r="G2" s="0" t="s">
        <v>128</v>
      </c>
    </row>
    <row customHeight="1" ht="11.25">
      <c r="A3" s="373" t="s">
        <v>14</v>
      </c>
      <c r="B3" s="0" t="s">
        <v>2625</v>
      </c>
      <c r="C3" s="0" t="s">
        <v>2626</v>
      </c>
      <c r="D3" s="0" t="s">
        <v>2625</v>
      </c>
      <c r="E3" s="0" t="s">
        <v>2626</v>
      </c>
      <c r="F3" s="0" t="s">
        <v>2624</v>
      </c>
      <c r="G3" s="0" t="s">
        <v>102</v>
      </c>
    </row>
    <row customHeight="1" ht="11.25">
      <c r="A4" s="373" t="s">
        <v>14</v>
      </c>
      <c r="B4" s="0" t="s">
        <v>2627</v>
      </c>
      <c r="C4" s="0" t="s">
        <v>2628</v>
      </c>
      <c r="D4" s="0" t="s">
        <v>2627</v>
      </c>
      <c r="E4" s="0" t="s">
        <v>2628</v>
      </c>
      <c r="F4" s="0" t="s">
        <v>2624</v>
      </c>
      <c r="G4" s="0" t="s">
        <v>89</v>
      </c>
    </row>
    <row customHeight="1" ht="11.25">
      <c r="A5" s="373" t="s">
        <v>14</v>
      </c>
      <c r="B5" s="0" t="s">
        <v>2629</v>
      </c>
      <c r="C5" s="0" t="s">
        <v>2630</v>
      </c>
      <c r="D5" s="0" t="s">
        <v>2629</v>
      </c>
      <c r="E5" s="0" t="s">
        <v>2630</v>
      </c>
      <c r="F5" s="0" t="s">
        <v>2624</v>
      </c>
      <c r="G5" s="0" t="s">
        <v>90</v>
      </c>
    </row>
    <row customHeight="1" ht="11.25">
      <c r="A6" s="373" t="s">
        <v>14</v>
      </c>
      <c r="B6" s="0" t="s">
        <v>2631</v>
      </c>
      <c r="C6" s="0" t="s">
        <v>2632</v>
      </c>
      <c r="D6" s="0" t="s">
        <v>2631</v>
      </c>
      <c r="E6" s="0" t="s">
        <v>2632</v>
      </c>
      <c r="F6" s="0" t="s">
        <v>2624</v>
      </c>
      <c r="G6" s="0" t="s">
        <v>116</v>
      </c>
    </row>
    <row customHeight="1" ht="11.25">
      <c r="A7" s="373" t="s">
        <v>14</v>
      </c>
      <c r="B7" s="0" t="s">
        <v>105</v>
      </c>
      <c r="C7" s="0" t="s">
        <v>106</v>
      </c>
      <c r="D7" s="0" t="s">
        <v>105</v>
      </c>
      <c r="E7" s="0" t="s">
        <v>106</v>
      </c>
      <c r="F7" s="0" t="s">
        <v>2624</v>
      </c>
      <c r="G7" s="0" t="s">
        <v>91</v>
      </c>
    </row>
    <row customHeight="1" ht="11.25">
      <c r="A8" s="373" t="s">
        <v>14</v>
      </c>
      <c r="B8" s="0" t="s">
        <v>2633</v>
      </c>
      <c r="C8" s="0" t="s">
        <v>2634</v>
      </c>
      <c r="D8" s="0" t="s">
        <v>2633</v>
      </c>
      <c r="E8" s="0" t="s">
        <v>2634</v>
      </c>
      <c r="F8" s="0" t="s">
        <v>2624</v>
      </c>
      <c r="G8" s="0" t="s">
        <v>92</v>
      </c>
    </row>
    <row customHeight="1" ht="11.25">
      <c r="A9" s="373" t="s">
        <v>14</v>
      </c>
      <c r="B9" s="0" t="s">
        <v>2635</v>
      </c>
      <c r="C9" s="0" t="s">
        <v>2636</v>
      </c>
      <c r="D9" s="0" t="s">
        <v>2635</v>
      </c>
      <c r="E9" s="0" t="s">
        <v>2636</v>
      </c>
      <c r="F9" s="0" t="s">
        <v>2624</v>
      </c>
      <c r="G9" s="0" t="s">
        <v>129</v>
      </c>
    </row>
    <row customHeight="1" ht="11.25">
      <c r="A10" s="373" t="s">
        <v>14</v>
      </c>
      <c r="B10" s="0" t="s">
        <v>2637</v>
      </c>
      <c r="C10" s="0" t="s">
        <v>2638</v>
      </c>
      <c r="D10" s="0" t="s">
        <v>2637</v>
      </c>
      <c r="E10" s="0" t="s">
        <v>2638</v>
      </c>
      <c r="F10" s="0" t="s">
        <v>2624</v>
      </c>
      <c r="G10" s="0" t="s">
        <v>165</v>
      </c>
    </row>
    <row customHeight="1" ht="11.25">
      <c r="A11" s="373" t="s">
        <v>14</v>
      </c>
      <c r="B11" s="0" t="s">
        <v>2639</v>
      </c>
      <c r="C11" s="0" t="s">
        <v>2640</v>
      </c>
      <c r="D11" s="0" t="s">
        <v>2639</v>
      </c>
      <c r="E11" s="0" t="s">
        <v>2640</v>
      </c>
      <c r="F11" s="0" t="s">
        <v>2624</v>
      </c>
      <c r="G11" s="0" t="s">
        <v>166</v>
      </c>
    </row>
    <row customHeight="1" ht="11.25">
      <c r="A12" s="373" t="s">
        <v>14</v>
      </c>
      <c r="B12" s="0" t="s">
        <v>119</v>
      </c>
      <c r="C12" s="0" t="s">
        <v>2641</v>
      </c>
      <c r="D12" s="0" t="s">
        <v>2642</v>
      </c>
      <c r="E12" s="0" t="s">
        <v>2643</v>
      </c>
      <c r="F12" s="0" t="s">
        <v>2644</v>
      </c>
      <c r="G12" s="0" t="s">
        <v>167</v>
      </c>
    </row>
    <row customHeight="1" ht="11.25">
      <c r="A13" s="373" t="s">
        <v>14</v>
      </c>
      <c r="B13" s="0" t="s">
        <v>119</v>
      </c>
      <c r="C13" s="0" t="s">
        <v>2641</v>
      </c>
      <c r="D13" s="0" t="s">
        <v>120</v>
      </c>
      <c r="E13" s="0" t="s">
        <v>121</v>
      </c>
      <c r="F13" s="0" t="s">
        <v>2645</v>
      </c>
      <c r="G13" s="0" t="s">
        <v>118</v>
      </c>
    </row>
    <row customHeight="1" ht="11.25">
      <c r="A14" s="373" t="s">
        <v>14</v>
      </c>
      <c r="B14" s="0" t="s">
        <v>119</v>
      </c>
      <c r="C14" s="0" t="s">
        <v>2641</v>
      </c>
      <c r="D14" s="0" t="s">
        <v>2646</v>
      </c>
      <c r="E14" s="0" t="s">
        <v>2647</v>
      </c>
      <c r="F14" s="0" t="s">
        <v>2644</v>
      </c>
      <c r="G14" s="0" t="s">
        <v>168</v>
      </c>
    </row>
    <row customHeight="1" ht="11.25">
      <c r="A15" s="373" t="s">
        <v>14</v>
      </c>
      <c r="B15" s="0" t="s">
        <v>119</v>
      </c>
      <c r="C15" s="0" t="s">
        <v>2641</v>
      </c>
      <c r="D15" s="0" t="s">
        <v>119</v>
      </c>
      <c r="E15" s="0" t="s">
        <v>2641</v>
      </c>
      <c r="F15" s="0" t="s">
        <v>2648</v>
      </c>
      <c r="G15" s="0" t="s">
        <v>169</v>
      </c>
    </row>
    <row customHeight="1" ht="11.25">
      <c r="A16" s="373" t="s">
        <v>14</v>
      </c>
      <c r="B16" s="0" t="s">
        <v>119</v>
      </c>
      <c r="C16" s="0" t="s">
        <v>2641</v>
      </c>
      <c r="D16" s="0" t="s">
        <v>2649</v>
      </c>
      <c r="E16" s="0" t="s">
        <v>2650</v>
      </c>
      <c r="F16" s="0" t="s">
        <v>2651</v>
      </c>
      <c r="G16" s="0" t="s">
        <v>1532</v>
      </c>
    </row>
    <row customHeight="1" ht="11.25">
      <c r="A17" s="373" t="s">
        <v>14</v>
      </c>
      <c r="B17" s="0" t="s">
        <v>2652</v>
      </c>
      <c r="C17" s="0" t="s">
        <v>2653</v>
      </c>
      <c r="D17" s="0" t="s">
        <v>2652</v>
      </c>
      <c r="E17" s="0" t="s">
        <v>2653</v>
      </c>
      <c r="F17" s="0" t="s">
        <v>2654</v>
      </c>
      <c r="G17" s="0" t="s">
        <v>1538</v>
      </c>
    </row>
    <row customHeight="1" ht="11.25">
      <c r="A18" s="373" t="s">
        <v>14</v>
      </c>
      <c r="B18" s="0" t="s">
        <v>2655</v>
      </c>
      <c r="C18" s="0" t="s">
        <v>2656</v>
      </c>
      <c r="D18" s="0" t="s">
        <v>2655</v>
      </c>
      <c r="E18" s="0" t="s">
        <v>2656</v>
      </c>
      <c r="F18" s="0" t="s">
        <v>2624</v>
      </c>
      <c r="G18" s="0" t="s">
        <v>1549</v>
      </c>
    </row>
    <row customHeight="1" ht="11.25">
      <c r="A19" s="373" t="s">
        <v>14</v>
      </c>
      <c r="B19" s="0" t="s">
        <v>2657</v>
      </c>
      <c r="C19" s="0" t="s">
        <v>2658</v>
      </c>
      <c r="D19" s="0" t="s">
        <v>2657</v>
      </c>
      <c r="E19" s="0" t="s">
        <v>2658</v>
      </c>
      <c r="F19" s="0" t="s">
        <v>2648</v>
      </c>
      <c r="G19" s="0" t="s">
        <v>1563</v>
      </c>
    </row>
    <row customHeight="1" ht="11.25">
      <c r="A20" s="373" t="s">
        <v>14</v>
      </c>
      <c r="B20" s="0" t="s">
        <v>2657</v>
      </c>
      <c r="C20" s="0" t="s">
        <v>2658</v>
      </c>
      <c r="D20" s="0" t="s">
        <v>2659</v>
      </c>
      <c r="E20" s="0" t="s">
        <v>2660</v>
      </c>
      <c r="F20" s="0" t="s">
        <v>2644</v>
      </c>
      <c r="G20" s="0" t="s">
        <v>1575</v>
      </c>
    </row>
    <row customHeight="1" ht="11.25">
      <c r="A21" s="373" t="s">
        <v>14</v>
      </c>
      <c r="B21" s="0" t="s">
        <v>2657</v>
      </c>
      <c r="C21" s="0" t="s">
        <v>2658</v>
      </c>
      <c r="D21" s="0" t="s">
        <v>2661</v>
      </c>
      <c r="E21" s="0" t="s">
        <v>2662</v>
      </c>
      <c r="F21" s="0" t="s">
        <v>2651</v>
      </c>
      <c r="G21" s="0" t="s">
        <v>1584</v>
      </c>
    </row>
    <row customHeight="1" ht="11.25">
      <c r="A22" s="373" t="s">
        <v>14</v>
      </c>
      <c r="B22" s="0" t="s">
        <v>2657</v>
      </c>
      <c r="C22" s="0" t="s">
        <v>2658</v>
      </c>
      <c r="D22" s="0" t="s">
        <v>2663</v>
      </c>
      <c r="E22" s="0" t="s">
        <v>2664</v>
      </c>
      <c r="F22" s="0" t="s">
        <v>2651</v>
      </c>
      <c r="G22" s="0" t="s">
        <v>1600</v>
      </c>
    </row>
    <row customHeight="1" ht="11.25">
      <c r="A23" s="373" t="s">
        <v>14</v>
      </c>
      <c r="B23" s="0" t="s">
        <v>2657</v>
      </c>
      <c r="C23" s="0" t="s">
        <v>2658</v>
      </c>
      <c r="D23" s="0" t="s">
        <v>2665</v>
      </c>
      <c r="E23" s="0" t="s">
        <v>2666</v>
      </c>
      <c r="F23" s="0" t="s">
        <v>2651</v>
      </c>
      <c r="G23" s="0" t="s">
        <v>1607</v>
      </c>
    </row>
    <row customHeight="1" ht="11.25">
      <c r="A24" s="373" t="s">
        <v>14</v>
      </c>
      <c r="B24" s="0" t="s">
        <v>2657</v>
      </c>
      <c r="C24" s="0" t="s">
        <v>2658</v>
      </c>
      <c r="D24" s="0" t="s">
        <v>2667</v>
      </c>
      <c r="E24" s="0" t="s">
        <v>2668</v>
      </c>
      <c r="F24" s="0" t="s">
        <v>2651</v>
      </c>
      <c r="G24" s="0" t="s">
        <v>1615</v>
      </c>
    </row>
    <row customHeight="1" ht="11.25">
      <c r="A25" s="373" t="s">
        <v>14</v>
      </c>
      <c r="B25" s="0" t="s">
        <v>2657</v>
      </c>
      <c r="C25" s="0" t="s">
        <v>2658</v>
      </c>
      <c r="D25" s="0" t="s">
        <v>2669</v>
      </c>
      <c r="E25" s="0" t="s">
        <v>2670</v>
      </c>
      <c r="F25" s="0" t="s">
        <v>2644</v>
      </c>
      <c r="G25" s="0" t="s">
        <v>1622</v>
      </c>
    </row>
    <row customHeight="1" ht="11.25">
      <c r="A26" s="373" t="s">
        <v>14</v>
      </c>
      <c r="B26" s="0" t="s">
        <v>2657</v>
      </c>
      <c r="C26" s="0" t="s">
        <v>2658</v>
      </c>
      <c r="D26" s="0" t="s">
        <v>2671</v>
      </c>
      <c r="E26" s="0" t="s">
        <v>2672</v>
      </c>
      <c r="F26" s="0" t="s">
        <v>2644</v>
      </c>
      <c r="G26" s="0" t="s">
        <v>1626</v>
      </c>
    </row>
    <row customHeight="1" ht="11.25">
      <c r="A27" s="373" t="s">
        <v>14</v>
      </c>
      <c r="B27" s="0" t="s">
        <v>2657</v>
      </c>
      <c r="C27" s="0" t="s">
        <v>2658</v>
      </c>
      <c r="D27" s="0" t="s">
        <v>2673</v>
      </c>
      <c r="E27" s="0" t="s">
        <v>2674</v>
      </c>
      <c r="F27" s="0" t="s">
        <v>2644</v>
      </c>
      <c r="G27" s="0" t="s">
        <v>1631</v>
      </c>
    </row>
    <row customHeight="1" ht="11.25">
      <c r="A28" s="373" t="s">
        <v>14</v>
      </c>
      <c r="B28" s="0" t="s">
        <v>2657</v>
      </c>
      <c r="C28" s="0" t="s">
        <v>2658</v>
      </c>
      <c r="D28" s="0" t="s">
        <v>2675</v>
      </c>
      <c r="E28" s="0" t="s">
        <v>2676</v>
      </c>
      <c r="F28" s="0" t="s">
        <v>2645</v>
      </c>
      <c r="G28" s="0" t="s">
        <v>1639</v>
      </c>
    </row>
    <row customHeight="1" ht="11.25">
      <c r="A29" s="373" t="s">
        <v>14</v>
      </c>
      <c r="B29" s="0" t="s">
        <v>2657</v>
      </c>
      <c r="C29" s="0" t="s">
        <v>2658</v>
      </c>
      <c r="D29" s="0" t="s">
        <v>2677</v>
      </c>
      <c r="E29" s="0" t="s">
        <v>2678</v>
      </c>
      <c r="F29" s="0" t="s">
        <v>2651</v>
      </c>
      <c r="G29" s="0" t="s">
        <v>1641</v>
      </c>
    </row>
    <row customHeight="1" ht="11.25">
      <c r="A30" s="373" t="s">
        <v>14</v>
      </c>
      <c r="B30" s="0" t="s">
        <v>2657</v>
      </c>
      <c r="C30" s="0" t="s">
        <v>2658</v>
      </c>
      <c r="D30" s="0" t="s">
        <v>2679</v>
      </c>
      <c r="E30" s="0" t="s">
        <v>2680</v>
      </c>
      <c r="F30" s="0" t="s">
        <v>2644</v>
      </c>
      <c r="G30" s="0" t="s">
        <v>1644</v>
      </c>
    </row>
    <row customHeight="1" ht="11.25">
      <c r="A31" s="373" t="s">
        <v>14</v>
      </c>
      <c r="B31" s="0" t="s">
        <v>2681</v>
      </c>
      <c r="C31" s="0" t="s">
        <v>2682</v>
      </c>
      <c r="D31" s="0" t="s">
        <v>2681</v>
      </c>
      <c r="E31" s="0" t="s">
        <v>2682</v>
      </c>
      <c r="F31" s="0" t="s">
        <v>2648</v>
      </c>
      <c r="G31" s="0" t="s">
        <v>1649</v>
      </c>
    </row>
    <row customHeight="1" ht="11.25">
      <c r="A32" s="373" t="s">
        <v>14</v>
      </c>
      <c r="B32" s="0" t="s">
        <v>2681</v>
      </c>
      <c r="C32" s="0" t="s">
        <v>2682</v>
      </c>
      <c r="D32" s="0" t="s">
        <v>2683</v>
      </c>
      <c r="E32" s="0" t="s">
        <v>2684</v>
      </c>
      <c r="F32" s="0" t="s">
        <v>2651</v>
      </c>
      <c r="G32" s="0" t="s">
        <v>1651</v>
      </c>
    </row>
    <row customHeight="1" ht="11.25">
      <c r="A33" s="373" t="s">
        <v>14</v>
      </c>
      <c r="B33" s="0" t="s">
        <v>2681</v>
      </c>
      <c r="C33" s="0" t="s">
        <v>2682</v>
      </c>
      <c r="D33" s="0" t="s">
        <v>2685</v>
      </c>
      <c r="E33" s="0" t="s">
        <v>2686</v>
      </c>
      <c r="F33" s="0" t="s">
        <v>2644</v>
      </c>
      <c r="G33" s="0" t="s">
        <v>1653</v>
      </c>
    </row>
    <row customHeight="1" ht="11.25">
      <c r="A34" s="373" t="s">
        <v>14</v>
      </c>
      <c r="B34" s="0" t="s">
        <v>2687</v>
      </c>
      <c r="C34" s="0" t="s">
        <v>2688</v>
      </c>
      <c r="D34" s="0" t="s">
        <v>2687</v>
      </c>
      <c r="E34" s="0" t="s">
        <v>2688</v>
      </c>
      <c r="F34" s="0" t="s">
        <v>2654</v>
      </c>
      <c r="G34" s="0" t="s">
        <v>1655</v>
      </c>
    </row>
    <row customHeight="1" ht="11.25">
      <c r="A35" s="373" t="s">
        <v>14</v>
      </c>
      <c r="B35" s="0" t="s">
        <v>109</v>
      </c>
      <c r="C35" s="0" t="s">
        <v>2689</v>
      </c>
      <c r="D35" s="0" t="s">
        <v>114</v>
      </c>
      <c r="E35" s="0" t="s">
        <v>115</v>
      </c>
      <c r="F35" s="0" t="s">
        <v>2645</v>
      </c>
      <c r="G35" s="0" t="s">
        <v>113</v>
      </c>
    </row>
    <row customHeight="1" ht="11.25">
      <c r="A36" s="373" t="s">
        <v>14</v>
      </c>
      <c r="B36" s="0" t="s">
        <v>109</v>
      </c>
      <c r="C36" s="0" t="s">
        <v>2689</v>
      </c>
      <c r="D36" s="0" t="s">
        <v>109</v>
      </c>
      <c r="E36" s="0" t="s">
        <v>2689</v>
      </c>
      <c r="F36" s="0" t="s">
        <v>2648</v>
      </c>
      <c r="G36" s="0" t="s">
        <v>1664</v>
      </c>
    </row>
    <row customHeight="1" ht="11.25">
      <c r="A37" s="373" t="s">
        <v>14</v>
      </c>
      <c r="B37" s="0" t="s">
        <v>109</v>
      </c>
      <c r="C37" s="0" t="s">
        <v>2689</v>
      </c>
      <c r="D37" s="0" t="s">
        <v>110</v>
      </c>
      <c r="E37" s="0" t="s">
        <v>111</v>
      </c>
      <c r="F37" s="0" t="s">
        <v>2651</v>
      </c>
      <c r="G37" s="0" t="s">
        <v>108</v>
      </c>
    </row>
    <row customHeight="1" ht="11.25">
      <c r="A38" s="373" t="s">
        <v>14</v>
      </c>
      <c r="B38" s="0" t="s">
        <v>109</v>
      </c>
      <c r="C38" s="0" t="s">
        <v>2689</v>
      </c>
      <c r="D38" s="0" t="s">
        <v>2690</v>
      </c>
      <c r="E38" s="0" t="s">
        <v>2691</v>
      </c>
      <c r="F38" s="0" t="s">
        <v>2651</v>
      </c>
      <c r="G38" s="0" t="s">
        <v>1674</v>
      </c>
    </row>
    <row customHeight="1" ht="11.25">
      <c r="A39" s="373" t="s">
        <v>14</v>
      </c>
      <c r="B39" s="0" t="s">
        <v>109</v>
      </c>
      <c r="C39" s="0" t="s">
        <v>2689</v>
      </c>
      <c r="D39" s="0" t="s">
        <v>2692</v>
      </c>
      <c r="E39" s="0" t="s">
        <v>2693</v>
      </c>
      <c r="F39" s="0" t="s">
        <v>2644</v>
      </c>
      <c r="G39" s="0" t="s">
        <v>1680</v>
      </c>
    </row>
    <row customHeight="1" ht="11.25">
      <c r="A40" s="373" t="s">
        <v>14</v>
      </c>
      <c r="B40" s="0" t="s">
        <v>2694</v>
      </c>
      <c r="C40" s="0" t="s">
        <v>2695</v>
      </c>
      <c r="D40" s="0" t="s">
        <v>2696</v>
      </c>
      <c r="E40" s="0" t="s">
        <v>2697</v>
      </c>
      <c r="F40" s="0" t="s">
        <v>2644</v>
      </c>
      <c r="G40" s="0" t="s">
        <v>1685</v>
      </c>
    </row>
    <row customHeight="1" ht="11.25">
      <c r="A41" s="373" t="s">
        <v>14</v>
      </c>
      <c r="B41" s="0" t="s">
        <v>2694</v>
      </c>
      <c r="C41" s="0" t="s">
        <v>2695</v>
      </c>
      <c r="D41" s="0" t="s">
        <v>2698</v>
      </c>
      <c r="E41" s="0" t="s">
        <v>2699</v>
      </c>
      <c r="F41" s="0" t="s">
        <v>2651</v>
      </c>
      <c r="G41" s="0" t="s">
        <v>1689</v>
      </c>
    </row>
    <row customHeight="1" ht="11.25">
      <c r="A42" s="373" t="s">
        <v>14</v>
      </c>
      <c r="B42" s="0" t="s">
        <v>2694</v>
      </c>
      <c r="C42" s="0" t="s">
        <v>2695</v>
      </c>
      <c r="D42" s="0" t="s">
        <v>2694</v>
      </c>
      <c r="E42" s="0" t="s">
        <v>2695</v>
      </c>
      <c r="F42" s="0" t="s">
        <v>2648</v>
      </c>
      <c r="G42" s="0" t="s">
        <v>1692</v>
      </c>
    </row>
    <row customHeight="1" ht="11.25">
      <c r="A43" s="373" t="s">
        <v>14</v>
      </c>
      <c r="B43" s="0" t="s">
        <v>2700</v>
      </c>
      <c r="C43" s="0" t="s">
        <v>2701</v>
      </c>
      <c r="D43" s="0" t="s">
        <v>2700</v>
      </c>
      <c r="E43" s="0" t="s">
        <v>2701</v>
      </c>
      <c r="F43" s="0" t="s">
        <v>2654</v>
      </c>
      <c r="G43" s="0" t="s">
        <v>1699</v>
      </c>
    </row>
    <row customHeight="1" ht="11.25">
      <c r="A44" s="373" t="s">
        <v>14</v>
      </c>
      <c r="B44" s="0" t="s">
        <v>2702</v>
      </c>
      <c r="C44" s="0" t="s">
        <v>2703</v>
      </c>
      <c r="D44" s="0" t="s">
        <v>2702</v>
      </c>
      <c r="E44" s="0" t="s">
        <v>2703</v>
      </c>
      <c r="F44" s="0" t="s">
        <v>2654</v>
      </c>
      <c r="G44" s="0" t="s">
        <v>1708</v>
      </c>
    </row>
    <row customHeight="1" ht="11.25">
      <c r="A45" s="373" t="s">
        <v>14</v>
      </c>
      <c r="B45" s="0" t="s">
        <v>2704</v>
      </c>
      <c r="C45" s="0" t="s">
        <v>2705</v>
      </c>
      <c r="D45" s="0" t="s">
        <v>2704</v>
      </c>
      <c r="E45" s="0" t="s">
        <v>2705</v>
      </c>
      <c r="F45" s="0" t="s">
        <v>2654</v>
      </c>
      <c r="G45" s="0" t="s">
        <v>1713</v>
      </c>
    </row>
    <row customHeight="1" ht="11.25">
      <c r="A46" s="373" t="s">
        <v>14</v>
      </c>
      <c r="B46" s="0" t="s">
        <v>2706</v>
      </c>
      <c r="C46" s="0" t="s">
        <v>2707</v>
      </c>
      <c r="D46" s="0" t="s">
        <v>2706</v>
      </c>
      <c r="E46" s="0" t="s">
        <v>2707</v>
      </c>
      <c r="F46" s="0" t="s">
        <v>2654</v>
      </c>
      <c r="G46" s="0" t="s">
        <v>1717</v>
      </c>
    </row>
    <row customHeight="1" ht="11.25">
      <c r="A47" s="373" t="s">
        <v>14</v>
      </c>
      <c r="B47" s="0" t="s">
        <v>2708</v>
      </c>
      <c r="C47" s="0" t="s">
        <v>2709</v>
      </c>
      <c r="D47" s="0" t="s">
        <v>2708</v>
      </c>
      <c r="E47" s="0" t="s">
        <v>2709</v>
      </c>
      <c r="F47" s="0" t="s">
        <v>2654</v>
      </c>
      <c r="G47" s="0" t="s">
        <v>1723</v>
      </c>
    </row>
    <row customHeight="1" ht="11.25">
      <c r="A48" s="373" t="s">
        <v>14</v>
      </c>
      <c r="B48" s="0" t="s">
        <v>99</v>
      </c>
      <c r="C48" s="0" t="s">
        <v>100</v>
      </c>
      <c r="D48" s="0" t="s">
        <v>99</v>
      </c>
      <c r="E48" s="0" t="s">
        <v>100</v>
      </c>
      <c r="F48" s="0" t="s">
        <v>2624</v>
      </c>
      <c r="G48" s="0" t="s">
        <v>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8124B-17A4-9B73-6B34-97029E43918B}" mc:Ignorable="x14ac xr xr2 xr3">
  <sheetPr>
    <tabColor rgb="FFFFCC99"/>
  </sheetPr>
  <dimension ref="A1:D54"/>
  <sheetViews>
    <sheetView topLeftCell="A1" showGridLines="0" workbookViewId="0">
      <selection activeCell="A1" sqref="A1"/>
    </sheetView>
  </sheetViews>
  <sheetFormatPr defaultColWidth="9.140625" customHeight="1" defaultRowHeight="11.25"/>
  <cols>
    <col min="1" max="4" style="7501" width="9.140625"/>
  </cols>
  <sheetData>
    <row customHeight="1" ht="11.25">
      <c r="A1" s="841" t="s">
        <v>2710</v>
      </c>
      <c r="B1" s="841" t="s">
        <v>2711</v>
      </c>
      <c r="C1" s="841" t="s">
        <v>2712</v>
      </c>
      <c r="D1" s="841" t="s">
        <v>2713</v>
      </c>
    </row>
    <row customHeight="1" ht="11.25">
      <c r="A2" s="7502" t="s">
        <v>128</v>
      </c>
      <c r="B2" s="7502" t="s">
        <v>2714</v>
      </c>
      <c r="C2" s="7502" t="s">
        <v>2715</v>
      </c>
      <c r="D2" s="7502" t="s">
        <v>2716</v>
      </c>
    </row>
    <row customHeight="1" ht="11.25">
      <c r="A3" s="7502" t="s">
        <v>102</v>
      </c>
      <c r="B3" s="7502" t="s">
        <v>2717</v>
      </c>
      <c r="C3" s="7502" t="s">
        <v>2715</v>
      </c>
      <c r="D3" s="7502" t="s">
        <v>2718</v>
      </c>
    </row>
    <row customHeight="1" ht="11.25">
      <c r="A4" s="7502" t="s">
        <v>89</v>
      </c>
      <c r="B4" s="7502" t="s">
        <v>2719</v>
      </c>
      <c r="C4" s="7502" t="s">
        <v>2720</v>
      </c>
      <c r="D4" s="7502" t="s">
        <v>2721</v>
      </c>
    </row>
    <row customHeight="1" ht="11.25">
      <c r="A5" s="7502" t="s">
        <v>90</v>
      </c>
      <c r="B5" s="7502" t="s">
        <v>2722</v>
      </c>
      <c r="C5" s="7502" t="s">
        <v>2723</v>
      </c>
      <c r="D5" s="7502" t="s">
        <v>2724</v>
      </c>
    </row>
    <row customHeight="1" ht="11.25">
      <c r="A6" s="7502" t="s">
        <v>116</v>
      </c>
      <c r="B6" s="7502" t="s">
        <v>2725</v>
      </c>
      <c r="C6" s="7502" t="s">
        <v>2720</v>
      </c>
      <c r="D6" s="7502" t="s">
        <v>2716</v>
      </c>
    </row>
    <row customHeight="1" ht="11.25">
      <c r="A7" s="7502" t="s">
        <v>91</v>
      </c>
      <c r="B7" s="7502" t="s">
        <v>2726</v>
      </c>
      <c r="C7" s="7502" t="s">
        <v>2720</v>
      </c>
      <c r="D7" s="7502" t="s">
        <v>2727</v>
      </c>
    </row>
    <row customHeight="1" ht="11.25">
      <c r="A8" s="7502" t="s">
        <v>92</v>
      </c>
      <c r="B8" s="7502" t="s">
        <v>2728</v>
      </c>
      <c r="C8" s="7502" t="s">
        <v>2720</v>
      </c>
      <c r="D8" s="7502" t="s">
        <v>2729</v>
      </c>
    </row>
    <row customHeight="1" ht="11.25">
      <c r="A9" s="7502" t="s">
        <v>129</v>
      </c>
      <c r="B9" s="7502" t="s">
        <v>2730</v>
      </c>
      <c r="C9" s="7502" t="s">
        <v>2720</v>
      </c>
      <c r="D9" s="7502" t="s">
        <v>2729</v>
      </c>
    </row>
    <row customHeight="1" ht="11.25">
      <c r="A10" s="7502" t="s">
        <v>165</v>
      </c>
      <c r="B10" s="7502" t="s">
        <v>2731</v>
      </c>
      <c r="C10" s="7502" t="s">
        <v>2732</v>
      </c>
      <c r="D10" s="7502" t="s">
        <v>2721</v>
      </c>
    </row>
    <row customHeight="1" ht="11.25">
      <c r="A11" s="7502" t="s">
        <v>166</v>
      </c>
      <c r="B11" s="7502" t="s">
        <v>2733</v>
      </c>
      <c r="C11" s="7502" t="s">
        <v>2732</v>
      </c>
      <c r="D11" s="7502" t="s">
        <v>2721</v>
      </c>
    </row>
    <row customHeight="1" ht="11.25">
      <c r="A12" s="7502" t="s">
        <v>167</v>
      </c>
      <c r="B12" s="7502" t="s">
        <v>2734</v>
      </c>
      <c r="C12" s="7502" t="s">
        <v>2732</v>
      </c>
      <c r="D12" s="7502" t="s">
        <v>2727</v>
      </c>
    </row>
    <row customHeight="1" ht="11.25">
      <c r="A13" s="7502" t="s">
        <v>118</v>
      </c>
      <c r="B13" s="7502" t="s">
        <v>2735</v>
      </c>
      <c r="C13" s="7502" t="s">
        <v>2720</v>
      </c>
      <c r="D13" s="7502" t="s">
        <v>2716</v>
      </c>
    </row>
    <row customHeight="1" ht="11.25">
      <c r="A14" s="7502" t="s">
        <v>168</v>
      </c>
      <c r="B14" s="7502" t="s">
        <v>2736</v>
      </c>
      <c r="C14" s="7502" t="s">
        <v>2715</v>
      </c>
      <c r="D14" s="7502" t="s">
        <v>2715</v>
      </c>
    </row>
    <row customHeight="1" ht="11.25">
      <c r="A15" s="7502" t="s">
        <v>169</v>
      </c>
      <c r="B15" s="7502" t="s">
        <v>2737</v>
      </c>
      <c r="C15" s="7502" t="s">
        <v>2732</v>
      </c>
      <c r="D15" s="7502" t="s">
        <v>2738</v>
      </c>
    </row>
    <row customHeight="1" ht="11.25">
      <c r="A16" s="7502" t="s">
        <v>1532</v>
      </c>
      <c r="B16" s="7502" t="s">
        <v>2739</v>
      </c>
      <c r="C16" s="7502" t="s">
        <v>2740</v>
      </c>
      <c r="D16" s="7502" t="s">
        <v>2741</v>
      </c>
    </row>
    <row customHeight="1" ht="11.25">
      <c r="A17" s="7502" t="s">
        <v>1538</v>
      </c>
      <c r="B17" s="7502" t="s">
        <v>2742</v>
      </c>
      <c r="C17" s="7502" t="s">
        <v>2715</v>
      </c>
      <c r="D17" s="7502" t="s">
        <v>2727</v>
      </c>
    </row>
    <row customHeight="1" ht="11.25">
      <c r="A18" s="7502" t="s">
        <v>1549</v>
      </c>
      <c r="B18" s="7502" t="s">
        <v>2743</v>
      </c>
      <c r="C18" s="7502" t="s">
        <v>2744</v>
      </c>
      <c r="D18" s="7502" t="s">
        <v>2745</v>
      </c>
    </row>
    <row customHeight="1" ht="11.25">
      <c r="A19" s="7502" t="s">
        <v>1563</v>
      </c>
      <c r="B19" s="7502" t="s">
        <v>2746</v>
      </c>
      <c r="C19" s="7502" t="s">
        <v>2744</v>
      </c>
      <c r="D19" s="7502" t="s">
        <v>2738</v>
      </c>
    </row>
    <row customHeight="1" ht="11.25">
      <c r="A20" s="7502" t="s">
        <v>1575</v>
      </c>
      <c r="B20" s="7502" t="s">
        <v>2747</v>
      </c>
      <c r="C20" s="7502" t="s">
        <v>2744</v>
      </c>
      <c r="D20" s="7502" t="s">
        <v>2738</v>
      </c>
    </row>
    <row customHeight="1" ht="11.25">
      <c r="A21" s="7502" t="s">
        <v>1584</v>
      </c>
      <c r="B21" s="7502" t="s">
        <v>2748</v>
      </c>
      <c r="C21" s="7502" t="s">
        <v>2744</v>
      </c>
      <c r="D21" s="7502" t="s">
        <v>2738</v>
      </c>
    </row>
    <row customHeight="1" ht="11.25">
      <c r="A22" s="7502" t="s">
        <v>1600</v>
      </c>
      <c r="B22" s="7502" t="s">
        <v>2749</v>
      </c>
      <c r="C22" s="7502" t="s">
        <v>2744</v>
      </c>
      <c r="D22" s="7502" t="s">
        <v>2738</v>
      </c>
    </row>
    <row customHeight="1" ht="11.25">
      <c r="A23" s="7502" t="s">
        <v>1607</v>
      </c>
      <c r="B23" s="7502" t="s">
        <v>2750</v>
      </c>
      <c r="C23" s="7502" t="s">
        <v>2744</v>
      </c>
      <c r="D23" s="7502" t="s">
        <v>2738</v>
      </c>
    </row>
    <row customHeight="1" ht="11.25">
      <c r="A24" s="7502" t="s">
        <v>1615</v>
      </c>
      <c r="B24" s="7502" t="s">
        <v>2751</v>
      </c>
      <c r="C24" s="7502" t="s">
        <v>2715</v>
      </c>
      <c r="D24" s="7502" t="s">
        <v>2716</v>
      </c>
    </row>
    <row customHeight="1" ht="11.25">
      <c r="A25" s="7502" t="s">
        <v>1622</v>
      </c>
      <c r="B25" s="7502" t="s">
        <v>2752</v>
      </c>
      <c r="C25" s="7502" t="s">
        <v>2715</v>
      </c>
      <c r="D25" s="7502" t="s">
        <v>2753</v>
      </c>
    </row>
    <row customHeight="1" ht="11.25">
      <c r="A26" s="7502" t="s">
        <v>1626</v>
      </c>
      <c r="B26" s="7502" t="s">
        <v>2754</v>
      </c>
      <c r="C26" s="7502" t="s">
        <v>2755</v>
      </c>
      <c r="D26" s="7502" t="s">
        <v>2741</v>
      </c>
    </row>
    <row customHeight="1" ht="11.25">
      <c r="A27" s="7502" t="s">
        <v>1631</v>
      </c>
      <c r="B27" s="7502" t="s">
        <v>2756</v>
      </c>
      <c r="C27" s="7502" t="s">
        <v>2740</v>
      </c>
      <c r="D27" s="7502" t="s">
        <v>2741</v>
      </c>
    </row>
    <row customHeight="1" ht="11.25">
      <c r="A28" s="7502" t="s">
        <v>1639</v>
      </c>
      <c r="B28" s="7502" t="s">
        <v>2757</v>
      </c>
      <c r="C28" s="7502" t="s">
        <v>2740</v>
      </c>
      <c r="D28" s="7502" t="s">
        <v>2741</v>
      </c>
    </row>
    <row customHeight="1" ht="11.25">
      <c r="A29" s="7502" t="s">
        <v>1641</v>
      </c>
      <c r="B29" s="7502" t="s">
        <v>2758</v>
      </c>
      <c r="C29" s="7502" t="s">
        <v>2744</v>
      </c>
      <c r="D29" s="7502" t="s">
        <v>2759</v>
      </c>
    </row>
    <row customHeight="1" ht="11.25">
      <c r="A30" s="7502" t="s">
        <v>1644</v>
      </c>
      <c r="B30" s="7502" t="s">
        <v>2760</v>
      </c>
      <c r="C30" s="7502" t="s">
        <v>2720</v>
      </c>
      <c r="D30" s="7502" t="s">
        <v>2716</v>
      </c>
    </row>
    <row customHeight="1" ht="11.25">
      <c r="A31" s="7502" t="s">
        <v>1649</v>
      </c>
      <c r="B31" s="7502" t="s">
        <v>2761</v>
      </c>
      <c r="C31" s="7502" t="s">
        <v>2720</v>
      </c>
      <c r="D31" s="7502" t="s">
        <v>2716</v>
      </c>
    </row>
    <row customHeight="1" ht="11.25">
      <c r="A32" s="7502" t="s">
        <v>1651</v>
      </c>
      <c r="B32" s="7502" t="s">
        <v>2762</v>
      </c>
      <c r="C32" s="7502" t="s">
        <v>2720</v>
      </c>
      <c r="D32" s="7502" t="s">
        <v>2716</v>
      </c>
    </row>
    <row customHeight="1" ht="11.25">
      <c r="A33" s="7502" t="s">
        <v>1653</v>
      </c>
      <c r="B33" s="7502" t="s">
        <v>2763</v>
      </c>
      <c r="C33" s="7502" t="s">
        <v>2720</v>
      </c>
      <c r="D33" s="7502" t="s">
        <v>2716</v>
      </c>
    </row>
    <row customHeight="1" ht="11.25">
      <c r="A34" s="7502" t="s">
        <v>1655</v>
      </c>
      <c r="B34" s="7502" t="s">
        <v>2764</v>
      </c>
      <c r="C34" s="7502" t="s">
        <v>2720</v>
      </c>
      <c r="D34" s="7502" t="s">
        <v>2727</v>
      </c>
    </row>
    <row customHeight="1" ht="11.25">
      <c r="A35" s="7502" t="s">
        <v>113</v>
      </c>
      <c r="B35" s="7502" t="s">
        <v>2765</v>
      </c>
      <c r="C35" s="7502" t="s">
        <v>2720</v>
      </c>
      <c r="D35" s="7502" t="s">
        <v>2716</v>
      </c>
    </row>
    <row customHeight="1" ht="11.25">
      <c r="A36" s="7502" t="s">
        <v>1664</v>
      </c>
      <c r="B36" s="7502" t="s">
        <v>2766</v>
      </c>
      <c r="C36" s="7502" t="s">
        <v>2720</v>
      </c>
      <c r="D36" s="7502" t="s">
        <v>2716</v>
      </c>
    </row>
    <row customHeight="1" ht="11.25">
      <c r="A37" s="7502" t="s">
        <v>108</v>
      </c>
      <c r="B37" s="7502" t="s">
        <v>2767</v>
      </c>
      <c r="C37" s="7502" t="s">
        <v>2720</v>
      </c>
      <c r="D37" s="7502" t="s">
        <v>2718</v>
      </c>
    </row>
    <row customHeight="1" ht="11.25">
      <c r="A38" s="7502" t="s">
        <v>1674</v>
      </c>
      <c r="B38" s="7502" t="s">
        <v>2768</v>
      </c>
      <c r="C38" s="7502" t="s">
        <v>2769</v>
      </c>
      <c r="D38" s="7502" t="s">
        <v>2721</v>
      </c>
    </row>
    <row customHeight="1" ht="11.25">
      <c r="A39" s="7502" t="s">
        <v>1680</v>
      </c>
      <c r="B39" s="7502" t="s">
        <v>2770</v>
      </c>
      <c r="C39" s="7502" t="s">
        <v>2720</v>
      </c>
      <c r="D39" s="7502" t="s">
        <v>2718</v>
      </c>
    </row>
    <row customHeight="1" ht="11.25">
      <c r="A40" s="7502" t="s">
        <v>1685</v>
      </c>
      <c r="B40" s="7502" t="s">
        <v>2771</v>
      </c>
      <c r="C40" s="7502" t="s">
        <v>2720</v>
      </c>
      <c r="D40" s="7502" t="s">
        <v>2716</v>
      </c>
    </row>
    <row customHeight="1" ht="11.25">
      <c r="A41" s="7502" t="s">
        <v>1689</v>
      </c>
      <c r="B41" s="7502" t="s">
        <v>2772</v>
      </c>
      <c r="C41" s="7502" t="s">
        <v>2769</v>
      </c>
      <c r="D41" s="7502" t="s">
        <v>2773</v>
      </c>
    </row>
    <row customHeight="1" ht="11.25">
      <c r="A42" s="7502" t="s">
        <v>1692</v>
      </c>
      <c r="B42" s="7502" t="s">
        <v>2774</v>
      </c>
      <c r="C42" s="7502" t="s">
        <v>2775</v>
      </c>
      <c r="D42" s="7502" t="s">
        <v>2738</v>
      </c>
    </row>
    <row customHeight="1" ht="11.25">
      <c r="A43" s="7502" t="s">
        <v>1699</v>
      </c>
      <c r="B43" s="7502" t="s">
        <v>2776</v>
      </c>
      <c r="C43" s="7502" t="s">
        <v>2777</v>
      </c>
      <c r="D43" s="7502" t="s">
        <v>2778</v>
      </c>
    </row>
    <row customHeight="1" ht="11.25">
      <c r="A44" s="7502" t="s">
        <v>1708</v>
      </c>
      <c r="B44" s="7502" t="s">
        <v>2779</v>
      </c>
      <c r="C44" s="7502" t="s">
        <v>2715</v>
      </c>
      <c r="D44" s="7502" t="s">
        <v>2727</v>
      </c>
    </row>
    <row customHeight="1" ht="11.25">
      <c r="A45" s="7502" t="s">
        <v>1713</v>
      </c>
      <c r="B45" s="7502" t="s">
        <v>2780</v>
      </c>
      <c r="C45" s="7502" t="s">
        <v>2715</v>
      </c>
      <c r="D45" s="7502" t="s">
        <v>2727</v>
      </c>
    </row>
    <row customHeight="1" ht="11.25">
      <c r="A46" s="7502" t="s">
        <v>1717</v>
      </c>
      <c r="B46" s="7502" t="s">
        <v>2781</v>
      </c>
      <c r="C46" s="7502" t="s">
        <v>2732</v>
      </c>
      <c r="D46" s="7502" t="s">
        <v>2782</v>
      </c>
    </row>
    <row customHeight="1" ht="11.25">
      <c r="A47" s="7502" t="s">
        <v>1723</v>
      </c>
      <c r="B47" s="7502" t="s">
        <v>2783</v>
      </c>
      <c r="C47" s="7502" t="s">
        <v>2784</v>
      </c>
      <c r="D47" s="7502" t="s">
        <v>2782</v>
      </c>
    </row>
    <row customHeight="1" ht="11.25">
      <c r="A48" s="7502" t="s">
        <v>98</v>
      </c>
      <c r="B48" s="7502" t="s">
        <v>2785</v>
      </c>
      <c r="C48" s="7502" t="s">
        <v>2786</v>
      </c>
      <c r="D48" s="7502" t="s">
        <v>2716</v>
      </c>
    </row>
    <row customHeight="1" ht="11.25">
      <c r="A49" s="7502" t="s">
        <v>1730</v>
      </c>
      <c r="B49" s="7502" t="s">
        <v>2787</v>
      </c>
      <c r="C49" s="7502" t="s">
        <v>2744</v>
      </c>
      <c r="D49" s="7502" t="s">
        <v>2759</v>
      </c>
    </row>
    <row customHeight="1" ht="11.25">
      <c r="A50" s="7502" t="s">
        <v>1734</v>
      </c>
      <c r="B50" s="7502" t="s">
        <v>2788</v>
      </c>
      <c r="C50" s="7502" t="s">
        <v>2740</v>
      </c>
      <c r="D50" s="7502" t="s">
        <v>2789</v>
      </c>
    </row>
    <row customHeight="1" ht="11.25">
      <c r="A51" s="7502" t="s">
        <v>1738</v>
      </c>
      <c r="B51" s="7502" t="s">
        <v>2790</v>
      </c>
      <c r="C51" s="7502" t="s">
        <v>2720</v>
      </c>
      <c r="D51" s="7502" t="s">
        <v>2729</v>
      </c>
    </row>
    <row customHeight="1" ht="11.25">
      <c r="A52" s="7502" t="s">
        <v>1742</v>
      </c>
      <c r="B52" s="7502" t="s">
        <v>2791</v>
      </c>
      <c r="C52" s="7502" t="s">
        <v>2769</v>
      </c>
      <c r="D52" s="7502" t="s">
        <v>2789</v>
      </c>
    </row>
    <row customHeight="1" ht="11.25">
      <c r="A53" s="7502" t="s">
        <v>1744</v>
      </c>
      <c r="B53" s="7502" t="s">
        <v>2792</v>
      </c>
      <c r="C53" s="7502" t="s">
        <v>2769</v>
      </c>
      <c r="D53" s="7502" t="s">
        <v>2789</v>
      </c>
    </row>
    <row customHeight="1" ht="11.25">
      <c r="A54" s="7502" t="s">
        <v>1747</v>
      </c>
      <c r="B54" s="7502" t="s">
        <v>2793</v>
      </c>
      <c r="C54" s="7502" t="s">
        <v>2732</v>
      </c>
      <c r="D54" s="7502" t="s">
        <v>2738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BD80E-4F83-1652-E3EC-0D558D883FB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7CB0F-A658-FB3C-E464-59927649AD5B}" mc:Ignorable="x14ac xr xr2 xr3">
  <sheetPr>
    <tabColor rgb="FFFFCC99"/>
  </sheetPr>
  <dimension ref="A1:B6"/>
  <sheetViews>
    <sheetView topLeftCell="A1" showGridLines="0" workbookViewId="0">
      <selection activeCell="A1" sqref="A1"/>
    </sheetView>
  </sheetViews>
  <sheetFormatPr defaultColWidth="9.140625" customHeight="1" defaultRowHeight="11.25"/>
  <cols>
    <col min="1" max="2" style="7503" width="9.140625"/>
  </cols>
  <sheetData>
    <row customHeight="1" ht="11.25">
      <c r="A1" s="169" t="s">
        <v>147</v>
      </c>
      <c r="B1" s="169" t="s">
        <v>2794</v>
      </c>
    </row>
    <row customHeight="1" ht="11.25">
      <c r="A2" s="7504" t="s">
        <v>97</v>
      </c>
      <c r="B2" s="7504" t="s">
        <v>2795</v>
      </c>
    </row>
    <row customHeight="1" ht="11.25">
      <c r="A3" s="7504" t="s">
        <v>104</v>
      </c>
      <c r="B3" s="7504" t="s">
        <v>2796</v>
      </c>
    </row>
    <row customHeight="1" ht="11.25">
      <c r="A4" s="7504" t="s">
        <v>107</v>
      </c>
      <c r="B4" s="7504" t="s">
        <v>2797</v>
      </c>
    </row>
    <row customHeight="1" ht="11.25">
      <c r="A5" s="7504" t="s">
        <v>112</v>
      </c>
      <c r="B5" s="7504" t="s">
        <v>2798</v>
      </c>
    </row>
    <row customHeight="1" ht="11.25">
      <c r="A6" s="7504" t="s">
        <v>117</v>
      </c>
      <c r="B6" s="7504" t="s">
        <v>2799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C48F5-DE38-D25D-0D47-4246B639FFC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01" width="9.140625"/>
    <col min="2" max="2" style="7501" width="65.28125" customWidth="1"/>
  </cols>
  <sheetData>
    <row customHeight="1" ht="11.25">
      <c r="A1" s="841" t="s">
        <v>2800</v>
      </c>
      <c r="B1" s="841" t="s">
        <v>2801</v>
      </c>
    </row>
    <row customHeight="1" ht="11.25">
      <c r="A2" s="841">
        <v>4213775</v>
      </c>
      <c r="B2" s="841" t="s">
        <v>1292</v>
      </c>
    </row>
    <row customHeight="1" ht="11.25">
      <c r="A3" s="841">
        <v>4213784</v>
      </c>
      <c r="B3" s="841" t="s">
        <v>1325</v>
      </c>
    </row>
    <row customHeight="1" ht="11.25">
      <c r="A4" s="841">
        <v>4213781</v>
      </c>
      <c r="B4" s="841" t="s">
        <v>1318</v>
      </c>
    </row>
    <row customHeight="1" ht="11.25">
      <c r="A5" s="841">
        <v>4213776</v>
      </c>
      <c r="B5" s="841" t="s">
        <v>182</v>
      </c>
    </row>
    <row customHeight="1" ht="11.25">
      <c r="A6" s="841">
        <v>4213777</v>
      </c>
      <c r="B6" s="841" t="s">
        <v>231</v>
      </c>
    </row>
    <row customHeight="1" ht="11.25">
      <c r="A7" s="841">
        <v>4213778</v>
      </c>
      <c r="B7" s="841" t="s">
        <v>237</v>
      </c>
    </row>
    <row customHeight="1" ht="11.25">
      <c r="A8" s="841">
        <v>4213780</v>
      </c>
      <c r="B8" s="841" t="s">
        <v>243</v>
      </c>
    </row>
    <row customHeight="1" ht="11.25">
      <c r="A9" s="841">
        <v>4213779</v>
      </c>
      <c r="B9" s="841" t="s">
        <v>1457</v>
      </c>
    </row>
    <row customHeight="1" ht="11.25">
      <c r="A10" s="841">
        <v>4213783</v>
      </c>
      <c r="B10" s="841" t="s">
        <v>1472</v>
      </c>
    </row>
    <row customHeight="1" ht="11.25">
      <c r="A11" s="841">
        <v>4213782</v>
      </c>
      <c r="B11" s="841" t="s">
        <v>249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4B27E-77E4-A2DA-B804-6AA4FF777CB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01" width="9.140625"/>
    <col min="2" max="2" style="7501" width="65.28125" customWidth="1"/>
  </cols>
  <sheetData>
    <row customHeight="1" ht="11.25">
      <c r="A1" s="841" t="s">
        <v>2800</v>
      </c>
      <c r="B1" s="841" t="s">
        <v>2802</v>
      </c>
    </row>
    <row customHeight="1" ht="11.25">
      <c r="A2" s="841" t="s">
        <v>2803</v>
      </c>
      <c r="B2" s="841" t="s">
        <v>1569</v>
      </c>
    </row>
    <row customHeight="1" ht="11.25">
      <c r="A3" s="841" t="s">
        <v>2804</v>
      </c>
      <c r="B3" s="841" t="s">
        <v>1579</v>
      </c>
    </row>
    <row customHeight="1" ht="11.25">
      <c r="A4" s="841" t="s">
        <v>2805</v>
      </c>
      <c r="B4" s="841" t="s">
        <v>1588</v>
      </c>
    </row>
    <row customHeight="1" ht="11.25">
      <c r="A5" s="841" t="s">
        <v>2806</v>
      </c>
      <c r="B5" s="841" t="s">
        <v>1597</v>
      </c>
    </row>
    <row customHeight="1" ht="11.25">
      <c r="A6" s="841" t="s">
        <v>2807</v>
      </c>
      <c r="B6" s="841" t="s">
        <v>1603</v>
      </c>
    </row>
    <row customHeight="1" ht="11.25">
      <c r="A7" s="841" t="s">
        <v>2808</v>
      </c>
      <c r="B7" s="841" t="s">
        <v>1611</v>
      </c>
    </row>
    <row customHeight="1" ht="11.25">
      <c r="A8" s="841" t="s">
        <v>2809</v>
      </c>
      <c r="B8" s="841" t="s">
        <v>1618</v>
      </c>
    </row>
    <row customHeight="1" ht="11.25">
      <c r="A9" s="841" t="s">
        <v>2810</v>
      </c>
      <c r="B9" s="841" t="s">
        <v>1624</v>
      </c>
    </row>
    <row customHeight="1" ht="11.25">
      <c r="A10" s="841" t="s">
        <v>2811</v>
      </c>
      <c r="B10" s="841" t="s">
        <v>1628</v>
      </c>
    </row>
    <row customHeight="1" ht="11.25">
      <c r="A11" s="841" t="s">
        <v>2812</v>
      </c>
      <c r="B11" s="841" t="s">
        <v>1635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F6DB8-3F43-0EC7-8515-E90A4B03AD8C}" mc:Ignorable="x14ac xr xr2 xr3">
  <sheetPr>
    <tabColor rgb="FFFFCC99"/>
  </sheetPr>
  <dimension ref="A1:G48"/>
  <sheetViews>
    <sheetView topLeftCell="A1" showGridLines="0" workbookViewId="0">
      <selection activeCell="A1" sqref="A1"/>
    </sheetView>
  </sheetViews>
  <sheetFormatPr customHeight="1" defaultRowHeight="11.25"/>
  <sheetData>
    <row customHeight="1" ht="11.25">
      <c r="A1" s="373" t="s">
        <v>2615</v>
      </c>
      <c r="B1" s="373" t="s">
        <v>2616</v>
      </c>
      <c r="C1" s="373" t="s">
        <v>2617</v>
      </c>
      <c r="D1" s="373" t="s">
        <v>2618</v>
      </c>
      <c r="E1" s="0" t="s">
        <v>2619</v>
      </c>
      <c r="F1" s="0" t="s">
        <v>2620</v>
      </c>
      <c r="G1" s="0" t="s">
        <v>2621</v>
      </c>
    </row>
    <row customHeight="1" ht="11.25">
      <c r="A2" s="0" t="s">
        <v>14</v>
      </c>
      <c r="B2" s="0" t="s">
        <v>2622</v>
      </c>
      <c r="C2" s="0" t="s">
        <v>2623</v>
      </c>
      <c r="D2" s="0" t="s">
        <v>2622</v>
      </c>
      <c r="E2" s="0" t="s">
        <v>2623</v>
      </c>
      <c r="F2" s="0" t="s">
        <v>2624</v>
      </c>
      <c r="G2" s="0" t="s">
        <v>128</v>
      </c>
    </row>
    <row customHeight="1" ht="11.25">
      <c r="A3" s="0" t="s">
        <v>14</v>
      </c>
      <c r="B3" s="0" t="s">
        <v>2625</v>
      </c>
      <c r="C3" s="0" t="s">
        <v>2626</v>
      </c>
      <c r="D3" s="0" t="s">
        <v>2625</v>
      </c>
      <c r="E3" s="0" t="s">
        <v>2626</v>
      </c>
      <c r="F3" s="0" t="s">
        <v>2624</v>
      </c>
      <c r="G3" s="0" t="s">
        <v>102</v>
      </c>
    </row>
    <row customHeight="1" ht="11.25">
      <c r="A4" s="0" t="s">
        <v>14</v>
      </c>
      <c r="B4" s="0" t="s">
        <v>2627</v>
      </c>
      <c r="C4" s="0" t="s">
        <v>2628</v>
      </c>
      <c r="D4" s="0" t="s">
        <v>2627</v>
      </c>
      <c r="E4" s="0" t="s">
        <v>2628</v>
      </c>
      <c r="F4" s="0" t="s">
        <v>2624</v>
      </c>
      <c r="G4" s="0" t="s">
        <v>89</v>
      </c>
    </row>
    <row customHeight="1" ht="11.25">
      <c r="A5" s="0" t="s">
        <v>14</v>
      </c>
      <c r="B5" s="0" t="s">
        <v>2629</v>
      </c>
      <c r="C5" s="0" t="s">
        <v>2630</v>
      </c>
      <c r="D5" s="0" t="s">
        <v>2629</v>
      </c>
      <c r="E5" s="0" t="s">
        <v>2630</v>
      </c>
      <c r="F5" s="0" t="s">
        <v>2624</v>
      </c>
      <c r="G5" s="0" t="s">
        <v>90</v>
      </c>
    </row>
    <row customHeight="1" ht="11.25">
      <c r="A6" s="0" t="s">
        <v>14</v>
      </c>
      <c r="B6" s="0" t="s">
        <v>2631</v>
      </c>
      <c r="C6" s="0" t="s">
        <v>2632</v>
      </c>
      <c r="D6" s="0" t="s">
        <v>2631</v>
      </c>
      <c r="E6" s="0" t="s">
        <v>2632</v>
      </c>
      <c r="F6" s="0" t="s">
        <v>2624</v>
      </c>
      <c r="G6" s="0" t="s">
        <v>116</v>
      </c>
    </row>
    <row customHeight="1" ht="11.25">
      <c r="A7" s="0" t="s">
        <v>14</v>
      </c>
      <c r="B7" s="0" t="s">
        <v>105</v>
      </c>
      <c r="C7" s="0" t="s">
        <v>106</v>
      </c>
      <c r="D7" s="0" t="s">
        <v>105</v>
      </c>
      <c r="E7" s="0" t="s">
        <v>106</v>
      </c>
      <c r="F7" s="0" t="s">
        <v>2624</v>
      </c>
      <c r="G7" s="0" t="s">
        <v>91</v>
      </c>
    </row>
    <row customHeight="1" ht="11.25">
      <c r="A8" s="0" t="s">
        <v>14</v>
      </c>
      <c r="B8" s="0" t="s">
        <v>2633</v>
      </c>
      <c r="C8" s="0" t="s">
        <v>2634</v>
      </c>
      <c r="D8" s="0" t="s">
        <v>2633</v>
      </c>
      <c r="E8" s="0" t="s">
        <v>2634</v>
      </c>
      <c r="F8" s="0" t="s">
        <v>2624</v>
      </c>
      <c r="G8" s="0" t="s">
        <v>92</v>
      </c>
    </row>
    <row customHeight="1" ht="11.25">
      <c r="A9" s="0" t="s">
        <v>14</v>
      </c>
      <c r="B9" s="0" t="s">
        <v>2635</v>
      </c>
      <c r="C9" s="0" t="s">
        <v>2636</v>
      </c>
      <c r="D9" s="0" t="s">
        <v>2635</v>
      </c>
      <c r="E9" s="0" t="s">
        <v>2636</v>
      </c>
      <c r="F9" s="0" t="s">
        <v>2624</v>
      </c>
      <c r="G9" s="0" t="s">
        <v>129</v>
      </c>
    </row>
    <row customHeight="1" ht="11.25">
      <c r="A10" s="0" t="s">
        <v>14</v>
      </c>
      <c r="B10" s="0" t="s">
        <v>2637</v>
      </c>
      <c r="C10" s="0" t="s">
        <v>2638</v>
      </c>
      <c r="D10" s="0" t="s">
        <v>2637</v>
      </c>
      <c r="E10" s="0" t="s">
        <v>2638</v>
      </c>
      <c r="F10" s="0" t="s">
        <v>2624</v>
      </c>
      <c r="G10" s="0" t="s">
        <v>165</v>
      </c>
    </row>
    <row customHeight="1" ht="11.25">
      <c r="A11" s="0" t="s">
        <v>14</v>
      </c>
      <c r="B11" s="0" t="s">
        <v>2639</v>
      </c>
      <c r="C11" s="0" t="s">
        <v>2640</v>
      </c>
      <c r="D11" s="0" t="s">
        <v>2639</v>
      </c>
      <c r="E11" s="0" t="s">
        <v>2640</v>
      </c>
      <c r="F11" s="0" t="s">
        <v>2624</v>
      </c>
      <c r="G11" s="0" t="s">
        <v>166</v>
      </c>
    </row>
    <row customHeight="1" ht="11.25">
      <c r="A12" s="0" t="s">
        <v>14</v>
      </c>
      <c r="B12" s="0" t="s">
        <v>119</v>
      </c>
      <c r="C12" s="0" t="s">
        <v>2641</v>
      </c>
      <c r="D12" s="0" t="s">
        <v>2642</v>
      </c>
      <c r="E12" s="0" t="s">
        <v>2643</v>
      </c>
      <c r="F12" s="0" t="s">
        <v>2644</v>
      </c>
      <c r="G12" s="0" t="s">
        <v>167</v>
      </c>
    </row>
    <row customHeight="1" ht="11.25">
      <c r="A13" s="0" t="s">
        <v>14</v>
      </c>
      <c r="B13" s="0" t="s">
        <v>119</v>
      </c>
      <c r="C13" s="0" t="s">
        <v>2641</v>
      </c>
      <c r="D13" s="0" t="s">
        <v>120</v>
      </c>
      <c r="E13" s="0" t="s">
        <v>121</v>
      </c>
      <c r="F13" s="0" t="s">
        <v>2645</v>
      </c>
      <c r="G13" s="0" t="s">
        <v>118</v>
      </c>
    </row>
    <row customHeight="1" ht="11.25">
      <c r="A14" s="0" t="s">
        <v>14</v>
      </c>
      <c r="B14" s="0" t="s">
        <v>119</v>
      </c>
      <c r="C14" s="0" t="s">
        <v>2641</v>
      </c>
      <c r="D14" s="0" t="s">
        <v>2646</v>
      </c>
      <c r="E14" s="0" t="s">
        <v>2647</v>
      </c>
      <c r="F14" s="0" t="s">
        <v>2644</v>
      </c>
      <c r="G14" s="0" t="s">
        <v>168</v>
      </c>
    </row>
    <row customHeight="1" ht="11.25">
      <c r="A15" s="0" t="s">
        <v>14</v>
      </c>
      <c r="B15" s="0" t="s">
        <v>119</v>
      </c>
      <c r="C15" s="0" t="s">
        <v>2641</v>
      </c>
      <c r="D15" s="0" t="s">
        <v>119</v>
      </c>
      <c r="E15" s="0" t="s">
        <v>2641</v>
      </c>
      <c r="F15" s="0" t="s">
        <v>2648</v>
      </c>
      <c r="G15" s="0" t="s">
        <v>169</v>
      </c>
    </row>
    <row customHeight="1" ht="11.25">
      <c r="A16" s="0" t="s">
        <v>14</v>
      </c>
      <c r="B16" s="0" t="s">
        <v>119</v>
      </c>
      <c r="C16" s="0" t="s">
        <v>2641</v>
      </c>
      <c r="D16" s="0" t="s">
        <v>2649</v>
      </c>
      <c r="E16" s="0" t="s">
        <v>2650</v>
      </c>
      <c r="F16" s="0" t="s">
        <v>2651</v>
      </c>
      <c r="G16" s="0" t="s">
        <v>1532</v>
      </c>
    </row>
    <row customHeight="1" ht="11.25">
      <c r="A17" s="0" t="s">
        <v>14</v>
      </c>
      <c r="B17" s="0" t="s">
        <v>2652</v>
      </c>
      <c r="C17" s="0" t="s">
        <v>2653</v>
      </c>
      <c r="D17" s="0" t="s">
        <v>2652</v>
      </c>
      <c r="E17" s="0" t="s">
        <v>2653</v>
      </c>
      <c r="F17" s="0" t="s">
        <v>2654</v>
      </c>
      <c r="G17" s="0" t="s">
        <v>1538</v>
      </c>
    </row>
    <row customHeight="1" ht="11.25">
      <c r="A18" s="0" t="s">
        <v>14</v>
      </c>
      <c r="B18" s="0" t="s">
        <v>2655</v>
      </c>
      <c r="C18" s="0" t="s">
        <v>2656</v>
      </c>
      <c r="D18" s="0" t="s">
        <v>2655</v>
      </c>
      <c r="E18" s="0" t="s">
        <v>2656</v>
      </c>
      <c r="F18" s="0" t="s">
        <v>2624</v>
      </c>
      <c r="G18" s="0" t="s">
        <v>1549</v>
      </c>
    </row>
    <row customHeight="1" ht="11.25">
      <c r="A19" s="0" t="s">
        <v>14</v>
      </c>
      <c r="B19" s="0" t="s">
        <v>2657</v>
      </c>
      <c r="C19" s="0" t="s">
        <v>2658</v>
      </c>
      <c r="D19" s="0" t="s">
        <v>2657</v>
      </c>
      <c r="E19" s="0" t="s">
        <v>2658</v>
      </c>
      <c r="F19" s="0" t="s">
        <v>2648</v>
      </c>
      <c r="G19" s="0" t="s">
        <v>1563</v>
      </c>
    </row>
    <row customHeight="1" ht="11.25">
      <c r="A20" s="0" t="s">
        <v>14</v>
      </c>
      <c r="B20" s="0" t="s">
        <v>2657</v>
      </c>
      <c r="C20" s="0" t="s">
        <v>2658</v>
      </c>
      <c r="D20" s="0" t="s">
        <v>2659</v>
      </c>
      <c r="E20" s="0" t="s">
        <v>2660</v>
      </c>
      <c r="F20" s="0" t="s">
        <v>2644</v>
      </c>
      <c r="G20" s="0" t="s">
        <v>1575</v>
      </c>
    </row>
    <row customHeight="1" ht="11.25">
      <c r="A21" s="0" t="s">
        <v>14</v>
      </c>
      <c r="B21" s="0" t="s">
        <v>2657</v>
      </c>
      <c r="C21" s="0" t="s">
        <v>2658</v>
      </c>
      <c r="D21" s="0" t="s">
        <v>2661</v>
      </c>
      <c r="E21" s="0" t="s">
        <v>2662</v>
      </c>
      <c r="F21" s="0" t="s">
        <v>2651</v>
      </c>
      <c r="G21" s="0" t="s">
        <v>1584</v>
      </c>
    </row>
    <row customHeight="1" ht="11.25">
      <c r="A22" s="0" t="s">
        <v>14</v>
      </c>
      <c r="B22" s="0" t="s">
        <v>2657</v>
      </c>
      <c r="C22" s="0" t="s">
        <v>2658</v>
      </c>
      <c r="D22" s="0" t="s">
        <v>2663</v>
      </c>
      <c r="E22" s="0" t="s">
        <v>2664</v>
      </c>
      <c r="F22" s="0" t="s">
        <v>2651</v>
      </c>
      <c r="G22" s="0" t="s">
        <v>1600</v>
      </c>
    </row>
    <row customHeight="1" ht="11.25">
      <c r="A23" s="0" t="s">
        <v>14</v>
      </c>
      <c r="B23" s="0" t="s">
        <v>2657</v>
      </c>
      <c r="C23" s="0" t="s">
        <v>2658</v>
      </c>
      <c r="D23" s="0" t="s">
        <v>2665</v>
      </c>
      <c r="E23" s="0" t="s">
        <v>2666</v>
      </c>
      <c r="F23" s="0" t="s">
        <v>2651</v>
      </c>
      <c r="G23" s="0" t="s">
        <v>1607</v>
      </c>
    </row>
    <row customHeight="1" ht="11.25">
      <c r="A24" s="0" t="s">
        <v>14</v>
      </c>
      <c r="B24" s="0" t="s">
        <v>2657</v>
      </c>
      <c r="C24" s="0" t="s">
        <v>2658</v>
      </c>
      <c r="D24" s="0" t="s">
        <v>2667</v>
      </c>
      <c r="E24" s="0" t="s">
        <v>2668</v>
      </c>
      <c r="F24" s="0" t="s">
        <v>2651</v>
      </c>
      <c r="G24" s="0" t="s">
        <v>1615</v>
      </c>
    </row>
    <row customHeight="1" ht="11.25">
      <c r="A25" s="0" t="s">
        <v>14</v>
      </c>
      <c r="B25" s="0" t="s">
        <v>2657</v>
      </c>
      <c r="C25" s="0" t="s">
        <v>2658</v>
      </c>
      <c r="D25" s="0" t="s">
        <v>2669</v>
      </c>
      <c r="E25" s="0" t="s">
        <v>2670</v>
      </c>
      <c r="F25" s="0" t="s">
        <v>2644</v>
      </c>
      <c r="G25" s="0" t="s">
        <v>1622</v>
      </c>
    </row>
    <row customHeight="1" ht="11.25">
      <c r="A26" s="0" t="s">
        <v>14</v>
      </c>
      <c r="B26" s="0" t="s">
        <v>2657</v>
      </c>
      <c r="C26" s="0" t="s">
        <v>2658</v>
      </c>
      <c r="D26" s="0" t="s">
        <v>2671</v>
      </c>
      <c r="E26" s="0" t="s">
        <v>2672</v>
      </c>
      <c r="F26" s="0" t="s">
        <v>2644</v>
      </c>
      <c r="G26" s="0" t="s">
        <v>1626</v>
      </c>
    </row>
    <row customHeight="1" ht="11.25">
      <c r="A27" s="0" t="s">
        <v>14</v>
      </c>
      <c r="B27" s="0" t="s">
        <v>2657</v>
      </c>
      <c r="C27" s="0" t="s">
        <v>2658</v>
      </c>
      <c r="D27" s="0" t="s">
        <v>2673</v>
      </c>
      <c r="E27" s="0" t="s">
        <v>2674</v>
      </c>
      <c r="F27" s="0" t="s">
        <v>2644</v>
      </c>
      <c r="G27" s="0" t="s">
        <v>1631</v>
      </c>
    </row>
    <row customHeight="1" ht="11.25">
      <c r="A28" s="0" t="s">
        <v>14</v>
      </c>
      <c r="B28" s="0" t="s">
        <v>2657</v>
      </c>
      <c r="C28" s="0" t="s">
        <v>2658</v>
      </c>
      <c r="D28" s="0" t="s">
        <v>2675</v>
      </c>
      <c r="E28" s="0" t="s">
        <v>2676</v>
      </c>
      <c r="F28" s="0" t="s">
        <v>2645</v>
      </c>
      <c r="G28" s="0" t="s">
        <v>1639</v>
      </c>
    </row>
    <row customHeight="1" ht="11.25">
      <c r="A29" s="0" t="s">
        <v>14</v>
      </c>
      <c r="B29" s="0" t="s">
        <v>2657</v>
      </c>
      <c r="C29" s="0" t="s">
        <v>2658</v>
      </c>
      <c r="D29" s="0" t="s">
        <v>2677</v>
      </c>
      <c r="E29" s="0" t="s">
        <v>2678</v>
      </c>
      <c r="F29" s="0" t="s">
        <v>2651</v>
      </c>
      <c r="G29" s="0" t="s">
        <v>1641</v>
      </c>
    </row>
    <row customHeight="1" ht="11.25">
      <c r="A30" s="0" t="s">
        <v>14</v>
      </c>
      <c r="B30" s="0" t="s">
        <v>2657</v>
      </c>
      <c r="C30" s="0" t="s">
        <v>2658</v>
      </c>
      <c r="D30" s="0" t="s">
        <v>2679</v>
      </c>
      <c r="E30" s="0" t="s">
        <v>2680</v>
      </c>
      <c r="F30" s="0" t="s">
        <v>2644</v>
      </c>
      <c r="G30" s="0" t="s">
        <v>1644</v>
      </c>
    </row>
    <row customHeight="1" ht="11.25">
      <c r="A31" s="0" t="s">
        <v>14</v>
      </c>
      <c r="B31" s="0" t="s">
        <v>2681</v>
      </c>
      <c r="C31" s="0" t="s">
        <v>2682</v>
      </c>
      <c r="D31" s="0" t="s">
        <v>2681</v>
      </c>
      <c r="E31" s="0" t="s">
        <v>2682</v>
      </c>
      <c r="F31" s="0" t="s">
        <v>2648</v>
      </c>
      <c r="G31" s="0" t="s">
        <v>1649</v>
      </c>
    </row>
    <row customHeight="1" ht="11.25">
      <c r="A32" s="0" t="s">
        <v>14</v>
      </c>
      <c r="B32" s="0" t="s">
        <v>2681</v>
      </c>
      <c r="C32" s="0" t="s">
        <v>2682</v>
      </c>
      <c r="D32" s="0" t="s">
        <v>2683</v>
      </c>
      <c r="E32" s="0" t="s">
        <v>2684</v>
      </c>
      <c r="F32" s="0" t="s">
        <v>2651</v>
      </c>
      <c r="G32" s="0" t="s">
        <v>1651</v>
      </c>
    </row>
    <row customHeight="1" ht="11.25">
      <c r="A33" s="0" t="s">
        <v>14</v>
      </c>
      <c r="B33" s="0" t="s">
        <v>2681</v>
      </c>
      <c r="C33" s="0" t="s">
        <v>2682</v>
      </c>
      <c r="D33" s="0" t="s">
        <v>2685</v>
      </c>
      <c r="E33" s="0" t="s">
        <v>2686</v>
      </c>
      <c r="F33" s="0" t="s">
        <v>2644</v>
      </c>
      <c r="G33" s="0" t="s">
        <v>1653</v>
      </c>
    </row>
    <row customHeight="1" ht="11.25">
      <c r="A34" s="0" t="s">
        <v>14</v>
      </c>
      <c r="B34" s="0" t="s">
        <v>2687</v>
      </c>
      <c r="C34" s="0" t="s">
        <v>2688</v>
      </c>
      <c r="D34" s="0" t="s">
        <v>2687</v>
      </c>
      <c r="E34" s="0" t="s">
        <v>2688</v>
      </c>
      <c r="F34" s="0" t="s">
        <v>2654</v>
      </c>
      <c r="G34" s="0" t="s">
        <v>1655</v>
      </c>
    </row>
    <row customHeight="1" ht="11.25">
      <c r="A35" s="0" t="s">
        <v>14</v>
      </c>
      <c r="B35" s="0" t="s">
        <v>109</v>
      </c>
      <c r="C35" s="0" t="s">
        <v>2689</v>
      </c>
      <c r="D35" s="0" t="s">
        <v>114</v>
      </c>
      <c r="E35" s="0" t="s">
        <v>115</v>
      </c>
      <c r="F35" s="0" t="s">
        <v>2645</v>
      </c>
      <c r="G35" s="0" t="s">
        <v>113</v>
      </c>
    </row>
    <row customHeight="1" ht="11.25">
      <c r="A36" s="0" t="s">
        <v>14</v>
      </c>
      <c r="B36" s="0" t="s">
        <v>109</v>
      </c>
      <c r="C36" s="0" t="s">
        <v>2689</v>
      </c>
      <c r="D36" s="0" t="s">
        <v>109</v>
      </c>
      <c r="E36" s="0" t="s">
        <v>2689</v>
      </c>
      <c r="F36" s="0" t="s">
        <v>2648</v>
      </c>
      <c r="G36" s="0" t="s">
        <v>1664</v>
      </c>
    </row>
    <row customHeight="1" ht="11.25">
      <c r="A37" s="0" t="s">
        <v>14</v>
      </c>
      <c r="B37" s="0" t="s">
        <v>109</v>
      </c>
      <c r="C37" s="0" t="s">
        <v>2689</v>
      </c>
      <c r="D37" s="0" t="s">
        <v>110</v>
      </c>
      <c r="E37" s="0" t="s">
        <v>111</v>
      </c>
      <c r="F37" s="0" t="s">
        <v>2651</v>
      </c>
      <c r="G37" s="0" t="s">
        <v>108</v>
      </c>
    </row>
    <row customHeight="1" ht="11.25">
      <c r="A38" s="0" t="s">
        <v>14</v>
      </c>
      <c r="B38" s="0" t="s">
        <v>109</v>
      </c>
      <c r="C38" s="0" t="s">
        <v>2689</v>
      </c>
      <c r="D38" s="0" t="s">
        <v>2690</v>
      </c>
      <c r="E38" s="0" t="s">
        <v>2691</v>
      </c>
      <c r="F38" s="0" t="s">
        <v>2651</v>
      </c>
      <c r="G38" s="0" t="s">
        <v>1674</v>
      </c>
    </row>
    <row customHeight="1" ht="11.25">
      <c r="A39" s="0" t="s">
        <v>14</v>
      </c>
      <c r="B39" s="0" t="s">
        <v>109</v>
      </c>
      <c r="C39" s="0" t="s">
        <v>2689</v>
      </c>
      <c r="D39" s="0" t="s">
        <v>2692</v>
      </c>
      <c r="E39" s="0" t="s">
        <v>2693</v>
      </c>
      <c r="F39" s="0" t="s">
        <v>2644</v>
      </c>
      <c r="G39" s="0" t="s">
        <v>1680</v>
      </c>
    </row>
    <row customHeight="1" ht="11.25">
      <c r="A40" s="0" t="s">
        <v>14</v>
      </c>
      <c r="B40" s="0" t="s">
        <v>2694</v>
      </c>
      <c r="C40" s="0" t="s">
        <v>2695</v>
      </c>
      <c r="D40" s="0" t="s">
        <v>2696</v>
      </c>
      <c r="E40" s="0" t="s">
        <v>2697</v>
      </c>
      <c r="F40" s="0" t="s">
        <v>2644</v>
      </c>
      <c r="G40" s="0" t="s">
        <v>1685</v>
      </c>
    </row>
    <row customHeight="1" ht="11.25">
      <c r="A41" s="0" t="s">
        <v>14</v>
      </c>
      <c r="B41" s="0" t="s">
        <v>2694</v>
      </c>
      <c r="C41" s="0" t="s">
        <v>2695</v>
      </c>
      <c r="D41" s="0" t="s">
        <v>2698</v>
      </c>
      <c r="E41" s="0" t="s">
        <v>2699</v>
      </c>
      <c r="F41" s="0" t="s">
        <v>2651</v>
      </c>
      <c r="G41" s="0" t="s">
        <v>1689</v>
      </c>
    </row>
    <row customHeight="1" ht="11.25">
      <c r="A42" s="0" t="s">
        <v>14</v>
      </c>
      <c r="B42" s="0" t="s">
        <v>2694</v>
      </c>
      <c r="C42" s="0" t="s">
        <v>2695</v>
      </c>
      <c r="D42" s="0" t="s">
        <v>2694</v>
      </c>
      <c r="E42" s="0" t="s">
        <v>2695</v>
      </c>
      <c r="F42" s="0" t="s">
        <v>2648</v>
      </c>
      <c r="G42" s="0" t="s">
        <v>1692</v>
      </c>
    </row>
    <row customHeight="1" ht="11.25">
      <c r="A43" s="0" t="s">
        <v>14</v>
      </c>
      <c r="B43" s="0" t="s">
        <v>2700</v>
      </c>
      <c r="C43" s="0" t="s">
        <v>2701</v>
      </c>
      <c r="D43" s="0" t="s">
        <v>2700</v>
      </c>
      <c r="E43" s="0" t="s">
        <v>2701</v>
      </c>
      <c r="F43" s="0" t="s">
        <v>2654</v>
      </c>
      <c r="G43" s="0" t="s">
        <v>1699</v>
      </c>
    </row>
    <row customHeight="1" ht="11.25">
      <c r="A44" s="0" t="s">
        <v>14</v>
      </c>
      <c r="B44" s="0" t="s">
        <v>2702</v>
      </c>
      <c r="C44" s="0" t="s">
        <v>2703</v>
      </c>
      <c r="D44" s="0" t="s">
        <v>2702</v>
      </c>
      <c r="E44" s="0" t="s">
        <v>2703</v>
      </c>
      <c r="F44" s="0" t="s">
        <v>2654</v>
      </c>
      <c r="G44" s="0" t="s">
        <v>1708</v>
      </c>
    </row>
    <row customHeight="1" ht="11.25">
      <c r="A45" s="0" t="s">
        <v>14</v>
      </c>
      <c r="B45" s="0" t="s">
        <v>2704</v>
      </c>
      <c r="C45" s="0" t="s">
        <v>2705</v>
      </c>
      <c r="D45" s="0" t="s">
        <v>2704</v>
      </c>
      <c r="E45" s="0" t="s">
        <v>2705</v>
      </c>
      <c r="F45" s="0" t="s">
        <v>2654</v>
      </c>
      <c r="G45" s="0" t="s">
        <v>1713</v>
      </c>
    </row>
    <row customHeight="1" ht="11.25">
      <c r="A46" s="0" t="s">
        <v>14</v>
      </c>
      <c r="B46" s="0" t="s">
        <v>2706</v>
      </c>
      <c r="C46" s="0" t="s">
        <v>2707</v>
      </c>
      <c r="D46" s="0" t="s">
        <v>2706</v>
      </c>
      <c r="E46" s="0" t="s">
        <v>2707</v>
      </c>
      <c r="F46" s="0" t="s">
        <v>2654</v>
      </c>
      <c r="G46" s="0" t="s">
        <v>1717</v>
      </c>
    </row>
    <row customHeight="1" ht="11.25">
      <c r="A47" s="0" t="s">
        <v>14</v>
      </c>
      <c r="B47" s="0" t="s">
        <v>2708</v>
      </c>
      <c r="C47" s="0" t="s">
        <v>2709</v>
      </c>
      <c r="D47" s="0" t="s">
        <v>2708</v>
      </c>
      <c r="E47" s="0" t="s">
        <v>2709</v>
      </c>
      <c r="F47" s="0" t="s">
        <v>2654</v>
      </c>
      <c r="G47" s="0" t="s">
        <v>1723</v>
      </c>
    </row>
    <row customHeight="1" ht="11.25">
      <c r="A48" s="0" t="s">
        <v>14</v>
      </c>
      <c r="B48" s="0" t="s">
        <v>99</v>
      </c>
      <c r="C48" s="0" t="s">
        <v>100</v>
      </c>
      <c r="D48" s="0" t="s">
        <v>99</v>
      </c>
      <c r="E48" s="0" t="s">
        <v>100</v>
      </c>
      <c r="F48" s="0" t="s">
        <v>2624</v>
      </c>
      <c r="G48" s="0" t="s">
        <v>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9D1DA-DCCE-91A2-AA52-578F940C746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501" width="9.140625"/>
    <col min="2" max="2" style="7501" width="84.28125" customWidth="1"/>
    <col min="3" max="3" style="7501" width="9.140625"/>
  </cols>
  <sheetData>
    <row customHeight="1" ht="11.25">
      <c r="A1" s="841" t="s">
        <v>2813</v>
      </c>
      <c r="B1" s="841" t="s">
        <v>2814</v>
      </c>
      <c r="C1" s="841" t="s">
        <v>1238</v>
      </c>
    </row>
    <row customHeight="1" ht="11.25">
      <c r="A2" s="841">
        <v>4189678</v>
      </c>
      <c r="B2" s="841" t="s">
        <v>2815</v>
      </c>
      <c r="C2" s="841" t="s">
        <v>2816</v>
      </c>
    </row>
    <row customHeight="1" ht="11.25">
      <c r="A3" s="841">
        <v>4190415</v>
      </c>
      <c r="B3" s="841" t="s">
        <v>2817</v>
      </c>
      <c r="C3" s="841" t="s">
        <v>2816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13FC6-DC45-47B2-8F44-CFC95D04044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506" width="38.421875" customWidth="1"/>
    <col min="2" max="5" style="7506" width="9.140625"/>
  </cols>
  <sheetData>
    <row customHeight="1" ht="15">
      <c r="A1" s="149" t="s">
        <v>2818</v>
      </c>
      <c r="B1" s="149" t="s">
        <v>2819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B635A-8B81-D088-CCAB-97DEA9A9B27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2820</v>
      </c>
      <c r="B1" s="0" t="b">
        <v>1</v>
      </c>
    </row>
    <row customHeight="1" ht="11.25">
      <c r="A2" s="0" t="s">
        <v>2821</v>
      </c>
      <c r="B2" s="0" t="b">
        <v>0</v>
      </c>
    </row>
    <row customHeight="1" ht="11.25">
      <c r="A3" s="0" t="s">
        <v>2822</v>
      </c>
      <c r="B3" s="0" t="b">
        <v>1</v>
      </c>
    </row>
    <row customHeight="1" ht="11.25">
      <c r="A4" s="0" t="s">
        <v>2823</v>
      </c>
      <c r="B4" s="0" t="b">
        <v>0</v>
      </c>
    </row>
    <row customHeight="1" ht="11.25">
      <c r="A5" s="0" t="s">
        <v>2824</v>
      </c>
      <c r="B5" s="0" t="b">
        <v>0</v>
      </c>
    </row>
    <row customHeight="1" ht="11.25">
      <c r="A6" s="0" t="s">
        <v>2825</v>
      </c>
      <c r="B6" s="0" t="b">
        <v>0</v>
      </c>
    </row>
    <row customHeight="1" ht="11.25">
      <c r="A7" s="0" t="s">
        <v>2826</v>
      </c>
      <c r="B7" s="0" t="b">
        <v>0</v>
      </c>
    </row>
    <row customHeight="1" ht="11.25">
      <c r="A8" s="0" t="s">
        <v>2827</v>
      </c>
      <c r="B8" s="0" t="b">
        <v>0</v>
      </c>
    </row>
    <row customHeight="1" ht="11.25">
      <c r="A9" s="0" t="s">
        <v>2828</v>
      </c>
      <c r="B9" s="0" t="b">
        <v>1</v>
      </c>
    </row>
    <row customHeight="1" ht="11.25">
      <c r="A10" s="0" t="s">
        <v>2829</v>
      </c>
      <c r="B10" s="0" t="b">
        <v>0</v>
      </c>
    </row>
    <row customHeight="1" ht="11.25">
      <c r="A11" s="0" t="s">
        <v>2830</v>
      </c>
      <c r="B11" s="0" t="b">
        <v>0</v>
      </c>
    </row>
    <row customHeight="1" ht="11.25">
      <c r="A12" s="0" t="s">
        <v>2831</v>
      </c>
      <c r="B12" s="0" t="b">
        <v>0</v>
      </c>
    </row>
    <row customHeight="1" ht="11.25">
      <c r="A13" s="0" t="s">
        <v>2832</v>
      </c>
      <c r="B13" s="0" t="b">
        <v>0</v>
      </c>
    </row>
    <row customHeight="1" ht="11.25">
      <c r="A14" s="0" t="s">
        <v>2833</v>
      </c>
      <c r="B14" s="0" t="b">
        <v>0</v>
      </c>
    </row>
    <row customHeight="1" ht="11.25">
      <c r="A15" s="0" t="s">
        <v>2834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828F1-9C69-CC22-12F9-80FE32070F6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50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F4CD6-CB2C-B79F-88A1-83DBFCC8AD9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483" width="36.28125" customWidth="1"/>
    <col min="2" max="2" style="7483" width="21.140625" customWidth="1"/>
  </cols>
  <sheetData>
    <row customHeight="1" ht="11.25">
      <c r="A1" s="52" t="s">
        <v>2835</v>
      </c>
      <c r="B1" s="52" t="s">
        <v>2836</v>
      </c>
    </row>
    <row customHeight="1" ht="11.25">
      <c r="A2" s="48" t="s">
        <v>2837</v>
      </c>
      <c r="B2" s="48" t="s">
        <v>2838</v>
      </c>
    </row>
    <row customHeight="1" ht="11.25">
      <c r="A3" s="48" t="s">
        <v>2839</v>
      </c>
      <c r="B3" s="48" t="s">
        <v>2840</v>
      </c>
    </row>
    <row customHeight="1" ht="11.25">
      <c r="A4" s="48" t="s">
        <v>2841</v>
      </c>
      <c r="B4" s="48" t="s">
        <v>2842</v>
      </c>
    </row>
    <row customHeight="1" ht="11.25">
      <c r="A5" s="48" t="s">
        <v>2843</v>
      </c>
      <c r="B5" s="48" t="s">
        <v>2844</v>
      </c>
    </row>
    <row customHeight="1" ht="11.25">
      <c r="A6" s="48" t="s">
        <v>2845</v>
      </c>
      <c r="B6" s="48" t="s">
        <v>2846</v>
      </c>
    </row>
    <row customHeight="1" ht="11.25">
      <c r="A7" s="48" t="s">
        <v>2847</v>
      </c>
      <c r="B7" s="48" t="s">
        <v>2848</v>
      </c>
    </row>
    <row customHeight="1" ht="11.25">
      <c r="A8" s="48" t="s">
        <v>2849</v>
      </c>
      <c r="B8" s="48" t="s">
        <v>2850</v>
      </c>
    </row>
    <row customHeight="1" ht="11.25">
      <c r="A9" s="48" t="s">
        <v>2851</v>
      </c>
      <c r="B9" s="48" t="s">
        <v>2852</v>
      </c>
    </row>
    <row customHeight="1" ht="11.25">
      <c r="A10" s="48" t="s">
        <v>2853</v>
      </c>
      <c r="B10" s="48" t="s">
        <v>2854</v>
      </c>
    </row>
    <row customHeight="1" ht="11.25">
      <c r="A11" s="48" t="s">
        <v>2855</v>
      </c>
      <c r="B11" s="48" t="s">
        <v>2856</v>
      </c>
    </row>
    <row customHeight="1" ht="11.25">
      <c r="A12" s="48" t="s">
        <v>2857</v>
      </c>
      <c r="B12" s="48" t="s">
        <v>2858</v>
      </c>
    </row>
    <row customHeight="1" ht="11.25">
      <c r="A13" s="48" t="s">
        <v>2859</v>
      </c>
      <c r="B13" s="48" t="s">
        <v>2860</v>
      </c>
    </row>
    <row customHeight="1" ht="11.25">
      <c r="A14" s="48" t="s">
        <v>2861</v>
      </c>
      <c r="B14" s="48" t="s">
        <v>2862</v>
      </c>
    </row>
    <row customHeight="1" ht="11.25">
      <c r="A15" s="48" t="s">
        <v>2863</v>
      </c>
      <c r="B15" s="48" t="s">
        <v>2864</v>
      </c>
    </row>
    <row customHeight="1" ht="11.25">
      <c r="A16" s="48" t="s">
        <v>2865</v>
      </c>
      <c r="B16" s="48" t="s">
        <v>2866</v>
      </c>
    </row>
    <row customHeight="1" ht="11.25">
      <c r="A17" s="48" t="s">
        <v>2867</v>
      </c>
      <c r="B17" s="48" t="s">
        <v>2868</v>
      </c>
    </row>
    <row customHeight="1" ht="11.25">
      <c r="A18" s="48" t="s">
        <v>2869</v>
      </c>
      <c r="B18" s="48" t="s">
        <v>2870</v>
      </c>
    </row>
    <row customHeight="1" ht="11.25">
      <c r="A19" s="48" t="s">
        <v>2871</v>
      </c>
      <c r="B19" s="48" t="s">
        <v>2872</v>
      </c>
    </row>
    <row customHeight="1" ht="11.25">
      <c r="A20" s="48" t="s">
        <v>2873</v>
      </c>
      <c r="B20" s="48" t="s">
        <v>2874</v>
      </c>
    </row>
    <row customHeight="1" ht="11.25">
      <c r="A21" s="48" t="s">
        <v>2875</v>
      </c>
      <c r="B21" s="48" t="s">
        <v>2876</v>
      </c>
    </row>
    <row customHeight="1" ht="11.25">
      <c r="A22" s="48" t="s">
        <v>2877</v>
      </c>
      <c r="B22" s="48" t="s">
        <v>2878</v>
      </c>
    </row>
    <row customHeight="1" ht="11.25">
      <c r="A23" s="48" t="s">
        <v>2879</v>
      </c>
      <c r="B23" s="48" t="s">
        <v>2880</v>
      </c>
    </row>
    <row customHeight="1" ht="11.25">
      <c r="A24" s="48" t="s">
        <v>2881</v>
      </c>
      <c r="B24" s="48" t="s">
        <v>2882</v>
      </c>
    </row>
    <row customHeight="1" ht="11.25">
      <c r="A25" s="48" t="s">
        <v>2883</v>
      </c>
      <c r="B25" s="48" t="s">
        <v>2884</v>
      </c>
    </row>
    <row customHeight="1" ht="11.25">
      <c r="A26" s="48" t="s">
        <v>2885</v>
      </c>
      <c r="B26" s="48" t="s">
        <v>2886</v>
      </c>
    </row>
    <row customHeight="1" ht="11.25">
      <c r="A27" s="48" t="s">
        <v>2887</v>
      </c>
      <c r="B27" s="48" t="s">
        <v>2888</v>
      </c>
    </row>
    <row customHeight="1" ht="11.25">
      <c r="A28" s="48" t="s">
        <v>2889</v>
      </c>
      <c r="B28" s="48" t="s">
        <v>2890</v>
      </c>
    </row>
    <row customHeight="1" ht="11.25">
      <c r="A29" s="48" t="s">
        <v>2891</v>
      </c>
      <c r="B29" s="48" t="s">
        <v>2892</v>
      </c>
    </row>
    <row customHeight="1" ht="11.25">
      <c r="A30" s="48" t="s">
        <v>2893</v>
      </c>
      <c r="B30" s="48" t="s">
        <v>2894</v>
      </c>
    </row>
    <row customHeight="1" ht="11.25">
      <c r="A31" s="48" t="s">
        <v>2895</v>
      </c>
      <c r="B31" s="48" t="s">
        <v>2896</v>
      </c>
    </row>
    <row customHeight="1" ht="11.25">
      <c r="A32" s="48" t="s">
        <v>2897</v>
      </c>
      <c r="B32" s="48" t="s">
        <v>2898</v>
      </c>
    </row>
    <row customHeight="1" ht="11.25">
      <c r="A33" s="48" t="s">
        <v>2899</v>
      </c>
      <c r="B33" s="48" t="s">
        <v>2900</v>
      </c>
    </row>
    <row customHeight="1" ht="11.25">
      <c r="A34" s="48" t="s">
        <v>2901</v>
      </c>
      <c r="B34" s="48" t="s">
        <v>2902</v>
      </c>
    </row>
    <row customHeight="1" ht="11.25">
      <c r="A35" s="48" t="s">
        <v>2903</v>
      </c>
      <c r="B35" s="48" t="s">
        <v>2904</v>
      </c>
    </row>
    <row customHeight="1" ht="11.25">
      <c r="A36" s="48" t="s">
        <v>2905</v>
      </c>
      <c r="B36" s="48" t="s">
        <v>2906</v>
      </c>
    </row>
    <row customHeight="1" ht="11.25">
      <c r="A37" s="48" t="s">
        <v>2907</v>
      </c>
      <c r="B37" s="48" t="s">
        <v>2908</v>
      </c>
    </row>
    <row customHeight="1" ht="11.25">
      <c r="A38" s="48" t="s">
        <v>2909</v>
      </c>
      <c r="B38" s="48" t="s">
        <v>2910</v>
      </c>
    </row>
    <row customHeight="1" ht="11.25">
      <c r="A39" s="48" t="s">
        <v>2911</v>
      </c>
      <c r="B39" s="48" t="s">
        <v>2912</v>
      </c>
    </row>
    <row customHeight="1" ht="11.25">
      <c r="A40" s="48" t="s">
        <v>2913</v>
      </c>
      <c r="B40" s="48" t="s">
        <v>2914</v>
      </c>
    </row>
    <row customHeight="1" ht="11.25">
      <c r="A41" s="48" t="s">
        <v>2915</v>
      </c>
      <c r="B41" s="48" t="s">
        <v>2916</v>
      </c>
    </row>
    <row customHeight="1" ht="11.25">
      <c r="A42" s="48" t="s">
        <v>2917</v>
      </c>
      <c r="B42" s="48" t="s">
        <v>2918</v>
      </c>
    </row>
    <row customHeight="1" ht="11.25">
      <c r="A43" s="48" t="s">
        <v>2919</v>
      </c>
      <c r="B43" s="48" t="s">
        <v>2920</v>
      </c>
    </row>
    <row customHeight="1" ht="11.25">
      <c r="A44" s="48" t="s">
        <v>2921</v>
      </c>
      <c r="B44" s="48" t="s">
        <v>2922</v>
      </c>
    </row>
    <row customHeight="1" ht="11.25">
      <c r="A45" s="48" t="s">
        <v>2923</v>
      </c>
      <c r="B45" s="48" t="s">
        <v>2924</v>
      </c>
    </row>
    <row customHeight="1" ht="11.25">
      <c r="A46" s="48" t="s">
        <v>2925</v>
      </c>
      <c r="B46" s="48" t="s">
        <v>2926</v>
      </c>
    </row>
    <row customHeight="1" ht="11.25">
      <c r="A47" s="48" t="s">
        <v>2927</v>
      </c>
      <c r="B47" s="48" t="s">
        <v>2928</v>
      </c>
    </row>
    <row customHeight="1" ht="11.25">
      <c r="A48" s="48" t="s">
        <v>2929</v>
      </c>
      <c r="B48" s="48" t="s">
        <v>2930</v>
      </c>
    </row>
    <row customHeight="1" ht="11.25">
      <c r="A49" s="48" t="s">
        <v>2931</v>
      </c>
      <c r="B49" s="48" t="s">
        <v>2932</v>
      </c>
    </row>
    <row customHeight="1" ht="11.25">
      <c r="A50" s="48" t="s">
        <v>2933</v>
      </c>
      <c r="B50" s="48" t="s">
        <v>2934</v>
      </c>
    </row>
    <row customHeight="1" ht="11.25">
      <c r="A51" s="48" t="s">
        <v>2935</v>
      </c>
      <c r="B51" s="48" t="s">
        <v>2936</v>
      </c>
    </row>
    <row customHeight="1" ht="11.25">
      <c r="A52" s="48" t="s">
        <v>2937</v>
      </c>
      <c r="B52" s="48" t="s">
        <v>2938</v>
      </c>
    </row>
    <row customHeight="1" ht="11.25">
      <c r="A53" s="48" t="s">
        <v>2939</v>
      </c>
      <c r="B53" s="48" t="s">
        <v>2940</v>
      </c>
    </row>
    <row customHeight="1" ht="11.25">
      <c r="A54" s="48" t="s">
        <v>2941</v>
      </c>
      <c r="B54" s="48" t="s">
        <v>2942</v>
      </c>
    </row>
    <row customHeight="1" ht="11.25">
      <c r="A55" s="48" t="s">
        <v>2943</v>
      </c>
      <c r="B55" s="48" t="s">
        <v>2944</v>
      </c>
    </row>
    <row customHeight="1" ht="11.25">
      <c r="A56" s="48" t="s">
        <v>2945</v>
      </c>
      <c r="B56" s="48" t="s">
        <v>2946</v>
      </c>
    </row>
    <row customHeight="1" ht="11.25">
      <c r="A57" s="48" t="s">
        <v>2947</v>
      </c>
      <c r="B57" s="48" t="s">
        <v>2948</v>
      </c>
    </row>
    <row customHeight="1" ht="11.25">
      <c r="A58" s="48" t="s">
        <v>2949</v>
      </c>
      <c r="B58" s="48" t="s">
        <v>2950</v>
      </c>
    </row>
    <row customHeight="1" ht="11.25">
      <c r="A59" s="48" t="s">
        <v>2951</v>
      </c>
      <c r="B59" s="48" t="s">
        <v>2952</v>
      </c>
    </row>
    <row customHeight="1" ht="11.25">
      <c r="A60" s="48" t="s">
        <v>2953</v>
      </c>
      <c r="B60" s="48" t="s">
        <v>2954</v>
      </c>
    </row>
    <row customHeight="1" ht="11.25">
      <c r="A61" s="48"/>
      <c r="B61" s="48" t="s">
        <v>2955</v>
      </c>
    </row>
    <row customHeight="1" ht="11.25">
      <c r="A62" s="48"/>
      <c r="B62" s="48" t="s">
        <v>2956</v>
      </c>
    </row>
    <row customHeight="1" ht="11.25">
      <c r="A63" s="48"/>
      <c r="B63" s="48" t="s">
        <v>2957</v>
      </c>
    </row>
    <row customHeight="1" ht="11.25">
      <c r="A64" s="48"/>
      <c r="B64" s="48" t="s">
        <v>2958</v>
      </c>
    </row>
    <row customHeight="1" ht="11.25">
      <c r="A65" s="48"/>
      <c r="B65" s="48" t="s">
        <v>2959</v>
      </c>
    </row>
    <row customHeight="1" ht="11.25">
      <c r="A66" s="48"/>
      <c r="B66" s="48" t="s">
        <v>2960</v>
      </c>
    </row>
    <row customHeight="1" ht="11.25">
      <c r="A67" s="48"/>
      <c r="B67" s="48" t="s">
        <v>2961</v>
      </c>
    </row>
    <row customHeight="1" ht="11.25">
      <c r="A68" s="48"/>
      <c r="B68" s="48" t="s">
        <v>2962</v>
      </c>
    </row>
    <row customHeight="1" ht="11.25">
      <c r="A69" s="48"/>
      <c r="B69" s="48" t="s">
        <v>2963</v>
      </c>
    </row>
    <row customHeight="1" ht="11.25">
      <c r="A70" s="48"/>
      <c r="B70" s="48" t="s">
        <v>2964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3D6D5-856B-8BC7-E95B-F67EAFB6DDA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2965</v>
      </c>
    </row>
    <row customHeight="1" ht="90">
      <c r="B2" s="79" t="s">
        <v>2966</v>
      </c>
    </row>
    <row customHeight="1" ht="67.5">
      <c r="B3" s="79" t="s">
        <v>2967</v>
      </c>
    </row>
    <row customHeight="1" ht="33.75">
      <c r="B4" s="79" t="s">
        <v>2968</v>
      </c>
    </row>
    <row customHeight="1" ht="11.25">
      <c r="B5" s="79" t="s">
        <v>2969</v>
      </c>
    </row>
    <row customHeight="1" ht="22.5">
      <c r="B6" s="79" t="s">
        <v>2970</v>
      </c>
    </row>
    <row customHeight="1" ht="22.5">
      <c r="B7" s="79" t="s">
        <v>2971</v>
      </c>
    </row>
    <row customHeight="1" ht="22.5">
      <c r="B8" s="79" t="s">
        <v>2972</v>
      </c>
    </row>
    <row customHeight="1" ht="22.5">
      <c r="B9" s="79" t="s">
        <v>2973</v>
      </c>
    </row>
    <row customHeight="1" ht="56.25">
      <c r="B10" s="79" t="s">
        <v>2974</v>
      </c>
    </row>
    <row customHeight="1" ht="12.75">
      <c r="B11" s="145" t="s">
        <v>2975</v>
      </c>
    </row>
    <row customHeight="1" ht="11.25">
      <c r="B12" s="78" t="s">
        <v>2976</v>
      </c>
    </row>
    <row customHeight="1" ht="22.5">
      <c r="B13" s="79" t="s">
        <v>2977</v>
      </c>
    </row>
    <row customHeight="1" ht="67.5">
      <c r="B14" s="79" t="s">
        <v>2978</v>
      </c>
    </row>
    <row customHeight="1" ht="22.5">
      <c r="B15" s="79" t="s">
        <v>2979</v>
      </c>
    </row>
    <row customHeight="1" ht="11.25">
      <c r="B16" s="78" t="s">
        <v>2980</v>
      </c>
      <c r="D16" s="86"/>
    </row>
    <row customHeight="1" ht="33.75">
      <c r="B17" s="79" t="s">
        <v>2981</v>
      </c>
    </row>
    <row customHeight="1" ht="33.75">
      <c r="B18" s="79" t="s">
        <v>2982</v>
      </c>
    </row>
    <row customHeight="1" ht="11.25">
      <c r="B19" s="79" t="s">
        <v>2983</v>
      </c>
    </row>
    <row customHeight="1" ht="33.75">
      <c r="B20" s="79" t="s">
        <v>2984</v>
      </c>
    </row>
    <row customHeight="1" ht="11.25">
      <c r="B21" s="78" t="s">
        <v>2985</v>
      </c>
    </row>
    <row customHeight="1" ht="11.25">
      <c r="B22" s="79" t="s">
        <v>2986</v>
      </c>
    </row>
    <row r="24" customHeight="1" ht="22.5">
      <c r="B24" s="147" t="s">
        <v>2987</v>
      </c>
    </row>
    <row r="26" customHeight="1" ht="11.25">
      <c r="B26" s="78" t="s">
        <v>2988</v>
      </c>
    </row>
    <row customHeight="1" ht="22.5">
      <c r="B27" s="146" t="s">
        <v>443</v>
      </c>
    </row>
    <row customHeight="1" ht="56.25">
      <c r="B28" s="146" t="s">
        <v>2989</v>
      </c>
    </row>
    <row customHeight="1" ht="11.25">
      <c r="B29" s="196" t="s">
        <v>2990</v>
      </c>
    </row>
    <row customHeight="1" ht="22.5">
      <c r="B30" s="146" t="s">
        <v>2991</v>
      </c>
    </row>
    <row r="32" customHeight="1" ht="11.25">
      <c r="A32" s="174"/>
      <c r="B32" s="175" t="s">
        <v>2992</v>
      </c>
    </row>
    <row customHeight="1" ht="14.25">
      <c r="A33" s="176">
        <v>1</v>
      </c>
      <c r="B33" s="177" t="s">
        <v>2993</v>
      </c>
    </row>
    <row customHeight="1" ht="14.25">
      <c r="A34" s="176">
        <v>2</v>
      </c>
      <c r="B34" s="177" t="s">
        <v>2994</v>
      </c>
    </row>
    <row customHeight="1" ht="11.25">
      <c r="B35" s="175" t="s">
        <v>2995</v>
      </c>
    </row>
    <row customHeight="1" ht="11.25">
      <c r="B36" s="177" t="s">
        <v>2996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