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мощности'!$338:$340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мощности'!$341:$344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тарифов'!$141:$165</definedName>
    <definedName name="BLOCK_PT_HEAT">'Перечень тарифов'!$13:$139</definedName>
    <definedName name="BLOCK_PT_HEAT_NOT_R">'Перечень тарифов'!$125:$129</definedName>
    <definedName name="BLOCK_PT_HEAT_NOT_R_TMP">'Перечень тарифов'!$120:$124</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тарифов'!$167:$181</definedName>
    <definedName name="BLOCK_PT_VOTV">'Перечень тарифов'!$183:$197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тарифов'!$Z$12:$Z$199</definedName>
    <definedName name="DIFFERENTIATION_TARIFF_VD_ID">'Перечень тарифов'!$AB$12:$AB$199</definedName>
    <definedName name="DIFFERENTIATION_TARIFF_VTAR_ID">'Перечень тарифов'!$AA$12:$AA$199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мощности'!$T$337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мощности'!$AT$39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мощности'!$45:$62</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тарифов'!$AL$12:$AL$199</definedName>
    <definedName name="PT_DIFFERENTIATION_CS_ID">'Перечень тарифов'!$AF$12:$AF$199</definedName>
    <definedName name="PT_DIFFERENTIATION_IST_TE">'Перечень тарифов'!$AM$12:$AM$199</definedName>
    <definedName name="PT_DIFFERENTIATION_IST_TE_ID">'Перечень тарифов'!$AG$12:$AG$199</definedName>
    <definedName name="PT_DIFFERENTIATION_NTAR">'Перечень тарифов'!$AJ$12:$AJ$199</definedName>
    <definedName name="PT_DIFFERENTIATION_NTAR_ID">'Перечень тарифов'!$AD$12:$AD$199</definedName>
    <definedName name="PT_DIFFERENTIATION_NUM_CS">'Перечень тарифов'!$AP$12:$AP$199</definedName>
    <definedName name="PT_DIFFERENTIATION_NUM_IST_TE">'Перечень тарифов'!$AQ$12:$AQ$199</definedName>
    <definedName name="PT_DIFFERENTIATION_NUM_NTAR">'Перечень тарифов'!$AN$12:$AN$199</definedName>
    <definedName name="PT_DIFFERENTIATION_NUM_TER">'Перечень тарифов'!$AO$12:$AO$199</definedName>
    <definedName name="PT_DIFFERENTIATION_TER">'Перечень тарифов'!$AK$12:$AK$199</definedName>
    <definedName name="PT_DIFFERENTIATION_TER_ID">'Перечень тарифов'!$AE$12:$AE$199</definedName>
    <definedName name="PT_DIFFERENTIATION_VDET">'Перечень тарифов'!$AI$12:$AI$199</definedName>
    <definedName name="PT_DIFFERENTIATION_VTAR">'Перечень тарифов'!$AH$12:$AH$199</definedName>
    <definedName name="PT_DIFFERENTIATION_VTAR_ID">'Перечень тарифов'!$AC$12:$AC$199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тарифов'!$F$125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мощности'!$43:$336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мощности'!$44:$63</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мощности'!$AT$338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pt_ist_te_30">'ТС. Резерв мощности'!$54:$61</definedName>
    <definedName name="pt_ter_30">'ТС. Резерв мощности'!$64:$75</definedName>
    <definedName name="pt_cs_30">'ТС. Резерв мощности'!$65:$74</definedName>
    <definedName name="pt_ist_te_31">'ТС. Резерв мощности'!$66:$73</definedName>
    <definedName name="pt_ter_31">'ТС. Резерв мощности'!$76:$87</definedName>
    <definedName name="pt_cs_31">'ТС. Резерв мощности'!$77:$86</definedName>
    <definedName name="pt_ist_te_32">'ТС. Резерв мощности'!$78:$85</definedName>
    <definedName name="pt_ter_32">'ТС. Резерв мощности'!$88:$99</definedName>
    <definedName name="pt_cs_32">'ТС. Резерв мощности'!$89:$98</definedName>
    <definedName name="pt_ist_te_33">'ТС. Резерв мощности'!$90:$97</definedName>
    <definedName name="pt_ter_33">'ТС. Резерв мощности'!$100:$111</definedName>
    <definedName name="pt_cs_33">'ТС. Резерв мощности'!$101:$110</definedName>
    <definedName name="pt_ist_te_34">'ТС. Резерв мощности'!$102:$109</definedName>
    <definedName name="pt_ter_34">'ТС. Резерв мощности'!$112:$131</definedName>
    <definedName name="pt_cs_34">'ТС. Резерв мощности'!$113:$130</definedName>
    <definedName name="pt_ist_te_35">'ТС. Резерв мощности'!$114:$121</definedName>
    <definedName name="pt_ist_te_36">'ТС. Резерв мощности'!$122:$129</definedName>
    <definedName name="pt_ter_35">'ТС. Резерв мощности'!$132:$143</definedName>
    <definedName name="pt_cs_35">'ТС. Резерв мощности'!$133:$142</definedName>
    <definedName name="pt_ist_te_37">'ТС. Резерв мощности'!$134:$141</definedName>
    <definedName name="pt_ter_36">'ТС. Резерв мощности'!$144:$155</definedName>
    <definedName name="pt_cs_36">'ТС. Резерв мощности'!$145:$154</definedName>
    <definedName name="pt_ist_te_38">'ТС. Резерв мощности'!$146:$153</definedName>
    <definedName name="pt_ter_37">'ТС. Резерв мощности'!$156:$175</definedName>
    <definedName name="pt_cs_37">'ТС. Резерв мощности'!$157:$174</definedName>
    <definedName name="pt_ist_te_39">'ТС. Резерв мощности'!$158:$165</definedName>
    <definedName name="pt_ist_te_40">'ТС. Резерв мощности'!$166:$173</definedName>
    <definedName name="pt_ter_38">'ТС. Резерв мощности'!$176:$187</definedName>
    <definedName name="pt_cs_38">'ТС. Резерв мощности'!$177:$186</definedName>
    <definedName name="pt_ist_te_41">'ТС. Резерв мощности'!$178:$185</definedName>
    <definedName name="pt_ter_39">'ТС. Резерв мощности'!$188:$207</definedName>
    <definedName name="pt_cs_39">'ТС. Резерв мощности'!$189:$206</definedName>
    <definedName name="pt_ist_te_42">'ТС. Резерв мощности'!$190:$197</definedName>
    <definedName name="pt_ist_te_43">'ТС. Резерв мощности'!$198:$205</definedName>
    <definedName name="pt_ter_40">'ТС. Резерв мощности'!$208:$235</definedName>
    <definedName name="pt_cs_40">'ТС. Резерв мощности'!$209:$234</definedName>
    <definedName name="pt_ist_te_44">'ТС. Резерв мощности'!$210:$217</definedName>
    <definedName name="pt_ist_te_45">'ТС. Резерв мощности'!$218:$225</definedName>
    <definedName name="pt_ist_te_46">'ТС. Резерв мощности'!$226:$233</definedName>
    <definedName name="pt_ter_41">'ТС. Резерв мощности'!$236:$263</definedName>
    <definedName name="pt_cs_41">'ТС. Резерв мощности'!$237:$262</definedName>
    <definedName name="pt_ist_te_47">'ТС. Резерв мощности'!$238:$245</definedName>
    <definedName name="pt_ist_te_48">'ТС. Резерв мощности'!$246:$253</definedName>
    <definedName name="pt_ist_te_49">'ТС. Резерв мощности'!$254:$261</definedName>
    <definedName name="pt_ter_42">'ТС. Резерв мощности'!$264:$275</definedName>
    <definedName name="pt_cs_42">'ТС. Резерв мощности'!$265:$274</definedName>
    <definedName name="pt_ist_te_50">'ТС. Резерв мощности'!$266:$273</definedName>
    <definedName name="pt_ter_43">'ТС. Резерв мощности'!$276:$287</definedName>
    <definedName name="pt_cs_43">'ТС. Резерв мощности'!$277:$286</definedName>
    <definedName name="pt_ist_te_51">'ТС. Резерв мощности'!$278:$285</definedName>
    <definedName name="pt_ter_44">'ТС. Резерв мощности'!$288:$299</definedName>
    <definedName name="pt_cs_44">'ТС. Резерв мощности'!$289:$298</definedName>
    <definedName name="pt_ist_te_52">'ТС. Резерв мощности'!$290:$297</definedName>
    <definedName name="pt_ter_45">'ТС. Резерв мощности'!$300:$311</definedName>
    <definedName name="pt_cs_45">'ТС. Резерв мощности'!$301:$310</definedName>
    <definedName name="pt_ist_te_53">'ТС. Резерв мощности'!$302:$309</definedName>
    <definedName name="pt_ter_46">'ТС. Резерв мощности'!$312:$323</definedName>
    <definedName name="pt_cs_46">'ТС. Резерв мощности'!$313:$322</definedName>
    <definedName name="pt_ist_te_54">'ТС. Резерв мощности'!$314:$321</definedName>
    <definedName name="pt_ter_47">'ТС. Резерв мощности'!$324:$335</definedName>
    <definedName name="pt_cs_47">'ТС. Резерв мощности'!$325:$334</definedName>
    <definedName name="pt_ist_te_55">'ТС. Резерв мощности'!$326:$333</definedName>
    <definedName name="DESCRIPTION_TERRITORY">REESTR_DS!$B$2:$B$20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<sst xmlns="http://schemas.openxmlformats.org/spreadsheetml/2006/main" count="13162" uniqueCount="3100">
  <si>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</si>
  <si>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</si>
  <si>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</si>
  <si>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</si>
  <si>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</si>
  <si>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</si>
  <si>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</si>
  <si>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</si>
  <si>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</si>
  <si>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</si>
  <si>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</si>
  <si>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</si>
  <si>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</si>
  <si>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</si>
  <si>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</si>
  <si>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</si>
  <si>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</si>
  <si>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</si>
  <si>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</si>
  <si>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</si>
  <si>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</si>
  <si>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</si>
  <si>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</si>
  <si>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</si>
  <si>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</si>
  <si>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</si>
  <si>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</si>
  <si>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</si>
  <si>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</si>
  <si>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</si>
  <si>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</si>
  <si>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</si>
  <si>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</si>
  <si>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</si>
  <si>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</si>
  <si>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</si>
  <si>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</si>
  <si>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</si>
  <si>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</si>
  <si>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</si>
  <si>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</si>
  <si>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51/111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</si>
  <si>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</si>
  <si>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</si>
  <si>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</si>
  <si>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https://npa.gov-murman.ru/bitrix/components/b1team/govmurman.element.file/download.php?ID=537819&amp;FID=814581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</si>
  <si>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</si>
  <si>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</si>
  <si>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</si>
  <si>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</si>
  <si>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</si>
  <si>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</si>
  <si>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</si>
  <si>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</si>
  <si>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</si>
  <si>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</si>
  <si>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</si>
  <si>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</si>
  <si>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</si>
  <si>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</si>
  <si>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</si>
  <si>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</si>
  <si>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</si>
  <si>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</si>
  <si>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</si>
  <si>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</si>
  <si>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</si>
  <si>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</si>
  <si>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</si>
  <si>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</si>
  <si>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</si>
  <si>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</si>
  <si>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</si>
  <si>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</si>
  <si>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</si>
  <si>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</si>
  <si>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</si>
  <si>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</si>
  <si>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</si>
  <si>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ведущий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</si>
  <si>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</si>
  <si>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</si>
  <si>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</si>
  <si>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</si>
  <si>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</si>
  <si>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</si>
  <si>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</si>
  <si>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</si>
  <si>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</si>
  <si>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</si>
  <si>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</si>
  <si>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</si>
  <si>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</si>
  <si>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</si>
  <si>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</si>
  <si>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</si>
  <si>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</si>
  <si>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</si>
  <si>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</si>
  <si>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</si>
  <si>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</si>
  <si>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</si>
  <si>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</si>
  <si>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</si>
  <si>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</si>
  <si>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</si>
  <si>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</si>
  <si>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t>
  </si>
  <si>
    <t>21</t>
  </si>
  <si>
    <t>Кольский муниципальный район</t>
  </si>
  <si>
    <t>городское поселение Кола</t>
  </si>
  <si>
    <t>47605101</t>
  </si>
  <si>
    <t>ter_51</t>
  </si>
  <si>
    <t>22</t>
  </si>
  <si>
    <t>городское поселение Молочный</t>
  </si>
  <si>
    <t>47605161</t>
  </si>
  <si>
    <t>ter_511</t>
  </si>
  <si>
    <t>16</t>
  </si>
  <si>
    <t>Поселок Мурмаши</t>
  </si>
  <si>
    <t>47605163</t>
  </si>
  <si>
    <t>5</t>
  </si>
  <si>
    <t>ter_5111</t>
  </si>
  <si>
    <t>14</t>
  </si>
  <si>
    <t>Поселок Верхнетуломский</t>
  </si>
  <si>
    <t>47605154</t>
  </si>
  <si>
    <t>ter_51111</t>
  </si>
  <si>
    <t>15</t>
  </si>
  <si>
    <t>Поселок Кильдинстрой</t>
  </si>
  <si>
    <t>47605158</t>
  </si>
  <si>
    <t>ter_511111</t>
  </si>
  <si>
    <t>26</t>
  </si>
  <si>
    <t>Ловозерский муниципальный район</t>
  </si>
  <si>
    <t>сельское поселение Ловозеро</t>
  </si>
  <si>
    <t>47610401</t>
  </si>
  <si>
    <t>8</t>
  </si>
  <si>
    <t>ter_5111111</t>
  </si>
  <si>
    <t>25</t>
  </si>
  <si>
    <t>Поселок Ревда</t>
  </si>
  <si>
    <t>47610154</t>
  </si>
  <si>
    <t>9</t>
  </si>
  <si>
    <t>ter_51111111</t>
  </si>
  <si>
    <t>34</t>
  </si>
  <si>
    <t>город Оленегорск</t>
  </si>
  <si>
    <t>47526000</t>
  </si>
  <si>
    <t>10</t>
  </si>
  <si>
    <t>ter_511111111</t>
  </si>
  <si>
    <t>ЗАТО город Североморск</t>
  </si>
  <si>
    <t>47730000</t>
  </si>
  <si>
    <t>11</t>
  </si>
  <si>
    <t>ter_5111111111</t>
  </si>
  <si>
    <t>27</t>
  </si>
  <si>
    <t>Печенгский муниципальный округ</t>
  </si>
  <si>
    <t>47515000</t>
  </si>
  <si>
    <t>12</t>
  </si>
  <si>
    <t>ter_51111111111</t>
  </si>
  <si>
    <t>1</t>
  </si>
  <si>
    <t>ЗАТО город Александровск</t>
  </si>
  <si>
    <t>47737000</t>
  </si>
  <si>
    <t>13</t>
  </si>
  <si>
    <t>ter_511111111111</t>
  </si>
  <si>
    <t>Кандалакшский муниципальный район</t>
  </si>
  <si>
    <t>47608000</t>
  </si>
  <si>
    <t>ter_5111111111111</t>
  </si>
  <si>
    <t>Поселок Зеленоборский</t>
  </si>
  <si>
    <t>47608158</t>
  </si>
  <si>
    <t>ter_51111111111111</t>
  </si>
  <si>
    <t>19</t>
  </si>
  <si>
    <t>Териберское сельское поселение</t>
  </si>
  <si>
    <t>47605405</t>
  </si>
  <si>
    <t>ter_511111111111111</t>
  </si>
  <si>
    <t>23</t>
  </si>
  <si>
    <t>сельское поселение Ура-Губа</t>
  </si>
  <si>
    <t>47605407</t>
  </si>
  <si>
    <t>17</t>
  </si>
  <si>
    <t>ter_5111111111111111</t>
  </si>
  <si>
    <t>18</t>
  </si>
  <si>
    <t>Пушновское сельское поселение</t>
  </si>
  <si>
    <t>47605404</t>
  </si>
  <si>
    <t>ter_51111111111111111</t>
  </si>
  <si>
    <t>Ковдорский муниципальный округ</t>
  </si>
  <si>
    <t>47517000</t>
  </si>
  <si>
    <t>ter_511111111111111111</t>
  </si>
  <si>
    <t>ЗАТО город Заозерск</t>
  </si>
  <si>
    <t>47733000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</si>
  <si>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</si>
  <si>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</si>
  <si>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</si>
  <si>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</si>
  <si>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</si>
  <si>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</si>
  <si>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</si>
  <si>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</si>
  <si>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</si>
  <si>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</si>
  <si>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</si>
  <si>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</si>
  <si>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</si>
  <si>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</si>
  <si>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</si>
  <si>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</si>
  <si>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</si>
  <si>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</si>
  <si>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</si>
  <si>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</si>
  <si>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</si>
  <si>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</si>
  <si>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</si>
  <si>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</si>
  <si>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</si>
  <si>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</si>
  <si>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</si>
  <si>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</si>
  <si>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</si>
  <si>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</si>
  <si>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</si>
  <si>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</si>
  <si>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</si>
  <si>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</si>
  <si>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</si>
  <si>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</si>
  <si>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</si>
  <si>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</si>
  <si>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</si>
  <si>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</si>
  <si>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</si>
  <si>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</si>
  <si>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</si>
  <si>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</si>
  <si>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</si>
  <si>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</si>
  <si>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</si>
  <si>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</si>
  <si>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</si>
  <si>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</si>
  <si>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</si>
  <si>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</si>
  <si>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</si>
  <si>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</si>
  <si>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</si>
  <si>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</si>
  <si>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</si>
  <si>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</si>
  <si>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</si>
  <si>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</si>
  <si>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</si>
  <si>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</si>
  <si>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</si>
  <si>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</si>
  <si>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</si>
  <si>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</si>
  <si>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</si>
  <si>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</si>
  <si>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</si>
  <si>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</si>
  <si>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</si>
  <si>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</si>
  <si>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</si>
  <si>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</si>
  <si>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</si>
  <si>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</si>
  <si>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</si>
  <si>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</si>
  <si>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t>
  </si>
  <si>
    <t>Городской округ город-герой Мурманск (кроме п.Росляково)</t>
  </si>
  <si>
    <t>Тарифы установлены без учета НДС</t>
  </si>
  <si>
    <t>"4190073"</t>
  </si>
  <si>
    <t>pIns_PT_VTAR_F</t>
  </si>
  <si>
    <t>pt_ntar_7</t>
  </si>
  <si>
    <t>pt_ter_7</t>
  </si>
  <si>
    <t>pt_cs_7</t>
  </si>
  <si>
    <t>pt_ist_te_7</t>
  </si>
  <si>
    <t>Городской округ город-герой Мурманск (п. Росляково)</t>
  </si>
  <si>
    <t>pt_ist_te_30</t>
  </si>
  <si>
    <t>Добавить источник для дифференциации</t>
  </si>
  <si>
    <t>Добавить централизованную систему для дифференциации</t>
  </si>
  <si>
    <t>pt_ter_30</t>
  </si>
  <si>
    <t>pt_cs_30</t>
  </si>
  <si>
    <t>pt_ist_te_31</t>
  </si>
  <si>
    <t>pt_ter_31</t>
  </si>
  <si>
    <t>pt_cs_31</t>
  </si>
  <si>
    <t>pt_ist_te_32</t>
  </si>
  <si>
    <t>pt_ter_32</t>
  </si>
  <si>
    <t>pt_cs_32</t>
  </si>
  <si>
    <t>pt_ist_te_33</t>
  </si>
  <si>
    <t>pt_ter_33</t>
  </si>
  <si>
    <t>pt_cs_33</t>
  </si>
  <si>
    <t>pt_ist_te_34</t>
  </si>
  <si>
    <t>г.п. Кильдинстрой</t>
  </si>
  <si>
    <t>pt_ter_34</t>
  </si>
  <si>
    <t>pt_cs_34</t>
  </si>
  <si>
    <t>pt_ist_te_35</t>
  </si>
  <si>
    <t>н.п. Шонгуй</t>
  </si>
  <si>
    <t>pt_ist_te_36</t>
  </si>
  <si>
    <t>pt_ter_35</t>
  </si>
  <si>
    <t>pt_cs_35</t>
  </si>
  <si>
    <t>pt_ist_te_37</t>
  </si>
  <si>
    <t>Городское поселение Ревда Ловозерского муниципального района Мурманской области (потребители, присоединенные к тепловым сетям АО "МЭС")</t>
  </si>
  <si>
    <t>pt_ter_36</t>
  </si>
  <si>
    <t>pt_cs_36</t>
  </si>
  <si>
    <t>pt_ist_te_38</t>
  </si>
  <si>
    <t>Муниципальный округ город Оленегорск с подведомственной территорией Мурманской области (кроме нп Высокий)</t>
  </si>
  <si>
    <t>pt_ter_37</t>
  </si>
  <si>
    <t>pt_cs_37</t>
  </si>
  <si>
    <t>pt_ist_te_39</t>
  </si>
  <si>
    <t>Муниципальный округ город Оленегорск с подведомственной территорией Мурманской области (нп Высокий)</t>
  </si>
  <si>
    <t>pt_ist_te_40</t>
  </si>
  <si>
    <t>pt_ter_38</t>
  </si>
  <si>
    <t>pt_cs_38</t>
  </si>
  <si>
    <t>pt_ist_te_41</t>
  </si>
  <si>
    <t>город Никель</t>
  </si>
  <si>
    <t>pt_ter_39</t>
  </si>
  <si>
    <t>pt_cs_39</t>
  </si>
  <si>
    <t>pt_ist_te_42</t>
  </si>
  <si>
    <t>Город Заполярный Печенгского муниципального округа Мурманской области (кроме потребителей, присоединенных к тепловым сетям МУП "Тепловые сети")</t>
  </si>
  <si>
    <t>pt_ist_te_43</t>
  </si>
  <si>
    <t>город Гаджиево</t>
  </si>
  <si>
    <t>pt_ter_40</t>
  </si>
  <si>
    <t>pt_cs_40</t>
  </si>
  <si>
    <t>pt_ist_te_44</t>
  </si>
  <si>
    <t>город Полярный</t>
  </si>
  <si>
    <t>pt_ist_te_45</t>
  </si>
  <si>
    <t>город Снежногорск, населенный пункт Оленья Губа</t>
  </si>
  <si>
    <t>pt_ist_te_46</t>
  </si>
  <si>
    <t>Городское поселение Кандалакша Кандалакшского муниципального района Мурманской области (город Кандалакша)</t>
  </si>
  <si>
    <t>pt_ter_41</t>
  </si>
  <si>
    <t>pt_cs_41</t>
  </si>
  <si>
    <t>pt_ist_te_47</t>
  </si>
  <si>
    <t>Городское поселение Кандалакша Кандалакшского муниципального района Мурманской области (микрорайон Нива -3)</t>
  </si>
  <si>
    <t>pt_ist_te_48</t>
  </si>
  <si>
    <t xml:space="preserve">нп Белое море Кандалакшского муниципального района Мурманской области </t>
  </si>
  <si>
    <t>pt_ist_te_49</t>
  </si>
  <si>
    <t>pt_ter_42</t>
  </si>
  <si>
    <t>pt_cs_42</t>
  </si>
  <si>
    <t>pt_ist_te_50</t>
  </si>
  <si>
    <t>pt_ter_43</t>
  </si>
  <si>
    <t>pt_cs_43</t>
  </si>
  <si>
    <t>pt_ist_te_51</t>
  </si>
  <si>
    <t>pt_ter_44</t>
  </si>
  <si>
    <t>pt_cs_44</t>
  </si>
  <si>
    <t>pt_ist_te_52</t>
  </si>
  <si>
    <t>Сельское поселение Пушной Кольского муниципального района Мурманской области (ж. д. ст. Лопарская)</t>
  </si>
  <si>
    <t>pt_ter_45</t>
  </si>
  <si>
    <t>pt_cs_45</t>
  </si>
  <si>
    <t>pt_ist_te_53</t>
  </si>
  <si>
    <t>населенный пункт Лейпи</t>
  </si>
  <si>
    <t>pt_ter_46</t>
  </si>
  <si>
    <t>pt_cs_46</t>
  </si>
  <si>
    <t>pt_ist_te_54</t>
  </si>
  <si>
    <t>pt_ter_47</t>
  </si>
  <si>
    <t>pt_cs_47</t>
  </si>
  <si>
    <t>pt_ist_te_55</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</si>
  <si>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</si>
  <si>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</si>
  <si>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</si>
  <si>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</si>
  <si>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</si>
  <si>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</si>
  <si>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</si>
  <si>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</si>
  <si>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</si>
  <si>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</si>
  <si>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</si>
  <si>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</si>
  <si>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</si>
  <si>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</si>
  <si>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</si>
  <si>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</si>
  <si>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</si>
  <si>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</si>
  <si>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</si>
  <si>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</si>
  <si>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</si>
  <si>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</si>
  <si>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</si>
  <si>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</si>
  <si>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</si>
  <si>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</si>
  <si>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</si>
  <si>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</si>
  <si>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</si>
  <si>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</si>
  <si>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</si>
  <si>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</si>
  <si>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</si>
  <si>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</si>
  <si>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</si>
  <si>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</si>
  <si>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</si>
  <si>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</si>
  <si>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</si>
  <si>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</si>
  <si>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</si>
  <si>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</si>
  <si>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</si>
  <si>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</si>
  <si>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</si>
  <si>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</si>
  <si>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</si>
  <si>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</si>
  <si>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</si>
  <si>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</si>
  <si>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</si>
  <si>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</si>
  <si>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</si>
  <si>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</si>
  <si>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</si>
  <si>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</si>
  <si>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</si>
  <si>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</si>
  <si>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</si>
  <si>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</si>
  <si>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</si>
  <si>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</si>
  <si>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</si>
  <si>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</si>
  <si>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</si>
  <si>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</si>
  <si>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</si>
  <si>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</si>
  <si>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</si>
  <si>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</si>
  <si>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</si>
  <si>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</si>
  <si>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</si>
  <si>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</si>
  <si>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</si>
  <si>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</si>
  <si>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</si>
  <si>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</si>
  <si>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</si>
  <si>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</si>
  <si>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</si>
  <si>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</si>
  <si>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</si>
  <si>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</si>
  <si>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</si>
  <si>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</si>
  <si>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</si>
  <si>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</si>
  <si>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</si>
  <si>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</si>
  <si>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</si>
  <si>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</si>
  <si>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</si>
  <si>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</si>
  <si>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</si>
  <si>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</si>
  <si>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</si>
  <si>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</si>
  <si>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</si>
  <si>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</si>
  <si>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</si>
  <si>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</si>
  <si>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</si>
  <si>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</si>
  <si>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</si>
  <si>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</si>
  <si>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</si>
  <si>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</si>
  <si>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</si>
  <si>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</si>
  <si>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</si>
  <si>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</si>
  <si>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</si>
  <si>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</si>
  <si>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</si>
  <si>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</si>
  <si>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</si>
  <si>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</si>
  <si>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</si>
  <si>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</si>
  <si>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</si>
  <si>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</si>
  <si>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</si>
  <si>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</si>
  <si>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</si>
  <si>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</si>
  <si>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</si>
  <si>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</si>
  <si>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</si>
  <si>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</si>
  <si>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</si>
  <si>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</si>
  <si>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</si>
  <si>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</si>
  <si>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</si>
  <si>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</si>
  <si>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</si>
  <si>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</si>
  <si>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</si>
  <si>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</si>
  <si>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</si>
  <si>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</si>
  <si>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</si>
  <si>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</si>
  <si>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</si>
  <si>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</si>
  <si>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</si>
  <si>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</si>
  <si>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</si>
  <si>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</si>
  <si>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</si>
  <si>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</si>
  <si>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</si>
  <si>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</si>
  <si>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</si>
  <si>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</si>
  <si>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</si>
  <si>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</si>
  <si>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</si>
  <si>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</si>
  <si>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</si>
  <si>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</si>
  <si>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</si>
  <si>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</si>
  <si>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</si>
  <si>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</si>
  <si>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</si>
  <si>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</si>
  <si>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</si>
  <si>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</si>
  <si>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</si>
  <si>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</si>
  <si>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</si>
  <si>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</si>
  <si>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</si>
  <si>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</si>
  <si>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</si>
  <si>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</si>
  <si>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</si>
  <si>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</si>
  <si>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</si>
  <si>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</si>
  <si>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</si>
  <si>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</si>
  <si>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</si>
  <si>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</si>
  <si>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</si>
  <si>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</si>
  <si>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</si>
  <si>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</si>
  <si>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</si>
  <si>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</si>
  <si>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</si>
  <si>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</si>
  <si>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</si>
  <si>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</si>
  <si>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</si>
  <si>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</si>
  <si>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</si>
  <si>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</si>
  <si>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</si>
  <si>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</si>
  <si>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</si>
  <si>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</si>
  <si>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</si>
  <si>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</si>
  <si>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</si>
  <si>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</si>
  <si>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</si>
  <si>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</si>
  <si>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</si>
  <si>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</si>
  <si>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</si>
  <si>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</si>
  <si>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</si>
  <si>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</si>
  <si>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</si>
  <si>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</si>
  <si>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</si>
  <si>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</si>
  <si>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</si>
  <si>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</si>
  <si>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</si>
  <si>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</si>
  <si>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</si>
  <si>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</si>
  <si>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</si>
  <si>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</si>
  <si>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</si>
  <si>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</si>
  <si>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</si>
  <si>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</si>
  <si>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</si>
  <si>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</si>
  <si>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</si>
  <si>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</si>
  <si>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</si>
  <si>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</si>
  <si>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</si>
  <si>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</si>
  <si>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</si>
  <si>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</si>
  <si>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</si>
  <si>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</si>
  <si>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</si>
  <si>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</si>
  <si>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</si>
  <si>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</si>
  <si>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</si>
  <si>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</si>
  <si>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</si>
  <si>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</si>
  <si>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</si>
  <si>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</si>
  <si>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</si>
  <si>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</si>
  <si>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</si>
  <si>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</si>
  <si>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</si>
  <si>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</si>
  <si>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</si>
  <si>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</si>
  <si>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</si>
  <si>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</si>
  <si>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</si>
  <si>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</si>
  <si>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</si>
  <si>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</si>
  <si>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</si>
  <si>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</si>
  <si>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</si>
  <si>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</si>
  <si>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</si>
  <si>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</si>
  <si>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</si>
  <si>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</si>
  <si>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</si>
  <si>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</si>
  <si>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</si>
  <si>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</si>
  <si>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</si>
  <si>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</si>
  <si>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</si>
  <si>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</si>
  <si>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</si>
  <si>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</si>
  <si>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</si>
  <si>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</si>
  <si>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</si>
  <si>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</si>
  <si>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</si>
  <si>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</si>
  <si>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</si>
  <si>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</si>
  <si>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</si>
  <si>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</si>
  <si>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</si>
  <si>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</si>
  <si>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</si>
  <si>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</si>
  <si>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</si>
  <si>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</si>
  <si>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</si>
  <si>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</si>
  <si>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</si>
  <si>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</si>
  <si>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</si>
  <si>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</si>
  <si>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</si>
  <si>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</si>
  <si>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</si>
  <si>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</si>
  <si>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</si>
  <si>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</si>
  <si>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</si>
  <si>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</si>
  <si>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</si>
  <si>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</si>
  <si>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</si>
  <si>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</si>
  <si>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</si>
  <si>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</si>
  <si>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</si>
  <si>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</si>
  <si>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</si>
  <si>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</si>
  <si>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</si>
  <si>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</si>
  <si>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</si>
  <si>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</si>
  <si>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</si>
  <si>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</si>
  <si>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</si>
  <si>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</si>
  <si>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</si>
  <si>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</si>
  <si>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</si>
  <si>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</si>
  <si>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</si>
  <si>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</si>
  <si>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</si>
  <si>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</si>
  <si>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</si>
  <si>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</si>
  <si>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</si>
  <si>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</si>
  <si>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</si>
  <si>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</si>
  <si>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</si>
  <si>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</si>
  <si>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</si>
  <si>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</si>
  <si>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</si>
  <si>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</si>
  <si>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</si>
  <si>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</si>
  <si>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</si>
  <si>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</si>
  <si>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</si>
  <si>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</si>
  <si>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</si>
  <si>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</si>
  <si>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</si>
  <si>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</si>
  <si>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</si>
  <si>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</si>
  <si>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</si>
  <si>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</si>
  <si>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</si>
  <si>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</si>
  <si>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</si>
  <si>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</si>
  <si>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</si>
  <si>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</si>
  <si>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</si>
  <si>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</si>
  <si>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</si>
  <si>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</si>
  <si>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</si>
  <si>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</si>
  <si>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</si>
  <si>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</si>
  <si>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</si>
  <si>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</si>
  <si>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</si>
  <si>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</si>
  <si>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</si>
  <si>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</si>
  <si>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</si>
  <si>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</si>
  <si>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</si>
  <si>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</si>
  <si>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</si>
  <si>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</si>
  <si>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</si>
  <si>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</si>
  <si>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</si>
  <si>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</si>
  <si>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</si>
  <si>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</si>
  <si>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</si>
  <si>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</si>
  <si>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</si>
  <si>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</si>
  <si>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</si>
  <si>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</si>
  <si>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</si>
  <si>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</si>
  <si>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</si>
  <si>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</si>
  <si>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</si>
  <si>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</si>
  <si>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</si>
  <si>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</si>
  <si>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</si>
  <si>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</si>
  <si>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</si>
  <si>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</si>
  <si>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</si>
  <si>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</si>
  <si>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</si>
  <si>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</si>
  <si>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</si>
  <si>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</si>
  <si>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</si>
  <si>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</si>
  <si>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</si>
  <si>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</si>
  <si>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</si>
  <si>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</si>
  <si>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</si>
  <si>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</si>
  <si>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</si>
  <si>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</si>
  <si>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</si>
  <si>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</si>
  <si>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</si>
  <si>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</si>
  <si>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</si>
  <si>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</si>
  <si>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</si>
  <si>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</si>
  <si>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</si>
  <si>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</si>
  <si>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</si>
  <si>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</si>
  <si>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</si>
  <si>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</si>
  <si>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</si>
  <si>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</si>
  <si>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</si>
  <si>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</si>
  <si>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</si>
  <si>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</si>
  <si>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</si>
  <si>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</si>
  <si>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</si>
  <si>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</si>
  <si>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</si>
  <si>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</si>
  <si>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</si>
  <si>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</si>
  <si>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</si>
  <si>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</si>
  <si>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</si>
  <si>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</si>
  <si>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</si>
  <si>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</si>
  <si>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</si>
  <si>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</si>
  <si>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</si>
  <si>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</si>
  <si>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</si>
  <si>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</si>
  <si>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</si>
  <si>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</si>
  <si>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</si>
  <si>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</si>
  <si>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</si>
  <si>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</si>
  <si>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</si>
  <si>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</si>
  <si>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</si>
  <si>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</si>
  <si>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</si>
  <si>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</si>
  <si>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</si>
  <si>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</si>
  <si>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</si>
  <si>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</si>
  <si>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</si>
  <si>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</si>
  <si>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</si>
  <si>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</si>
  <si>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</si>
  <si>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</si>
  <si>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</si>
  <si>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</si>
  <si>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</si>
  <si>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</si>
  <si>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</si>
  <si>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</si>
  <si>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</si>
  <si>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</si>
  <si>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</si>
  <si>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</si>
  <si>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</si>
  <si>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</si>
  <si>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</si>
  <si>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</si>
  <si>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</si>
  <si>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</si>
  <si>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</si>
  <si>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</si>
  <si>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</si>
  <si>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</si>
  <si>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</si>
  <si>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</si>
  <si>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</si>
  <si>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</si>
  <si>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</si>
  <si>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</si>
  <si>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</si>
  <si>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</si>
  <si>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</si>
  <si>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</si>
  <si>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</si>
  <si>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</si>
  <si>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</si>
  <si>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</si>
  <si>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</si>
  <si>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</si>
  <si>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</si>
  <si>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</si>
  <si>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</si>
  <si>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</si>
  <si>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</si>
  <si>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</si>
  <si>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</si>
  <si>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</si>
  <si>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</si>
  <si>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</si>
  <si>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</si>
  <si>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</si>
  <si>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</si>
  <si>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</si>
  <si>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</si>
  <si>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</si>
  <si>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</si>
  <si>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</si>
  <si>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</si>
  <si>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</si>
  <si>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</si>
  <si>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</si>
  <si>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</si>
  <si>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</si>
  <si>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</si>
  <si>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</si>
  <si>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</si>
  <si>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</si>
  <si>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</si>
  <si>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</si>
  <si>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</si>
  <si>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</si>
  <si>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</si>
  <si>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</si>
  <si>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</si>
  <si>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</si>
  <si>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</si>
  <si>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</si>
  <si>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</si>
  <si>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</si>
  <si>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</si>
  <si>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</si>
  <si>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</si>
  <si>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</si>
  <si>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</si>
  <si>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</si>
  <si>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</si>
  <si>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</si>
  <si>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</si>
  <si>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</si>
  <si>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</si>
  <si>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</si>
  <si>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</si>
  <si>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</si>
  <si>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</si>
  <si>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</si>
  <si>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</si>
  <si>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</si>
  <si>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</si>
  <si>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</si>
  <si>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</si>
  <si>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</si>
  <si>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</si>
  <si>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</si>
  <si>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</si>
  <si>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</si>
  <si>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</si>
  <si>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</si>
  <si>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</si>
  <si>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</si>
  <si>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</si>
  <si>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</si>
  <si>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</si>
  <si>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</si>
  <si>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</si>
  <si>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</si>
  <si>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</si>
  <si>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</si>
  <si>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</si>
  <si>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</si>
  <si>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</si>
  <si>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</si>
  <si>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</si>
  <si>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</si>
  <si>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</si>
  <si>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</si>
  <si>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</si>
  <si>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</si>
  <si>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</si>
  <si>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</si>
  <si>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</si>
  <si>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</si>
  <si>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</si>
  <si>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</si>
  <si>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</si>
  <si>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</si>
  <si>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</si>
  <si>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</si>
  <si>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</si>
  <si>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</si>
  <si>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</si>
  <si>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</si>
  <si>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</si>
  <si>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</si>
  <si>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</si>
  <si>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</si>
  <si>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</si>
  <si>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</si>
  <si>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</si>
  <si>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</si>
  <si>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</si>
  <si>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</si>
  <si>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</si>
  <si>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</si>
  <si>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</si>
  <si>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</si>
  <si>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</si>
  <si>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</si>
  <si>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</si>
  <si>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</si>
  <si>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</si>
  <si>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</si>
  <si>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</si>
  <si>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</si>
  <si>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</si>
  <si>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</si>
  <si>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</si>
  <si>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</si>
  <si>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</si>
  <si>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</si>
  <si>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</si>
  <si>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</si>
  <si>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</si>
  <si>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</si>
  <si>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</si>
  <si>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</si>
  <si>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</si>
  <si>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</si>
  <si>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</si>
  <si>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</si>
  <si>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</si>
  <si>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</si>
  <si>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</si>
  <si>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</si>
  <si>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</si>
  <si>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</si>
  <si>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</si>
  <si>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</si>
  <si>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</si>
  <si>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</si>
  <si>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</si>
  <si>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</si>
  <si>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</si>
  <si>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</si>
  <si>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</si>
  <si>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</si>
  <si>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</si>
  <si>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</si>
  <si>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</si>
  <si>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</si>
  <si>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</si>
  <si>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</si>
  <si>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</si>
  <si>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</si>
  <si>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</si>
  <si>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</si>
  <si>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</si>
  <si>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</si>
  <si>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</si>
  <si>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</si>
  <si>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</si>
  <si>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</si>
  <si>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</si>
  <si>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</si>
  <si>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</si>
  <si>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</si>
  <si>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</si>
  <si>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</si>
  <si>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</si>
  <si>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</si>
  <si>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</si>
  <si>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</si>
  <si>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</si>
  <si>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</si>
  <si>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</si>
  <si>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</si>
  <si>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</si>
  <si>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</si>
  <si>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</si>
  <si>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</si>
  <si>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</si>
  <si>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</si>
  <si>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</si>
  <si>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</si>
  <si>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</si>
  <si>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</si>
  <si>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</si>
  <si>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</si>
  <si>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</si>
  <si>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</si>
  <si>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</si>
  <si>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</si>
  <si>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</si>
  <si>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</si>
  <si>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</si>
  <si>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</si>
  <si>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</si>
  <si>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</si>
  <si>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</si>
  <si>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</si>
  <si>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</si>
  <si>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</si>
  <si>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</si>
  <si>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</si>
  <si>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</si>
  <si>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</si>
  <si>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</si>
  <si>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</si>
  <si>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</si>
  <si>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</si>
  <si>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</si>
  <si>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</si>
  <si>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</si>
  <si>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</si>
  <si>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</si>
  <si>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</si>
  <si>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</si>
  <si>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</si>
  <si>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</si>
  <si>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</si>
  <si>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</si>
  <si>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</si>
  <si>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</si>
  <si>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</si>
  <si>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</si>
  <si>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</si>
  <si>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</si>
  <si>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</si>
  <si>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</si>
  <si>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</si>
  <si>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</si>
  <si>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</si>
  <si>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</si>
  <si>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</si>
  <si>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</si>
  <si>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</si>
  <si>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</si>
  <si>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</si>
  <si>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</si>
  <si>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</si>
  <si>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</si>
  <si>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</si>
  <si>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</si>
  <si>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</si>
  <si>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</si>
  <si>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</si>
  <si>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</si>
  <si>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</si>
  <si>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</si>
  <si>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</si>
  <si>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</si>
  <si>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</si>
  <si>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</si>
  <si>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</si>
  <si>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</si>
  <si>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</si>
  <si>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</si>
  <si>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</si>
  <si>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</si>
  <si>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</si>
  <si>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</si>
  <si>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</si>
  <si>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</si>
  <si>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</si>
  <si>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</si>
  <si>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</si>
  <si>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</si>
  <si>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</si>
  <si>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</si>
  <si>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</si>
  <si>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</si>
  <si>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</si>
  <si>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</si>
  <si>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</si>
  <si>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</si>
  <si>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</si>
  <si>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</si>
  <si>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</si>
  <si>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</si>
  <si>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</si>
  <si>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</si>
  <si>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</si>
  <si>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</si>
  <si>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</si>
  <si>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</si>
  <si>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</si>
  <si>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</si>
  <si>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</si>
  <si>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</si>
  <si>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</si>
  <si>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</si>
  <si>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</si>
  <si>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</si>
  <si>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</si>
  <si>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</si>
  <si>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</si>
  <si>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</si>
  <si>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</si>
  <si>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</si>
  <si>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</si>
  <si>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</si>
  <si>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</si>
  <si>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</si>
  <si>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</si>
  <si>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</si>
  <si>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</si>
  <si>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</si>
  <si>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</si>
  <si>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</si>
  <si>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</si>
  <si>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</si>
  <si>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</si>
  <si>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</si>
  <si>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</si>
  <si>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</si>
  <si>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</si>
  <si>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</si>
  <si>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</si>
  <si>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</si>
  <si>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</si>
  <si>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</si>
  <si>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</si>
  <si>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</si>
  <si>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</si>
  <si>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</si>
  <si>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</si>
  <si>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</si>
  <si>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</si>
  <si>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</si>
  <si>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</si>
  <si>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</si>
  <si>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</si>
  <si>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</si>
  <si>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</si>
  <si>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</si>
  <si>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</si>
  <si>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</si>
  <si>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</si>
  <si>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</si>
  <si>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</si>
  <si>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</si>
  <si>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</si>
  <si>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</si>
  <si>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</si>
  <si>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</si>
  <si>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</si>
  <si>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</si>
  <si>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</si>
  <si>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</si>
  <si>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</si>
  <si>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</si>
  <si>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</si>
  <si>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</si>
  <si>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</si>
  <si>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</si>
  <si>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</si>
  <si>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</si>
  <si>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</si>
  <si>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</si>
  <si>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</si>
  <si>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</si>
  <si>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</si>
  <si>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</si>
  <si>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</si>
  <si>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</si>
  <si>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</si>
  <si>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</si>
  <si>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</si>
  <si>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</si>
  <si>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</si>
  <si>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</si>
  <si>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</si>
  <si>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</si>
  <si>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</si>
  <si>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</si>
  <si>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</si>
  <si>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</si>
  <si>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</si>
  <si>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</si>
  <si>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</si>
  <si>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</si>
  <si>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</si>
  <si>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</si>
  <si>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</si>
  <si>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</si>
  <si>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</si>
  <si>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</si>
  <si>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</si>
  <si>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</si>
  <si>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</si>
  <si>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</si>
  <si>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</si>
  <si>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</si>
  <si>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</si>
  <si>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</si>
  <si>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</si>
  <si>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</si>
  <si>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</si>
  <si>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</si>
  <si>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</si>
  <si>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</si>
  <si>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</si>
  <si>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</si>
  <si>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</si>
  <si>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</si>
  <si>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</si>
  <si>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</si>
  <si>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</si>
  <si>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</si>
  <si>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</si>
  <si>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</si>
  <si>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</si>
  <si>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</si>
  <si>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</si>
  <si>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</si>
  <si>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</si>
  <si>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</si>
  <si>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</si>
  <si>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</si>
  <si>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</si>
  <si>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</si>
  <si>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</si>
  <si>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</si>
  <si>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</si>
  <si>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</si>
  <si>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</si>
  <si>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</si>
  <si>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</si>
  <si>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</si>
  <si>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</si>
  <si>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</si>
  <si>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</si>
  <si>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</si>
  <si>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</si>
  <si>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</si>
  <si>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</si>
  <si>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</si>
  <si>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</si>
  <si>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</si>
  <si>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</si>
  <si>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</si>
  <si>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</si>
  <si>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</si>
  <si>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</si>
  <si>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</si>
  <si>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</si>
  <si>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</si>
  <si>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</si>
  <si>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</si>
  <si>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</si>
  <si>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</si>
  <si>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</si>
  <si>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</si>
  <si>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</si>
  <si>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</si>
  <si>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</si>
  <si>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</si>
  <si>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</si>
  <si>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</si>
  <si>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</si>
  <si>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</si>
  <si>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</si>
  <si>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</si>
  <si>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</si>
  <si>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</si>
  <si>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</si>
  <si>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</si>
  <si>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</si>
  <si>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</si>
  <si>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</si>
  <si>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</si>
  <si>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</si>
  <si>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</si>
  <si>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</si>
  <si>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</si>
  <si>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</si>
  <si>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</si>
  <si>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</si>
  <si>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</si>
  <si>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</si>
  <si>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</si>
  <si>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</si>
  <si>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</si>
  <si>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</si>
  <si>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</si>
  <si>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</si>
  <si>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</si>
  <si>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</si>
  <si>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</si>
  <si>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</si>
  <si>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</si>
  <si>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</si>
  <si>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</si>
  <si>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</si>
  <si>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</si>
  <si>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</si>
  <si>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</si>
  <si>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</si>
  <si>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</si>
  <si>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</si>
  <si>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</si>
  <si>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</si>
  <si>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</si>
  <si>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</si>
  <si>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</si>
  <si>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</si>
  <si>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</si>
  <si>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</si>
  <si>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</si>
  <si>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</si>
  <si>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</si>
  <si>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</si>
  <si>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</si>
  <si>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</si>
  <si>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</si>
  <si>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</si>
  <si>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</si>
  <si>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</si>
  <si>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</si>
  <si>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</si>
  <si>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</si>
  <si>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</si>
  <si>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</si>
  <si>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</si>
  <si>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</si>
  <si>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</si>
  <si>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</si>
  <si>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</si>
  <si>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</si>
  <si>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</si>
  <si>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</si>
  <si>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</si>
  <si>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</si>
  <si>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</si>
  <si>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</si>
  <si>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</si>
  <si>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</si>
  <si>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</si>
  <si>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</si>
  <si>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</si>
  <si>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</si>
  <si>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</si>
  <si>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</si>
  <si>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</si>
  <si>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</si>
  <si>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</si>
  <si>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</si>
  <si>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</si>
  <si>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</si>
  <si>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</si>
  <si>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</si>
  <si>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</si>
  <si>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</si>
  <si>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</si>
  <si>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</si>
  <si>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</si>
  <si>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</si>
  <si>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</si>
  <si>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</si>
  <si>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</si>
  <si>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</si>
  <si>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</si>
  <si>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</si>
  <si>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</si>
  <si>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</si>
  <si>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</si>
  <si>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</si>
  <si>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</si>
  <si>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</si>
  <si>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</si>
  <si>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</si>
  <si>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</si>
  <si>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</si>
  <si>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</si>
  <si>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</si>
  <si>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</si>
  <si>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</si>
  <si>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</si>
  <si>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</si>
  <si>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</si>
  <si>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</si>
  <si>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</si>
  <si>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</si>
  <si>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</si>
  <si>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</si>
  <si>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</si>
  <si>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</si>
  <si>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</si>
  <si>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</si>
  <si>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</si>
  <si>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</si>
  <si>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</si>
  <si>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</si>
  <si>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</si>
  <si>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</si>
  <si>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</si>
  <si>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</si>
  <si>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</si>
  <si>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</si>
  <si>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</si>
  <si>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</si>
  <si>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</si>
  <si>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</si>
  <si>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</si>
  <si>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</si>
  <si>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</si>
  <si>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</si>
  <si>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</si>
  <si>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</si>
  <si>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</si>
  <si>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</si>
  <si>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</si>
  <si>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</si>
  <si>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</si>
  <si>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</si>
  <si>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</si>
  <si>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</si>
  <si>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</si>
  <si>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</si>
  <si>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</si>
  <si>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</si>
  <si>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</si>
  <si>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</si>
  <si>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</si>
  <si>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</si>
  <si>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</si>
  <si>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</si>
  <si>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</si>
  <si>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</si>
  <si>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</si>
  <si>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</si>
  <si>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</si>
  <si>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</si>
  <si>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</si>
  <si>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</si>
  <si>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</si>
  <si>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</si>
  <si>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</si>
  <si>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</si>
  <si>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</si>
  <si>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</si>
  <si>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</si>
  <si>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</si>
  <si>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</si>
  <si>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</si>
  <si>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</si>
  <si>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</si>
  <si>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</si>
  <si>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</si>
  <si>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</si>
  <si>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</si>
  <si>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</si>
  <si>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</si>
  <si>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</si>
  <si>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</si>
  <si>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</si>
  <si>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</si>
  <si>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</si>
  <si>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</si>
  <si>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</si>
  <si>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</si>
  <si>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</si>
  <si>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</si>
  <si>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</si>
  <si>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</si>
  <si>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</si>
  <si>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</si>
  <si>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</si>
  <si>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</si>
  <si>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</si>
  <si>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</si>
  <si>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</si>
  <si>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</si>
  <si>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</si>
  <si>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</si>
  <si>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</si>
  <si>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</si>
  <si>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</si>
  <si>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</si>
  <si>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</si>
  <si>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</si>
  <si>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</si>
  <si>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</si>
  <si>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</si>
  <si>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</si>
  <si>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</si>
  <si>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</si>
  <si>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</si>
  <si>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</si>
  <si>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</si>
  <si>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</si>
  <si>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</si>
  <si>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</si>
  <si>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</si>
  <si>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</si>
  <si>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</si>
  <si>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</si>
  <si>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</si>
  <si>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</si>
  <si>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</si>
  <si>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</si>
  <si>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</si>
  <si>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</si>
  <si>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</si>
  <si>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</si>
  <si>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</si>
  <si>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</si>
  <si>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</si>
  <si>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</si>
  <si>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</si>
  <si>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</si>
  <si>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</si>
  <si>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</si>
  <si>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</si>
  <si>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</si>
  <si>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</si>
  <si>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</si>
  <si>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</si>
  <si>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</si>
  <si>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</si>
  <si>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</si>
  <si>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</si>
  <si>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</si>
  <si>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</si>
  <si>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</si>
  <si>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</si>
  <si>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</si>
  <si>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</si>
  <si>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</si>
  <si>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</si>
  <si>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</si>
  <si>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</si>
  <si>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</si>
  <si>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</si>
  <si>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</si>
  <si>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</si>
  <si>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</si>
  <si>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</si>
  <si>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</si>
  <si>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</si>
  <si>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</si>
  <si>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</si>
  <si>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</si>
  <si>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</si>
  <si>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</si>
  <si>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</si>
  <si>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</si>
  <si>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</si>
  <si>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</si>
  <si>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</si>
  <si>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</si>
  <si>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</si>
  <si>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</si>
  <si>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</si>
  <si>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</si>
  <si>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</si>
  <si>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</si>
  <si>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</si>
  <si>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</si>
  <si>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</si>
  <si>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</si>
  <si>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</si>
  <si>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</si>
  <si>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</si>
  <si>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</si>
  <si>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</si>
  <si>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</si>
  <si>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</si>
  <si>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</si>
  <si>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</si>
  <si>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</si>
  <si>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</si>
  <si>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</si>
  <si>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</si>
  <si>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</si>
  <si>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</si>
  <si>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</si>
  <si>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</si>
  <si>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</si>
  <si>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</si>
  <si>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</si>
  <si>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</si>
  <si>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</si>
  <si>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</si>
  <si>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</si>
  <si>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</si>
  <si>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</si>
  <si>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</si>
  <si>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</si>
  <si>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</si>
  <si>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</si>
  <si>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</si>
  <si>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</si>
  <si>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</si>
  <si>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</si>
  <si>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</si>
  <si>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</si>
  <si>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</si>
  <si>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</si>
  <si>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</si>
  <si>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</si>
  <si>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</si>
  <si>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</si>
  <si>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</si>
  <si>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</si>
  <si>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</si>
  <si>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</si>
  <si>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</si>
  <si>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</si>
  <si>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</si>
  <si>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</si>
  <si>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</si>
  <si>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</si>
  <si>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</si>
  <si>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</si>
  <si>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</si>
  <si>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</si>
  <si>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</si>
  <si>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</si>
  <si>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</si>
  <si>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</si>
  <si>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</si>
  <si>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</si>
  <si>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</si>
  <si>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</si>
  <si>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</si>
  <si>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</si>
  <si>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</si>
  <si>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</si>
  <si>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</si>
  <si>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</si>
  <si>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</si>
  <si>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</si>
  <si>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</si>
  <si>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</si>
  <si>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</si>
  <si>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</si>
  <si>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</si>
  <si>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</si>
  <si>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</si>
  <si>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</si>
  <si>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</si>
  <si>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</si>
  <si>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</si>
  <si>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</si>
  <si>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</si>
  <si>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</si>
  <si>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</si>
  <si>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</si>
  <si>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</si>
  <si>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</si>
  <si>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</si>
  <si>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</si>
  <si>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</si>
  <si>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</si>
  <si>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</si>
  <si>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</si>
  <si>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</si>
  <si>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</si>
  <si>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</si>
  <si>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</si>
  <si>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</si>
  <si>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</si>
  <si>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</si>
  <si>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</si>
  <si>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</si>
  <si>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</si>
  <si>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</si>
  <si>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</si>
  <si>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</si>
  <si>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</si>
  <si>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</si>
  <si>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</si>
  <si>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</si>
  <si>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</si>
  <si>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</si>
  <si>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</si>
  <si>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</si>
  <si>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</si>
  <si>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</si>
  <si>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</si>
  <si>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</si>
  <si>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</si>
  <si>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</si>
  <si>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</si>
  <si>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</si>
  <si>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</si>
  <si>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</si>
  <si>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</si>
  <si>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</si>
  <si>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</si>
  <si>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</si>
  <si>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</si>
  <si>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</si>
  <si>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</si>
  <si>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</si>
  <si>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</si>
  <si>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</si>
  <si>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</si>
  <si>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</si>
  <si>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</si>
  <si>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</si>
  <si>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</si>
  <si>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</si>
  <si>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</si>
  <si>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</si>
  <si>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</si>
  <si>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</si>
  <si>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</si>
  <si>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</si>
  <si>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</si>
  <si>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</si>
  <si>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</si>
  <si>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</si>
  <si>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</si>
  <si>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</si>
  <si>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</si>
  <si>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</si>
  <si>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</si>
  <si>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</si>
  <si>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</si>
  <si>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</si>
  <si>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</si>
  <si>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</si>
  <si>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</si>
  <si>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</si>
  <si>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</si>
  <si>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</si>
  <si>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</si>
  <si>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</si>
  <si>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</si>
  <si>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</si>
  <si>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</si>
  <si>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</si>
  <si>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</si>
  <si>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</si>
  <si>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</si>
  <si>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</si>
  <si>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</si>
  <si>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</si>
  <si>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</si>
  <si>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</si>
  <si>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</si>
  <si>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</si>
  <si>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</si>
  <si>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</si>
  <si>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</si>
  <si>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</si>
  <si>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</si>
  <si>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</si>
  <si>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</si>
  <si>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</si>
  <si>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</si>
  <si>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</si>
  <si>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</si>
  <si>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</si>
  <si>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</si>
  <si>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</si>
  <si>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</si>
  <si>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</si>
  <si>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</si>
  <si>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</si>
  <si>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</si>
  <si>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</si>
  <si>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</si>
  <si>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</si>
  <si>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</si>
  <si>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</si>
  <si>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</si>
  <si>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</si>
  <si>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</si>
  <si>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</si>
  <si>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</si>
  <si>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</si>
  <si>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</si>
  <si>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</si>
  <si>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</si>
  <si>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</si>
  <si>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</si>
  <si>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</si>
  <si>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</si>
  <si>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</si>
  <si>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</si>
  <si>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</si>
  <si>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</si>
  <si>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</si>
  <si>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</si>
  <si>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</si>
  <si>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</si>
  <si>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</si>
  <si>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</si>
  <si>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</si>
  <si>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</si>
  <si>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</si>
  <si>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</si>
  <si>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</si>
  <si>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</si>
  <si>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</si>
  <si>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</si>
  <si>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</si>
  <si>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</si>
  <si>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</si>
  <si>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</si>
  <si>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</si>
  <si>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</si>
  <si>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</si>
  <si>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</si>
  <si>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</si>
  <si>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</si>
  <si>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</si>
  <si>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</si>
  <si>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</si>
  <si>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</si>
  <si>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</si>
  <si>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</si>
  <si>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</si>
  <si>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</si>
  <si>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</si>
  <si>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</si>
  <si>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</si>
  <si>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</si>
  <si>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</si>
  <si>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</si>
  <si>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</si>
  <si>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</si>
  <si>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</si>
  <si>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</si>
  <si>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</si>
  <si>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</si>
  <si>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</si>
  <si>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</si>
  <si>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</si>
  <si>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</si>
  <si>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</si>
  <si>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</si>
  <si>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</si>
  <si>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</si>
  <si>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</si>
  <si>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</si>
  <si>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</si>
  <si>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</si>
  <si>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</si>
  <si>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</si>
  <si>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</si>
  <si>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</si>
  <si>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</si>
  <si>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</si>
  <si>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</si>
  <si>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</si>
  <si>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</si>
  <si>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</si>
  <si>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</si>
  <si>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</si>
  <si>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</si>
  <si>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</si>
  <si>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</si>
  <si>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</si>
  <si>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</si>
  <si>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</si>
  <si>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</si>
  <si>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</si>
  <si>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</si>
  <si>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</si>
  <si>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</si>
  <si>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</si>
  <si>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</si>
  <si>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</si>
  <si>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</si>
  <si>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</si>
  <si>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</si>
  <si>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</si>
  <si>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</si>
  <si>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</si>
  <si>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</si>
  <si>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</si>
  <si>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</si>
  <si>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</si>
  <si>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</si>
  <si>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</si>
  <si>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</si>
  <si>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</si>
  <si>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</si>
  <si>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</si>
  <si>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</si>
  <si>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</si>
  <si>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</si>
  <si>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</si>
  <si>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</si>
  <si>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</si>
  <si>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</si>
  <si>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</si>
  <si>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</si>
  <si>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</si>
  <si>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</si>
  <si>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</si>
  <si>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</si>
  <si>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</si>
  <si>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</si>
  <si>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</si>
  <si>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</si>
  <si>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</si>
  <si>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</si>
  <si>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</si>
  <si>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</si>
  <si>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</si>
  <si>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</si>
  <si>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</si>
  <si>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</si>
  <si>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</si>
  <si>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</si>
  <si>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</si>
  <si>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</si>
  <si>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</si>
  <si>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</si>
  <si>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</si>
  <si>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</si>
  <si>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</si>
  <si>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</si>
  <si>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</si>
  <si>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</si>
  <si>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</si>
  <si>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</si>
  <si>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</si>
  <si>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</si>
  <si>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</si>
  <si>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</si>
  <si>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</si>
  <si>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</si>
  <si>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</si>
  <si>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</si>
  <si>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</si>
  <si>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</si>
  <si>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</si>
  <si>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</si>
  <si>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</si>
  <si>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</si>
  <si>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</si>
  <si>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</si>
  <si>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</si>
  <si>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</si>
  <si>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</si>
  <si>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</si>
  <si>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</si>
  <si>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</si>
  <si>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</si>
  <si>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</si>
  <si>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</si>
  <si>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</si>
  <si>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</si>
  <si>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</si>
  <si>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</si>
  <si>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</si>
  <si>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</si>
  <si>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</si>
  <si>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</si>
  <si>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</si>
  <si>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</si>
  <si>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</si>
  <si>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</si>
  <si>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</si>
  <si>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</si>
  <si>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</si>
  <si>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</si>
  <si>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</si>
  <si>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</si>
  <si>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</si>
  <si>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</si>
  <si>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</si>
  <si>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</si>
  <si>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</si>
  <si>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</si>
  <si>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</si>
  <si>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</si>
  <si>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</si>
  <si>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</si>
  <si>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</si>
  <si>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</si>
  <si>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</si>
  <si>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</si>
  <si>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</si>
  <si>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</si>
  <si>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</si>
  <si>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</si>
  <si>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</si>
  <si>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</si>
  <si>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</si>
  <si>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</si>
  <si>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</si>
  <si>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</si>
  <si>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</si>
  <si>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</si>
  <si>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</si>
  <si>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</si>
  <si>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</si>
  <si>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</si>
  <si>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</si>
  <si>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</si>
  <si>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</si>
  <si>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</si>
  <si>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</si>
  <si>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</si>
  <si>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</si>
  <si>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</si>
  <si>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</si>
  <si>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</si>
  <si>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</si>
  <si>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</si>
  <si>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</si>
  <si>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</si>
  <si>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</si>
  <si>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</si>
  <si>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</si>
  <si>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</si>
  <si>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</si>
  <si>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</si>
  <si>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</si>
  <si>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</si>
  <si>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</si>
  <si>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</si>
  <si>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</si>
  <si>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</si>
  <si>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</si>
  <si>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</si>
  <si>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</si>
  <si>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</si>
  <si>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</si>
  <si>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</si>
  <si>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</si>
  <si>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</si>
  <si>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</si>
  <si>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</si>
  <si>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</si>
  <si>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</si>
  <si>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</si>
  <si>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</si>
  <si>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</si>
  <si>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</si>
  <si>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</si>
  <si>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</si>
  <si>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</si>
  <si>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</si>
  <si>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</si>
  <si>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</si>
  <si>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</si>
  <si>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</si>
  <si>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</si>
  <si>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</si>
  <si>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</si>
  <si>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</si>
  <si>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</si>
  <si>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</si>
  <si>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</si>
  <si>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</si>
  <si>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</si>
  <si>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</si>
  <si>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</si>
  <si>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</si>
  <si>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</si>
  <si>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</si>
  <si>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</si>
  <si>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</si>
  <si>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</si>
  <si>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</si>
  <si>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</si>
  <si>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</si>
  <si>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</si>
  <si>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</si>
  <si>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</si>
  <si>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</si>
  <si>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</si>
  <si>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</si>
  <si>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</si>
  <si>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</si>
  <si>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</si>
  <si>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</si>
  <si>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</si>
  <si>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</si>
  <si>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</si>
  <si>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</si>
  <si>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</si>
  <si>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</si>
  <si>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</si>
  <si>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</si>
  <si>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</si>
  <si>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</si>
  <si>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</si>
  <si>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</si>
  <si>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</si>
  <si>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</si>
  <si>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</si>
  <si>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</si>
  <si>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</si>
  <si>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</si>
  <si>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</si>
  <si>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</si>
  <si>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</si>
  <si>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</si>
  <si>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</si>
  <si>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</si>
  <si>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</si>
  <si>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</si>
  <si>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</si>
  <si>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</si>
  <si>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</si>
  <si>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</si>
  <si>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</si>
  <si>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</si>
  <si>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</si>
  <si>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</si>
  <si>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</si>
  <si>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</si>
  <si>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</si>
  <si>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</si>
  <si>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</si>
  <si>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</si>
  <si>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</si>
  <si>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</si>
  <si>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</si>
  <si>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</si>
  <si>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</si>
  <si>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</si>
  <si>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</si>
  <si>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</si>
  <si>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</si>
  <si>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</si>
  <si>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</si>
  <si>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</si>
  <si>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</si>
  <si>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</si>
  <si>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</si>
  <si>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</si>
  <si>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</si>
  <si>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</si>
  <si>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</si>
  <si>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</si>
  <si>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</si>
  <si>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</si>
  <si>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</si>
  <si>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</si>
  <si>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</si>
  <si>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</si>
  <si>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</si>
  <si>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</si>
  <si>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</si>
  <si>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</si>
  <si>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</si>
  <si>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</si>
  <si>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</si>
  <si>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</si>
  <si>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</si>
  <si>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</si>
  <si>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</si>
  <si>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</si>
  <si>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</si>
  <si>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</si>
  <si>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</si>
  <si>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</si>
  <si>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</si>
  <si>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</si>
  <si>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</si>
  <si>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</si>
  <si>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</si>
  <si>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</si>
  <si>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</si>
  <si>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</si>
  <si>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</si>
  <si>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</si>
  <si>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</si>
  <si>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</si>
  <si>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</si>
  <si>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</si>
  <si>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</si>
  <si>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</si>
  <si>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</si>
  <si>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</si>
  <si>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</si>
  <si>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</si>
  <si>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</si>
  <si>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</si>
  <si>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</si>
  <si>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</si>
  <si>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</si>
  <si>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</si>
  <si>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</si>
  <si>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</si>
  <si>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</si>
  <si>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</si>
  <si>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</si>
  <si>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</si>
  <si>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</si>
  <si>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</si>
  <si>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</si>
  <si>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</si>
  <si>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</si>
  <si>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</si>
  <si>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</si>
  <si>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</si>
  <si>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</si>
  <si>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</si>
  <si>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</si>
  <si>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</si>
  <si>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</si>
  <si>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</si>
  <si>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</si>
  <si>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</si>
  <si>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</si>
  <si>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</si>
  <si>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</si>
  <si>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</si>
  <si>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</si>
  <si>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</si>
  <si>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</si>
  <si>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</si>
  <si>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</si>
  <si>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</si>
  <si>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</si>
  <si>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</si>
  <si>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</si>
  <si>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</si>
  <si>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</si>
  <si>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</si>
  <si>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</si>
  <si>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</si>
  <si>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</si>
  <si>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</si>
  <si>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</si>
  <si>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</si>
  <si>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</si>
  <si>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</si>
  <si>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</si>
  <si>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</si>
  <si>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</si>
  <si>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</si>
  <si>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</si>
  <si>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</si>
  <si>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</si>
  <si>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</si>
  <si>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</si>
  <si>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</si>
  <si>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</si>
  <si>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</si>
  <si>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</si>
  <si>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</si>
  <si>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</si>
  <si>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</si>
  <si>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</si>
  <si>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</si>
  <si>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</si>
  <si>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</si>
  <si>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</si>
  <si>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</si>
  <si>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</si>
  <si>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</si>
  <si>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</si>
  <si>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</si>
  <si>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</si>
  <si>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</si>
  <si>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</si>
  <si>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</si>
  <si>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</si>
  <si>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</si>
  <si>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</si>
  <si>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</si>
  <si>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</si>
  <si>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</si>
  <si>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</si>
  <si>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</si>
  <si>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</si>
  <si>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</si>
  <si>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</si>
  <si>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</si>
  <si>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</si>
  <si>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</si>
  <si>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</si>
  <si>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</si>
  <si>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</si>
  <si>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</si>
  <si>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</si>
  <si>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</si>
  <si>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</si>
  <si>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</si>
  <si>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</si>
  <si>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</si>
  <si>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</si>
  <si>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</si>
  <si>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</si>
  <si>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</si>
  <si>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</si>
  <si>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</si>
  <si>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</si>
  <si>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</si>
  <si>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</si>
  <si>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</si>
  <si>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</si>
  <si>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</si>
  <si>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</si>
  <si>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</si>
  <si>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</si>
  <si>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</si>
  <si>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</si>
  <si>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</si>
  <si>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</si>
  <si>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</si>
  <si>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</si>
  <si>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</si>
  <si>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</si>
  <si>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</si>
  <si>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</si>
  <si>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</si>
  <si>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</si>
  <si>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</si>
  <si>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</si>
  <si>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</si>
  <si>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</si>
  <si>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</si>
  <si>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</si>
  <si>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</si>
  <si>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</si>
  <si>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</si>
  <si>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</si>
  <si>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</si>
  <si>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</si>
  <si>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</si>
  <si>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</si>
  <si>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</si>
  <si>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</si>
  <si>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</si>
  <si>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</si>
  <si>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</si>
  <si>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</si>
  <si>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</si>
  <si>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</si>
  <si>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</si>
  <si>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</si>
  <si>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</si>
  <si>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</si>
  <si>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</si>
  <si>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</si>
  <si>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</si>
  <si>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</si>
  <si>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</si>
  <si>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</si>
  <si>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</si>
  <si>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</si>
  <si>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</si>
  <si>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</si>
  <si>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</si>
  <si>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</si>
  <si>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</si>
  <si>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</si>
  <si>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</si>
  <si>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</si>
  <si>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</si>
  <si>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</si>
  <si>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</si>
  <si>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</si>
  <si>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</si>
  <si>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</si>
  <si>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</si>
  <si>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</si>
  <si>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</si>
  <si>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</si>
  <si>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</si>
  <si>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</si>
  <si>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</si>
  <si>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</si>
  <si>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</si>
  <si>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</si>
  <si>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</si>
  <si>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</si>
  <si>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</si>
  <si>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</si>
  <si>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</si>
  <si>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</si>
  <si>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</si>
  <si>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</si>
  <si>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</si>
  <si>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</si>
  <si>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</si>
  <si>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</si>
  <si>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</si>
  <si>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</si>
  <si>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</si>
  <si>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</si>
  <si>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</si>
  <si>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</si>
  <si>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</si>
  <si>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</si>
  <si>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</si>
  <si>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</si>
  <si>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</si>
  <si>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</si>
  <si>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</si>
  <si>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</si>
  <si>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</si>
  <si>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</si>
  <si>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</si>
  <si>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</si>
  <si>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</si>
  <si>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</si>
  <si>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</si>
  <si>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</si>
  <si>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</si>
  <si>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</si>
  <si>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</si>
  <si>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</si>
  <si>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</si>
  <si>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</si>
  <si>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</si>
  <si>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</si>
  <si>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</si>
  <si>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</si>
  <si>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</si>
  <si>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</si>
  <si>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</si>
  <si>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</si>
  <si>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</si>
  <si>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</si>
  <si>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</si>
  <si>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</si>
  <si>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</si>
  <si>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</si>
  <si>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</si>
  <si>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</si>
  <si>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</si>
  <si>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</si>
  <si>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</si>
  <si>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</si>
  <si>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</si>
  <si>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</si>
  <si>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</si>
  <si>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</si>
  <si>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</si>
  <si>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</si>
  <si>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</si>
  <si>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</si>
  <si>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</si>
  <si>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</si>
  <si>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</si>
  <si>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</si>
  <si>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</si>
  <si>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</si>
  <si>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</si>
  <si>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</si>
  <si>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</si>
  <si>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</si>
  <si>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</si>
  <si>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</si>
  <si>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</si>
  <si>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</si>
  <si>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</si>
  <si>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</si>
  <si>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</si>
  <si>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</si>
  <si>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</si>
  <si>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</si>
  <si>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</si>
  <si>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</si>
  <si>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</si>
  <si>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</si>
  <si>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</si>
  <si>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</si>
  <si>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</si>
  <si>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</si>
  <si>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</si>
  <si>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</si>
  <si>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</si>
  <si>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</si>
  <si>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</si>
  <si>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</si>
  <si>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</si>
  <si>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</si>
  <si>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</si>
  <si>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</si>
  <si>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</si>
  <si>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</si>
  <si>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</si>
  <si>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</si>
  <si>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</si>
  <si>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</si>
  <si>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</si>
  <si>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</si>
  <si>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</si>
  <si>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</si>
  <si>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</si>
  <si>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</si>
  <si>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</si>
  <si>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</si>
  <si>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</si>
  <si>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</si>
  <si>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</si>
  <si>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</si>
  <si>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</si>
  <si>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</si>
  <si>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</si>
  <si>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</si>
  <si>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</si>
  <si>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</si>
  <si>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</si>
  <si>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</si>
  <si>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</si>
  <si>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</si>
  <si>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</si>
  <si>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</si>
  <si>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</si>
  <si>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</si>
  <si>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</si>
  <si>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</si>
  <si>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</si>
  <si>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</si>
  <si>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</si>
  <si>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</si>
  <si>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</si>
  <si>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</si>
  <si>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</si>
  <si>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</si>
  <si>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</si>
  <si>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</si>
  <si>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</si>
  <si>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</si>
  <si>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</si>
  <si>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</si>
  <si>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</si>
  <si>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</si>
  <si>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</si>
  <si>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</si>
  <si>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</si>
  <si>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</si>
  <si>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</si>
  <si>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</si>
  <si>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</si>
  <si>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</si>
  <si>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</si>
  <si>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</si>
  <si>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</si>
  <si>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</si>
  <si>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</si>
  <si>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</si>
  <si>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</si>
  <si>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</si>
  <si>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</si>
  <si>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</si>
  <si>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</si>
  <si>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</si>
  <si>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</si>
  <si>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</si>
  <si>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</si>
  <si>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</si>
  <si>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</si>
  <si>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</si>
  <si>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</si>
  <si>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</si>
  <si>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</si>
  <si>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</si>
  <si>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</si>
  <si>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</si>
  <si>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</si>
  <si>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</si>
  <si>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</si>
  <si>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</si>
  <si>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</si>
  <si>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</si>
  <si>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</si>
  <si>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</si>
  <si>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</si>
  <si>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</si>
  <si>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</si>
  <si>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</si>
  <si>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</si>
  <si>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</si>
  <si>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</si>
  <si>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</si>
  <si>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</si>
  <si>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</si>
  <si>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</si>
  <si>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</si>
  <si>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</si>
  <si>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</si>
  <si>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</si>
  <si>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</si>
  <si>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</si>
  <si>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</si>
  <si>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</si>
  <si>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</si>
  <si>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</si>
  <si>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</si>
  <si>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</si>
  <si>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</si>
  <si>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</si>
  <si>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</si>
  <si>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</si>
  <si>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</si>
  <si>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</si>
  <si>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</si>
  <si>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</si>
  <si>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</si>
  <si>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</si>
  <si>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</si>
  <si>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</si>
  <si>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</si>
  <si>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</si>
  <si>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</si>
  <si>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</si>
  <si>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</si>
  <si>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</si>
  <si>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</si>
  <si>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</si>
  <si>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</si>
  <si>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</si>
  <si>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</si>
  <si>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</si>
  <si>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</si>
  <si>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</si>
  <si>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</si>
  <si>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</si>
  <si>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</si>
  <si>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</si>
  <si>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</si>
  <si>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</si>
  <si>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</si>
  <si>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</si>
  <si>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</si>
  <si>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</si>
  <si>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</si>
  <si>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</si>
  <si>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</si>
  <si>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</si>
  <si>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</si>
  <si>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</si>
  <si>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</si>
  <si>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</si>
  <si>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</si>
  <si>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</si>
  <si>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</si>
  <si>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</si>
  <si>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</si>
  <si>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</si>
  <si>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</si>
  <si>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</si>
  <si>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</si>
  <si>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</si>
  <si>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</si>
  <si>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</si>
  <si>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</si>
  <si>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</si>
  <si>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</si>
  <si>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</si>
  <si>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</si>
  <si>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</si>
  <si>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</si>
  <si>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</si>
  <si>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</si>
  <si>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</si>
  <si>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</si>
  <si>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</si>
  <si>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</si>
  <si>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</si>
  <si>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</si>
  <si>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</si>
  <si>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</si>
  <si>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</si>
  <si>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</si>
  <si>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</si>
  <si>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</si>
  <si>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</si>
  <si>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</si>
  <si>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</si>
  <si>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</si>
  <si>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</si>
  <si>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</si>
  <si>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ЗАТО город Островной</t>
  </si>
  <si>
    <t>47731000</t>
  </si>
  <si>
    <t>ЗАТО поселок Видяево</t>
  </si>
  <si>
    <t>47735000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</si>
  <si>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</si>
  <si>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</si>
  <si>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</si>
  <si>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</si>
  <si>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</si>
  <si>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</si>
  <si>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</si>
  <si>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</si>
  <si>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</si>
  <si>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</si>
  <si>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</si>
  <si>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</si>
  <si>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</si>
  <si>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</si>
  <si>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Туманный</t>
  </si>
  <si>
    <t>47605173</t>
  </si>
  <si>
    <t>Туломское сельское поселение</t>
  </si>
  <si>
    <t>47605406</t>
  </si>
  <si>
    <t>47610000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</si>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</sst>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37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216"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 fontId="22" fillId="36" borderId="12" xfId="0" applyFont="1" applyFill="1" applyBorder="1" applyNumberFormat="1">
      <alignment horizontal="right" vertical="center" wrapText="1"/>
      <protection locked="0"/>
    </xf>
    <xf numFmtId="216" fontId="22" fillId="0" borderId="12" xfId="0" applyFont="1" applyBorder="1" applyNumberFormat="1">
      <alignment horizontal="right" vertical="center" wrapText="1"/>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22" fillId="35" borderId="12" xfId="0" applyFont="1" applyFill="1" applyBorder="1" applyNumberFormat="1">
      <alignment horizontal="left" vertical="center" wrapText="1"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22" fillId="40" borderId="17"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22" fillId="40" borderId="36" xfId="0" applyFont="1" applyFill="1" applyBorder="1" applyNumberFormat="1">
      <alignment horizontal="left" vertical="top"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23" xfId="0" applyFont="1" applyFill="1" applyBorder="1" applyNumberFormat="1">
      <alignment horizontal="left" vertical="top"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216"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 fontId="22" fillId="36" borderId="12" xfId="0" applyFont="1" applyFill="1" applyBorder="1" applyNumberFormat="1">
      <alignment horizontal="right" vertical="center" wrapText="1"/>
      <protection locked="0"/>
    </xf>
    <xf numFmtId="216" fontId="22" fillId="0" borderId="12" xfId="0" applyFont="1" applyBorder="1" applyNumberFormat="1">
      <alignment horizontal="right" vertical="center" wrapText="1"/>
    </xf>
    <xf numFmtId="218"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22" fillId="35" borderId="12" xfId="0" applyFont="1" applyFill="1" applyBorder="1" applyNumberFormat="1">
      <alignment horizontal="left" vertical="center" wrapText="1"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0" fontId="63"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537819&amp;FID=814581" TargetMode="External"/><Relationship Id="rId5"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ff220950-82d1-4d1f-8a71-986a6f24acd5" TargetMode="External"/><Relationship Id="rId6" Type="http://schemas.openxmlformats.org/officeDocument/2006/relationships/hyperlink" Target="https://portal.eias.ru/Portal/DownloadPage.aspx?type=12&amp;guid=ff220950-82d1-4d1f-8a71-986a6f24acd5" TargetMode="External"/><Relationship Id="rId7" Type="http://schemas.openxmlformats.org/officeDocument/2006/relationships/hyperlink" Target="https://portal.eias.ru/Portal/DownloadPage.aspx?type=12&amp;guid=ff220950-82d1-4d1f-8a71-986a6f24acd5" TargetMode="External"/><Relationship Id="rId8" Type="http://schemas.openxmlformats.org/officeDocument/2006/relationships/hyperlink" Target="https://portal.eias.ru/Portal/DownloadPage.aspx?type=12&amp;guid=ff220950-82d1-4d1f-8a71-986a6f24acd5" TargetMode="External"/><Relationship Id="rId9" Type="http://schemas.openxmlformats.org/officeDocument/2006/relationships/hyperlink" Target="https://portal.eias.ru/Portal/DownloadPage.aspx?type=12&amp;guid=ff220950-82d1-4d1f-8a71-986a6f24acd5" TargetMode="External"/><Relationship Id="rId10" Type="http://schemas.openxmlformats.org/officeDocument/2006/relationships/hyperlink" Target="https://portal.eias.ru/Portal/DownloadPage.aspx?type=12&amp;guid=ff220950-82d1-4d1f-8a71-986a6f24acd5" TargetMode="External"/><Relationship Id="rId11" Type="http://schemas.openxmlformats.org/officeDocument/2006/relationships/hyperlink" Target="https://portal.eias.ru/Portal/DownloadPage.aspx?type=12&amp;guid=ff220950-82d1-4d1f-8a71-986a6f24acd5" TargetMode="External"/><Relationship Id="rId12" Type="http://schemas.openxmlformats.org/officeDocument/2006/relationships/hyperlink" Target="https://portal.eias.ru/Portal/DownloadPage.aspx?type=12&amp;guid=ff220950-82d1-4d1f-8a71-986a6f24acd5" TargetMode="External"/><Relationship Id="rId13" Type="http://schemas.openxmlformats.org/officeDocument/2006/relationships/hyperlink" Target="https://portal.eias.ru/Portal/DownloadPage.aspx?type=12&amp;guid=ff220950-82d1-4d1f-8a71-986a6f24acd5" TargetMode="External"/><Relationship Id="rId14" Type="http://schemas.openxmlformats.org/officeDocument/2006/relationships/hyperlink" Target="https://portal.eias.ru/Portal/DownloadPage.aspx?type=12&amp;guid=ff220950-82d1-4d1f-8a71-986a6f24acd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9ADF3-745E-616E-2264-345FE33B21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69" width="5.421875" customWidth="1"/>
    <col min="2" max="2" style="8069" width="9.140625" customWidth="1"/>
    <col min="3" max="3" style="8069" width="16.421875" customWidth="1"/>
    <col min="4" max="25" style="8069" width="6.28125" customWidth="1"/>
    <col min="26" max="28" style="806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B0DC17-EB99-DFD5-DA2E-1188584F6FA1}"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8186" width="10.7109375" hidden="1" customWidth="1"/>
    <col min="2" max="2" style="8187" width="10.7109375" hidden="1" customWidth="1"/>
    <col min="3" max="3" style="8188" width="3.00390625" customWidth="1"/>
    <col min="4" max="4" style="8113" width="1.00390625" customWidth="1"/>
    <col min="5" max="6" style="8113" width="55.00390625" customWidth="1"/>
    <col min="7" max="7" style="8189" width="1.00390625" customWidth="1"/>
    <col min="8" max="8" style="8113" width="18.00390625" hidden="1" customWidth="1"/>
    <col min="9" max="9" style="8190" width="59.00390625" customWidth="1"/>
    <col min="10" max="10" style="8191" width="52.140625" hidden="1" customWidth="1"/>
    <col min="11" max="11" style="8113" width="8.00390625" customWidth="1"/>
    <col min="12" max="12" style="8113" width="77.00390625" customWidth="1"/>
    <col min="13" max="16" style="8113" width="8.00390625" customWidth="1"/>
    <col min="17" max="17" style="8113" width="12.00390625" hidden="1" customWidth="1"/>
  </cols>
  <sheetData>
    <row s="8070" customFormat="1" customHeight="1" ht="3">
      <c r="A1" s="896"/>
      <c r="B1" s="354"/>
      <c r="F1" s="355" t="s">
        <v>13</v>
      </c>
      <c r="G1" s="524"/>
      <c r="H1" s="184"/>
      <c r="I1" s="524"/>
      <c r="J1" s="984"/>
      <c r="Q1" s="355" t="s">
        <v>14</v>
      </c>
    </row>
    <row s="8077"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808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808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8088" customFormat="1" customHeight="1" ht="6.3">
      <c r="A8" s="898"/>
      <c r="B8" s="345"/>
      <c r="C8" s="346"/>
      <c r="D8" s="352"/>
      <c r="E8" s="350"/>
      <c r="F8" s="353"/>
      <c r="G8" s="190"/>
      <c r="H8" s="522"/>
      <c r="I8" s="524"/>
      <c r="J8" s="990"/>
      <c r="Q8" s="349">
        <v>6</v>
      </c>
    </row>
    <row s="811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808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8113" customFormat="1" customHeight="1" ht="22.5" hidden="1">
      <c r="A13" s="901" t="s">
        <v>26</v>
      </c>
      <c r="B13" s="211"/>
      <c r="C13" s="521"/>
      <c r="D13" s="523"/>
      <c r="E13" s="1888" t="s">
        <v>27</v>
      </c>
      <c r="F13" s="1845" t="s">
        <v>28</v>
      </c>
      <c r="G13" s="190"/>
      <c r="H13" s="883"/>
      <c r="I13" s="524"/>
      <c r="J13" s="1889" t="s">
        <v>29</v>
      </c>
      <c r="Q13" s="522">
        <v>0</v>
      </c>
    </row>
    <row s="8113" customFormat="1" customHeight="1" ht="27" hidden="1">
      <c r="A14" s="901" t="s">
        <v>30</v>
      </c>
      <c r="B14" s="211"/>
      <c r="C14" s="521"/>
      <c r="D14" s="523"/>
      <c r="E14" s="1278" t="s">
        <v>31</v>
      </c>
      <c r="F14" s="1880"/>
      <c r="G14" s="190"/>
      <c r="H14" s="883"/>
      <c r="I14" s="524"/>
      <c r="J14" s="989" t="s">
        <v>32</v>
      </c>
      <c r="Q14" s="522">
        <v>0</v>
      </c>
    </row>
    <row s="8113" customFormat="1" customHeight="1" ht="19.5" hidden="1">
      <c r="A15" s="901" t="s">
        <v>33</v>
      </c>
      <c r="B15" s="211"/>
      <c r="C15" s="521"/>
      <c r="D15" s="523"/>
      <c r="E15" s="1278" t="s">
        <v>34</v>
      </c>
      <c r="F15" s="1880"/>
      <c r="G15" s="190"/>
      <c r="H15" s="883"/>
      <c r="I15" s="524"/>
      <c r="J15" s="989" t="s">
        <v>35</v>
      </c>
      <c r="Q15" s="522">
        <v>0</v>
      </c>
    </row>
    <row s="8088"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45646</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5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808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8088" customFormat="1" customHeight="1" ht="11.549999999999999">
      <c r="A35" s="898"/>
      <c r="B35" s="345"/>
      <c r="C35" s="346"/>
      <c r="D35" s="352"/>
      <c r="E35" s="350"/>
      <c r="F35" s="353"/>
      <c r="G35" s="190"/>
      <c r="H35" s="522"/>
      <c r="I35" s="524"/>
      <c r="J35" s="987"/>
      <c r="Q35" s="349">
        <v>11</v>
      </c>
    </row>
    <row customHeight="1" ht="19.5">
      <c r="A36" s="992"/>
      <c r="D36" s="192"/>
      <c r="E36" s="504" t="s">
        <v>54</v>
      </c>
      <c r="F36" s="2868" t="s">
        <v>55</v>
      </c>
      <c r="G36" s="190"/>
      <c r="Q36" s="187">
        <v>0</v>
      </c>
    </row>
    <row customHeight="1" ht="21">
      <c r="A37" s="992"/>
      <c r="D37" s="192"/>
      <c r="E37" s="504" t="s">
        <v>56</v>
      </c>
      <c r="F37" s="2868" t="s">
        <v>57</v>
      </c>
      <c r="G37" s="190"/>
      <c r="Q37" s="187">
        <v>20</v>
      </c>
    </row>
    <row s="8088"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8088" customFormat="1" customHeight="1" ht="6" hidden="1">
      <c r="A40" s="897"/>
      <c r="B40" s="539"/>
      <c r="C40" s="540"/>
      <c r="D40" s="541"/>
      <c r="E40" s="542"/>
      <c r="F40" s="1166"/>
      <c r="G40" s="186"/>
      <c r="H40" s="522"/>
      <c r="I40" s="524"/>
      <c r="J40" s="989"/>
      <c r="Q40" s="543">
        <v>6</v>
      </c>
    </row>
    <row s="811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8088" customFormat="1" customHeight="1" ht="6">
      <c r="A42" s="897"/>
      <c r="B42" s="539"/>
      <c r="C42" s="540"/>
      <c r="D42" s="541"/>
      <c r="E42" s="542"/>
      <c r="F42" s="1166"/>
      <c r="G42" s="186"/>
      <c r="H42" s="522"/>
      <c r="I42" s="524"/>
      <c r="J42" s="987"/>
      <c r="Q42" s="543">
        <v>0</v>
      </c>
    </row>
    <row s="8113" customFormat="1" customHeight="1" ht="27" hidden="1">
      <c r="A43" s="897"/>
      <c r="B43" s="526"/>
      <c r="C43" s="521"/>
      <c r="D43" s="523"/>
      <c r="E43" s="504" t="s">
        <v>59</v>
      </c>
      <c r="F43" s="823" t="s">
        <v>19</v>
      </c>
      <c r="G43" s="186"/>
      <c r="I43" s="524"/>
      <c r="J43" s="989"/>
      <c r="Q43" s="522">
        <v>0</v>
      </c>
    </row>
    <row s="8113" customFormat="1" customHeight="1" ht="27" hidden="1">
      <c r="A44" s="897"/>
      <c r="B44" s="526"/>
      <c r="C44" s="521"/>
      <c r="D44" s="523"/>
      <c r="E44" s="1278" t="s">
        <v>60</v>
      </c>
      <c r="F44" s="2001"/>
      <c r="G44" s="186"/>
      <c r="I44" s="524"/>
      <c r="J44" s="989"/>
      <c r="Q44" s="522">
        <v>0</v>
      </c>
    </row>
    <row s="8088" customFormat="1" customHeight="1" ht="6">
      <c r="A45" s="897"/>
      <c r="B45" s="539"/>
      <c r="C45" s="540"/>
      <c r="D45" s="541"/>
      <c r="E45" s="542"/>
      <c r="F45" s="1166"/>
      <c r="G45" s="186"/>
      <c r="H45" s="522"/>
      <c r="I45" s="524"/>
      <c r="J45" s="989"/>
      <c r="Q45" s="543">
        <v>0</v>
      </c>
    </row>
    <row s="8088" customFormat="1" customHeight="1" ht="24.75">
      <c r="A46" s="897"/>
      <c r="B46" s="539"/>
      <c r="C46" s="540"/>
      <c r="D46" s="541"/>
      <c r="E46" s="1278" t="s">
        <v>61</v>
      </c>
      <c r="F46" s="823" t="s">
        <v>19</v>
      </c>
      <c r="G46" s="186"/>
      <c r="H46" s="522"/>
      <c r="I46" s="524"/>
      <c r="J46" s="989"/>
      <c r="Q46" s="543">
        <v>0</v>
      </c>
    </row>
    <row s="8113" customFormat="1" customHeight="1" ht="24.75">
      <c r="A47" s="897"/>
      <c r="B47" s="526"/>
      <c r="C47" s="521"/>
      <c r="D47" s="523"/>
      <c r="E47" s="1278" t="s">
        <v>62</v>
      </c>
      <c r="F47" s="823" t="s">
        <v>19</v>
      </c>
      <c r="G47" s="186"/>
      <c r="I47" s="524"/>
      <c r="J47" s="989"/>
      <c r="Q47" s="522">
        <v>0</v>
      </c>
    </row>
    <row s="808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8088" customFormat="1" customHeight="1" ht="6" hidden="1">
      <c r="A50" s="898"/>
      <c r="B50" s="539"/>
      <c r="C50" s="540"/>
      <c r="D50" s="352"/>
      <c r="E50" s="350"/>
      <c r="F50" s="353"/>
      <c r="G50" s="190"/>
      <c r="H50" s="522"/>
      <c r="I50" s="524"/>
      <c r="J50" s="989"/>
      <c r="Q50" s="543">
        <v>0</v>
      </c>
    </row>
    <row s="8113" customFormat="1" customHeight="1" ht="28.5" hidden="1">
      <c r="A51" s="899"/>
      <c r="B51" s="526"/>
      <c r="C51" s="643"/>
      <c r="D51" s="644"/>
      <c r="E51" s="504" t="s">
        <v>64</v>
      </c>
      <c r="F51" s="823" t="s">
        <v>19</v>
      </c>
      <c r="G51" s="645"/>
      <c r="I51" s="647"/>
      <c r="J51" s="991"/>
      <c r="P51" s="648"/>
      <c r="Q51" s="646">
        <v>0</v>
      </c>
    </row>
    <row s="8088" customFormat="1" customHeight="1" ht="6" hidden="1">
      <c r="A52" s="898"/>
      <c r="B52" s="539"/>
      <c r="C52" s="540"/>
      <c r="D52" s="352"/>
      <c r="E52" s="350"/>
      <c r="F52" s="353"/>
      <c r="G52" s="190"/>
      <c r="H52" s="522"/>
      <c r="I52" s="524"/>
      <c r="J52" s="987"/>
      <c r="Q52" s="543">
        <v>0</v>
      </c>
    </row>
    <row s="8113" customFormat="1" customHeight="1" ht="27" hidden="1">
      <c r="A53" s="899"/>
      <c r="B53" s="526"/>
      <c r="C53" s="643"/>
      <c r="D53" s="644"/>
      <c r="E53" s="504" t="s">
        <v>65</v>
      </c>
      <c r="F53" s="1161" t="s">
        <v>19</v>
      </c>
      <c r="G53" s="645"/>
      <c r="I53" s="647"/>
      <c r="J53" s="991"/>
      <c r="P53" s="648"/>
      <c r="Q53" s="646">
        <v>0</v>
      </c>
    </row>
    <row s="8113" customFormat="1" customHeight="1" ht="27" hidden="1">
      <c r="A54" s="899"/>
      <c r="B54" s="526"/>
      <c r="C54" s="643"/>
      <c r="D54" s="644"/>
      <c r="E54" s="504" t="s">
        <v>66</v>
      </c>
      <c r="F54" s="1887"/>
      <c r="G54" s="645"/>
      <c r="I54" s="647"/>
      <c r="J54" s="991"/>
      <c r="P54" s="648"/>
      <c r="Q54" s="646">
        <v>0</v>
      </c>
    </row>
    <row s="8088" customFormat="1" customHeight="1" ht="6" hidden="1">
      <c r="A55" s="898"/>
      <c r="B55" s="539"/>
      <c r="C55" s="540"/>
      <c r="D55" s="352"/>
      <c r="E55" s="350"/>
      <c r="F55" s="353"/>
      <c r="G55" s="190"/>
      <c r="H55" s="522"/>
      <c r="I55" s="524"/>
      <c r="J55" s="987"/>
      <c r="Q55" s="543">
        <v>0</v>
      </c>
    </row>
    <row s="8113" customFormat="1" customHeight="1" ht="25.5" hidden="1">
      <c r="A56" s="899"/>
      <c r="B56" s="526"/>
      <c r="C56" s="643"/>
      <c r="D56" s="644"/>
      <c r="E56" s="504" t="s">
        <v>67</v>
      </c>
      <c r="F56" s="1161" t="s">
        <v>19</v>
      </c>
      <c r="G56" s="645"/>
      <c r="I56" s="647"/>
      <c r="J56" s="991"/>
      <c r="P56" s="648"/>
      <c r="Q56" s="646">
        <v>0</v>
      </c>
    </row>
    <row s="8088" customFormat="1" customHeight="1" ht="6" hidden="1">
      <c r="A57" s="898"/>
      <c r="B57" s="539"/>
      <c r="C57" s="540"/>
      <c r="D57" s="352"/>
      <c r="E57" s="350"/>
      <c r="F57" s="353"/>
      <c r="G57" s="190"/>
      <c r="H57" s="522"/>
      <c r="I57" s="524"/>
      <c r="J57" s="987"/>
      <c r="Q57" s="543">
        <v>0</v>
      </c>
    </row>
    <row s="8113" customFormat="1" customHeight="1" ht="15" hidden="1">
      <c r="A58" s="899"/>
      <c r="B58" s="526"/>
      <c r="C58" s="643"/>
      <c r="D58" s="644"/>
      <c r="E58" s="504" t="s">
        <v>68</v>
      </c>
      <c r="F58" s="1161" t="s">
        <v>63</v>
      </c>
      <c r="G58" s="645"/>
      <c r="I58" s="647"/>
      <c r="J58" s="991"/>
      <c r="P58" s="648"/>
      <c r="Q58" s="646">
        <v>0</v>
      </c>
    </row>
    <row s="811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8113" customFormat="1" customHeight="1" ht="15" hidden="1">
      <c r="A60" s="899"/>
      <c r="B60" s="526"/>
      <c r="C60" s="643"/>
      <c r="D60" s="644"/>
      <c r="E60" s="1278" t="s">
        <v>69</v>
      </c>
      <c r="F60" s="1264"/>
      <c r="G60" s="645"/>
      <c r="I60" s="647"/>
      <c r="J60" s="991"/>
      <c r="P60" s="648"/>
      <c r="Q60" s="646">
        <v>0</v>
      </c>
    </row>
    <row s="8088" customFormat="1" customHeight="1" ht="6" hidden="1">
      <c r="A61" s="898"/>
      <c r="B61" s="539"/>
      <c r="C61" s="540"/>
      <c r="D61" s="541"/>
      <c r="E61" s="542"/>
      <c r="F61" s="1166"/>
      <c r="G61" s="186"/>
      <c r="H61" s="522"/>
      <c r="I61" s="524"/>
      <c r="J61" s="989"/>
      <c r="Q61" s="543">
        <v>0</v>
      </c>
    </row>
    <row s="8113" customFormat="1" customHeight="1" ht="33.75" hidden="1">
      <c r="A62" s="898"/>
      <c r="B62" s="211"/>
      <c r="C62" s="521"/>
      <c r="D62" s="523"/>
      <c r="E62" s="1278" t="s">
        <v>70</v>
      </c>
      <c r="F62" s="1784" t="s">
        <v>63</v>
      </c>
      <c r="G62" s="186"/>
      <c r="H62" s="886" t="s">
        <v>22</v>
      </c>
      <c r="I62" s="524"/>
      <c r="J62" s="989"/>
      <c r="Q62" s="522">
        <v>0</v>
      </c>
    </row>
    <row s="8088"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6"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92267E6-C029-D7C8-EA58-E468A8D75382}"/>
    <hyperlink ref="H17" location="Титульный!H9" display="Как заполнить?" tooltip="Помощь по работе с полями отчётной формы" xr:uid="{27F74596-85FC-1BEE-2462-6FA5E5E77F97}"/>
    <hyperlink ref="F24" r:id="rId4" xr:uid="{074E60E7-A5B3-B823-F139-A4AB55206AD6}"/>
    <hyperlink ref="H39" location="Титульный!H9" display="Как заполнить?" tooltip="Помощь по работе с полями отчётной формы" xr:uid="{0DA11FE9-59AC-3536-DB88-6296AA5965C5}"/>
    <hyperlink ref="H62" location="Титульный!H9" display="Как заполнить?" tooltip="Помощь по работе с полями отчётной формы" xr:uid="{FA6DCF66-B777-C82C-2446-B9BA9C07E71C}"/>
    <hyperlink ref="F70" r:id="rId5" tooltip="luhaninaov@mures.ru" xr:uid="{E476923F-9846-955F-49CA-D0A5E1C6367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69DF8-E3C1-D0B4-8E71-D76889750781}" mc:Ignorable="x14ac xr xr2 xr3">
  <sheetPr>
    <tabColor rgb="FFCCCCFF"/>
    <pageSetUpPr fitToPage="1"/>
  </sheetPr>
  <dimension ref="A1:AC83"/>
  <sheetViews>
    <sheetView topLeftCell="A1" showGridLines="0" zoomScale="90" workbookViewId="0">
      <selection activeCell="G71" sqref="G71"/>
    </sheetView>
  </sheetViews>
  <sheetFormatPr defaultColWidth="9.140625" customHeight="1" defaultRowHeight="14.25"/>
  <cols>
    <col min="1" max="1" style="8113" width="8.00390625" hidden="1" customWidth="1"/>
    <col min="2" max="2" style="8191" width="6.00390625" hidden="1" customWidth="1"/>
    <col min="3" max="3" style="8113" width="3.00390625" customWidth="1"/>
    <col min="4" max="4" style="8290" width="3.00390625" customWidth="1"/>
    <col min="5" max="5" style="8113" width="6.00390625" customWidth="1"/>
    <col min="6" max="6" style="8113" width="2.7109375" hidden="1" customWidth="1"/>
    <col min="7" max="7" style="8113" width="46.7109375" customWidth="1"/>
    <col min="8" max="8" style="8113" width="42.00390625" customWidth="1"/>
    <col min="9" max="9" style="8113" width="14.00390625" customWidth="1"/>
    <col min="10" max="10" style="8291" width="3.00390625" customWidth="1"/>
    <col min="11" max="13" style="8291" width="9.140625" hidden="1"/>
    <col min="14" max="14" style="8291" width="25.7109375" hidden="1" customWidth="1"/>
    <col min="15" max="15" style="8291" width="14.421875" hidden="1" customWidth="1"/>
    <col min="16" max="19" style="8292" width="9.140625" hidden="1"/>
    <col min="20" max="27" style="8113" width="9.140625" hidden="1"/>
    <col min="28" max="28" style="8113" width="8.00390625" customWidth="1"/>
    <col min="29" max="29" style="8113" width="9.140625" hidden="1"/>
  </cols>
  <sheetData>
    <row s="8192"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820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8207" customFormat="1" customHeight="1" ht="3">
      <c r="A3" s="871"/>
      <c r="B3" s="530"/>
      <c r="C3" s="871"/>
      <c r="D3" s="277"/>
      <c r="E3" s="216"/>
      <c r="F3" s="622"/>
      <c r="G3" s="216"/>
      <c r="H3" s="216"/>
      <c r="I3" s="279"/>
      <c r="J3" s="360"/>
      <c r="K3" s="268"/>
      <c r="L3" s="268"/>
      <c r="M3" s="268"/>
      <c r="N3" s="339"/>
      <c r="O3" s="268"/>
      <c r="P3" s="338"/>
      <c r="Q3" s="338"/>
      <c r="R3" s="338"/>
      <c r="S3" s="338"/>
      <c r="AC3" s="229">
        <v>3</v>
      </c>
    </row>
    <row s="820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8207" customFormat="1" customHeight="1" ht="3">
      <c r="A5" s="871"/>
      <c r="B5" s="530"/>
      <c r="C5" s="871"/>
      <c r="D5" s="277"/>
      <c r="E5" s="216"/>
      <c r="F5" s="622"/>
      <c r="G5" s="280"/>
      <c r="H5" s="280"/>
      <c r="I5" s="281"/>
      <c r="J5" s="268"/>
      <c r="K5" s="268"/>
      <c r="L5" s="268"/>
      <c r="M5" s="268"/>
      <c r="N5" s="339"/>
      <c r="O5" s="268"/>
      <c r="P5" s="338"/>
      <c r="Q5" s="338"/>
      <c r="R5" s="338"/>
      <c r="S5" s="338"/>
      <c r="AC5" s="229">
        <v>3</v>
      </c>
    </row>
    <row s="820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8207"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8207"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8207"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8207"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8252"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город-герой Мурманск(47701000)</v>
      </c>
      <c r="P13" s="530"/>
      <c r="Q13" s="530"/>
      <c r="R13" s="533"/>
      <c r="S13" s="530"/>
      <c r="T13" s="530"/>
      <c r="U13" s="530"/>
      <c r="V13" s="535"/>
      <c r="W13" s="535"/>
      <c r="X13" s="532"/>
      <c r="Y13" s="532"/>
      <c r="Z13" s="532"/>
      <c r="AA13" s="532"/>
      <c r="AB13" s="532"/>
      <c r="AC13" s="536">
        <v>15</v>
      </c>
    </row>
    <row s="8252"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105</v>
      </c>
      <c r="B15" s="1273"/>
      <c r="C15" s="914" t="s">
        <v>106</v>
      </c>
      <c r="D15" s="1931"/>
      <c r="E15" s="1918" t="str">
        <f>A15</f>
        <v>2</v>
      </c>
      <c r="F15" s="917" t="s">
        <v>107</v>
      </c>
      <c r="G15" s="653" t="str">
        <f>"Территория "&amp;E15</f>
        <v>Территория 2</v>
      </c>
      <c r="H15" s="905"/>
      <c r="I15" s="905"/>
      <c r="J15" s="902"/>
      <c r="K15" s="1737"/>
      <c r="L15" s="1737"/>
      <c r="M15" s="1737"/>
      <c r="N15" s="339"/>
      <c r="O15" s="1737"/>
      <c r="P15" s="338"/>
      <c r="Q15" s="338"/>
      <c r="R15" s="338"/>
      <c r="S15" s="338"/>
      <c r="T15" s="2990"/>
      <c r="U15" s="2990"/>
      <c r="V15" s="2990"/>
      <c r="W15" s="2990"/>
      <c r="X15" s="2990"/>
      <c r="Y15" s="2990"/>
      <c r="Z15" s="2990"/>
      <c r="AA15" s="2990"/>
      <c r="AB15" s="2990"/>
      <c r="AC15" s="2990"/>
    </row>
    <row customHeight="1" ht="15">
      <c r="A16" s="2330"/>
      <c r="B16" s="1273">
        <v>1</v>
      </c>
      <c r="C16" s="1273"/>
      <c r="D16" s="913"/>
      <c r="E16" s="1926" t="str">
        <f>A15&amp;"."&amp;B16</f>
        <v>2.1</v>
      </c>
      <c r="F16" s="916" t="s">
        <v>108</v>
      </c>
      <c r="G16" s="906" t="s">
        <v>109</v>
      </c>
      <c r="H16" s="906" t="s">
        <v>110</v>
      </c>
      <c r="I16" s="904" t="s">
        <v>111</v>
      </c>
      <c r="J16" s="1737"/>
      <c r="K16" s="1749"/>
      <c r="L16" s="1749"/>
      <c r="M16" s="1737" t="str">
        <f t="array" ref="M16:M16">IF(ISERROR(MATCH(MID(N16,1,250),MID(note_ter,1,250),0)),"n","y")</f>
        <v>n</v>
      </c>
      <c r="N16" s="1749"/>
      <c r="O16" s="1737" t="str">
        <f>H16&amp;"("&amp;I16&amp;")"</f>
        <v>городское поселение Кола(47605101)</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104</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92</v>
      </c>
      <c r="B18" s="1273"/>
      <c r="C18" s="914" t="s">
        <v>106</v>
      </c>
      <c r="D18" s="1931"/>
      <c r="E18" s="1918" t="str">
        <f>A18</f>
        <v>3</v>
      </c>
      <c r="F18" s="917" t="s">
        <v>112</v>
      </c>
      <c r="G18" s="653" t="str">
        <f>"Территория "&amp;E18</f>
        <v>Территория 3</v>
      </c>
      <c r="H18" s="905"/>
      <c r="I18" s="905"/>
      <c r="J18" s="902"/>
      <c r="K18" s="1737"/>
      <c r="L18" s="1737"/>
      <c r="M18" s="1737"/>
      <c r="N18" s="339"/>
      <c r="O18" s="1737"/>
      <c r="P18" s="338"/>
      <c r="Q18" s="338"/>
      <c r="R18" s="338"/>
      <c r="S18" s="338"/>
      <c r="T18" s="2990"/>
      <c r="U18" s="2990"/>
      <c r="V18" s="2990"/>
      <c r="W18" s="2990"/>
      <c r="X18" s="2990"/>
      <c r="Y18" s="2990"/>
      <c r="Z18" s="2990"/>
      <c r="AA18" s="2990"/>
      <c r="AB18" s="2990"/>
      <c r="AC18" s="2990"/>
    </row>
    <row customHeight="1" ht="15">
      <c r="A19" s="2330"/>
      <c r="B19" s="1273">
        <v>1</v>
      </c>
      <c r="C19" s="1273"/>
      <c r="D19" s="913"/>
      <c r="E19" s="1926" t="str">
        <f>A18&amp;"."&amp;B19</f>
        <v>3.1</v>
      </c>
      <c r="F19" s="916" t="s">
        <v>113</v>
      </c>
      <c r="G19" s="906" t="s">
        <v>109</v>
      </c>
      <c r="H19" s="906" t="s">
        <v>114</v>
      </c>
      <c r="I19" s="904" t="s">
        <v>115</v>
      </c>
      <c r="J19" s="1737"/>
      <c r="K19" s="1749"/>
      <c r="L19" s="1749"/>
      <c r="M19" s="1737" t="str">
        <f t="array" ref="M19:M19">IF(ISERROR(MATCH(MID(N19,1,250),MID(note_ter,1,250),0)),"n","y")</f>
        <v>n</v>
      </c>
      <c r="N19" s="1749"/>
      <c r="O19" s="1737" t="str">
        <f>H19&amp;"("&amp;I19&amp;")"</f>
        <v>городское поселение Молочный(47605161)</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104</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93</v>
      </c>
      <c r="B21" s="1273"/>
      <c r="C21" s="914" t="s">
        <v>106</v>
      </c>
      <c r="D21" s="1931"/>
      <c r="E21" s="1918" t="str">
        <f>A21</f>
        <v>4</v>
      </c>
      <c r="F21" s="917" t="s">
        <v>116</v>
      </c>
      <c r="G21" s="653" t="str">
        <f>"Территория "&amp;E21</f>
        <v>Территория 4</v>
      </c>
      <c r="H21" s="905"/>
      <c r="I21" s="905"/>
      <c r="J21" s="902"/>
      <c r="K21" s="1737"/>
      <c r="L21" s="1737"/>
      <c r="M21" s="1737"/>
      <c r="N21" s="339"/>
      <c r="O21" s="1737"/>
      <c r="P21" s="338"/>
      <c r="Q21" s="338"/>
      <c r="R21" s="338"/>
      <c r="S21" s="338"/>
      <c r="T21" s="2990"/>
      <c r="U21" s="2990"/>
      <c r="V21" s="2990"/>
      <c r="W21" s="2990"/>
      <c r="X21" s="2990"/>
      <c r="Y21" s="2990"/>
      <c r="Z21" s="2990"/>
      <c r="AA21" s="2990"/>
      <c r="AB21" s="2990"/>
      <c r="AC21" s="2990"/>
    </row>
    <row customHeight="1" ht="15">
      <c r="A22" s="2330"/>
      <c r="B22" s="1273">
        <v>1</v>
      </c>
      <c r="C22" s="1273"/>
      <c r="D22" s="913"/>
      <c r="E22" s="1926" t="str">
        <f>A21&amp;"."&amp;B22</f>
        <v>4.1</v>
      </c>
      <c r="F22" s="916" t="s">
        <v>117</v>
      </c>
      <c r="G22" s="906" t="s">
        <v>109</v>
      </c>
      <c r="H22" s="906" t="s">
        <v>118</v>
      </c>
      <c r="I22" s="904" t="s">
        <v>119</v>
      </c>
      <c r="J22" s="1737"/>
      <c r="K22" s="1749"/>
      <c r="L22" s="1749"/>
      <c r="M22" s="1737" t="str">
        <f t="array" ref="M22:M22">IF(ISERROR(MATCH(MID(N22,1,250),MID(note_ter,1,250),0)),"n","y")</f>
        <v>n</v>
      </c>
      <c r="N22" s="1749"/>
      <c r="O22" s="1737" t="str">
        <f>H22&amp;"("&amp;I22&amp;")"</f>
        <v>Поселок Мурмаши(47605163)</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104</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120</v>
      </c>
      <c r="B24" s="1273"/>
      <c r="C24" s="914" t="s">
        <v>106</v>
      </c>
      <c r="D24" s="1931"/>
      <c r="E24" s="1918" t="str">
        <f>A24</f>
        <v>5</v>
      </c>
      <c r="F24" s="917" t="s">
        <v>121</v>
      </c>
      <c r="G24" s="653" t="str">
        <f>"Территория "&amp;E24</f>
        <v>Территория 5</v>
      </c>
      <c r="H24" s="905"/>
      <c r="I24" s="905"/>
      <c r="J24" s="902"/>
      <c r="K24" s="1737"/>
      <c r="L24" s="1737"/>
      <c r="M24" s="1737"/>
      <c r="N24" s="339"/>
      <c r="O24" s="1737"/>
      <c r="P24" s="338"/>
      <c r="Q24" s="338"/>
      <c r="R24" s="338"/>
      <c r="S24" s="338"/>
      <c r="T24" s="2990"/>
      <c r="U24" s="2990"/>
      <c r="V24" s="2990"/>
      <c r="W24" s="2990"/>
      <c r="X24" s="2990"/>
      <c r="Y24" s="2990"/>
      <c r="Z24" s="2990"/>
      <c r="AA24" s="2990"/>
      <c r="AB24" s="2990"/>
      <c r="AC24" s="2990"/>
    </row>
    <row customHeight="1" ht="15">
      <c r="A25" s="2330"/>
      <c r="B25" s="1273">
        <v>1</v>
      </c>
      <c r="C25" s="1273"/>
      <c r="D25" s="913"/>
      <c r="E25" s="1926" t="str">
        <f>A24&amp;"."&amp;B25</f>
        <v>5.1</v>
      </c>
      <c r="F25" s="916" t="s">
        <v>122</v>
      </c>
      <c r="G25" s="906" t="s">
        <v>109</v>
      </c>
      <c r="H25" s="906" t="s">
        <v>123</v>
      </c>
      <c r="I25" s="904" t="s">
        <v>124</v>
      </c>
      <c r="J25" s="1737"/>
      <c r="K25" s="1749"/>
      <c r="L25" s="1749"/>
      <c r="M25" s="1737" t="str">
        <f t="array" ref="M25:M25">IF(ISERROR(MATCH(MID(N25,1,250),MID(note_ter,1,250),0)),"n","y")</f>
        <v>n</v>
      </c>
      <c r="N25" s="1749"/>
      <c r="O25" s="1737" t="str">
        <f>H25&amp;"("&amp;I25&amp;")"</f>
        <v>Поселок Верхнетуломский(47605154)</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104</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customHeight="1" ht="15">
      <c r="A27" s="2330" t="s">
        <v>94</v>
      </c>
      <c r="B27" s="1273"/>
      <c r="C27" s="914" t="s">
        <v>106</v>
      </c>
      <c r="D27" s="1931"/>
      <c r="E27" s="1918" t="str">
        <f>A27</f>
        <v>6</v>
      </c>
      <c r="F27" s="917" t="s">
        <v>125</v>
      </c>
      <c r="G27" s="653" t="str">
        <f>"Территория "&amp;E27</f>
        <v>Территория 6</v>
      </c>
      <c r="H27" s="905"/>
      <c r="I27" s="905"/>
      <c r="J27" s="902"/>
      <c r="K27" s="1737"/>
      <c r="L27" s="1737"/>
      <c r="M27" s="1737"/>
      <c r="N27" s="339"/>
      <c r="O27" s="1737"/>
      <c r="P27" s="338"/>
      <c r="Q27" s="338"/>
      <c r="R27" s="338"/>
      <c r="S27" s="338"/>
      <c r="T27" s="2990"/>
      <c r="U27" s="2990"/>
      <c r="V27" s="2990"/>
      <c r="W27" s="2990"/>
      <c r="X27" s="2990"/>
      <c r="Y27" s="2990"/>
      <c r="Z27" s="2990"/>
      <c r="AA27" s="2990"/>
      <c r="AB27" s="2990"/>
      <c r="AC27" s="2990"/>
    </row>
    <row customHeight="1" ht="15">
      <c r="A28" s="2330"/>
      <c r="B28" s="1273">
        <v>1</v>
      </c>
      <c r="C28" s="1273"/>
      <c r="D28" s="913"/>
      <c r="E28" s="1926" t="str">
        <f>A27&amp;"."&amp;B28</f>
        <v>6.1</v>
      </c>
      <c r="F28" s="916" t="s">
        <v>126</v>
      </c>
      <c r="G28" s="906" t="s">
        <v>109</v>
      </c>
      <c r="H28" s="906" t="s">
        <v>127</v>
      </c>
      <c r="I28" s="904" t="s">
        <v>128</v>
      </c>
      <c r="J28" s="1737"/>
      <c r="K28" s="1749"/>
      <c r="L28" s="1749"/>
      <c r="M28" s="1737" t="str">
        <f t="array" ref="M28:M28">IF(ISERROR(MATCH(MID(N28,1,250),MID(note_ter,1,250),0)),"n","y")</f>
        <v>n</v>
      </c>
      <c r="N28" s="1749"/>
      <c r="O28" s="1737" t="str">
        <f>H28&amp;"("&amp;I28&amp;")"</f>
        <v>Поселок Кильдинстрой(47605158)</v>
      </c>
      <c r="P28" s="1273"/>
      <c r="Q28" s="1273"/>
      <c r="R28" s="533"/>
      <c r="S28" s="1273"/>
      <c r="T28" s="1273"/>
      <c r="U28" s="1273"/>
      <c r="V28" s="535"/>
      <c r="W28" s="535"/>
      <c r="X28" s="532"/>
      <c r="Y28" s="532"/>
      <c r="Z28" s="532"/>
      <c r="AA28" s="532"/>
      <c r="AB28" s="532"/>
      <c r="AC28" s="532"/>
    </row>
    <row customHeight="1" ht="15">
      <c r="A29" s="2330"/>
      <c r="B29" s="1273"/>
      <c r="C29" s="525"/>
      <c r="D29" s="914"/>
      <c r="E29" s="534"/>
      <c r="F29" s="290"/>
      <c r="G29" s="528" t="s">
        <v>104</v>
      </c>
      <c r="H29" s="300"/>
      <c r="I29" s="537"/>
      <c r="J29" s="1749"/>
      <c r="K29" s="1749"/>
      <c r="L29" s="1749"/>
      <c r="M29" s="1749"/>
      <c r="N29" s="1737"/>
      <c r="O29" s="1749"/>
      <c r="P29" s="1273"/>
      <c r="Q29" s="1273"/>
      <c r="R29" s="533"/>
      <c r="S29" s="1273"/>
      <c r="T29" s="1273"/>
      <c r="U29" s="1273"/>
      <c r="V29" s="535"/>
      <c r="W29" s="535"/>
      <c r="X29" s="532"/>
      <c r="Y29" s="532"/>
      <c r="Z29" s="532"/>
      <c r="AA29" s="532"/>
      <c r="AB29" s="532"/>
      <c r="AC29" s="532"/>
    </row>
    <row customHeight="1" ht="15">
      <c r="A30" s="2330" t="s">
        <v>95</v>
      </c>
      <c r="B30" s="1273"/>
      <c r="C30" s="914" t="s">
        <v>106</v>
      </c>
      <c r="D30" s="1931"/>
      <c r="E30" s="1918" t="str">
        <f>A30</f>
        <v>7</v>
      </c>
      <c r="F30" s="917" t="s">
        <v>129</v>
      </c>
      <c r="G30" s="653" t="str">
        <f>"Территория "&amp;E30</f>
        <v>Территория 7</v>
      </c>
      <c r="H30" s="905"/>
      <c r="I30" s="905"/>
      <c r="J30" s="902"/>
      <c r="K30" s="1737"/>
      <c r="L30" s="1737"/>
      <c r="M30" s="1737"/>
      <c r="N30" s="339"/>
      <c r="O30" s="1737"/>
      <c r="P30" s="338"/>
      <c r="Q30" s="338"/>
      <c r="R30" s="338"/>
      <c r="S30" s="338"/>
      <c r="T30" s="2990"/>
      <c r="U30" s="2990"/>
      <c r="V30" s="2990"/>
      <c r="W30" s="2990"/>
      <c r="X30" s="2990"/>
      <c r="Y30" s="2990"/>
      <c r="Z30" s="2990"/>
      <c r="AA30" s="2990"/>
      <c r="AB30" s="2990"/>
      <c r="AC30" s="2990"/>
    </row>
    <row customHeight="1" ht="15">
      <c r="A31" s="2330"/>
      <c r="B31" s="1273">
        <v>1</v>
      </c>
      <c r="C31" s="1273"/>
      <c r="D31" s="913"/>
      <c r="E31" s="1926" t="str">
        <f>A30&amp;"."&amp;B31</f>
        <v>7.1</v>
      </c>
      <c r="F31" s="916" t="s">
        <v>130</v>
      </c>
      <c r="G31" s="906" t="s">
        <v>131</v>
      </c>
      <c r="H31" s="906" t="s">
        <v>132</v>
      </c>
      <c r="I31" s="904" t="s">
        <v>133</v>
      </c>
      <c r="J31" s="1737"/>
      <c r="K31" s="1749"/>
      <c r="L31" s="1749"/>
      <c r="M31" s="1737" t="str">
        <f t="array" ref="M31:M31">IF(ISERROR(MATCH(MID(N31,1,250),MID(note_ter,1,250),0)),"n","y")</f>
        <v>n</v>
      </c>
      <c r="N31" s="1749"/>
      <c r="O31" s="1737" t="str">
        <f>H31&amp;"("&amp;I31&amp;")"</f>
        <v>сельское поселение Ловозеро(47610401)</v>
      </c>
      <c r="P31" s="1273"/>
      <c r="Q31" s="1273"/>
      <c r="R31" s="533"/>
      <c r="S31" s="1273"/>
      <c r="T31" s="1273"/>
      <c r="U31" s="1273"/>
      <c r="V31" s="535"/>
      <c r="W31" s="535"/>
      <c r="X31" s="532"/>
      <c r="Y31" s="532"/>
      <c r="Z31" s="532"/>
      <c r="AA31" s="532"/>
      <c r="AB31" s="532"/>
      <c r="AC31" s="532"/>
    </row>
    <row customHeight="1" ht="15">
      <c r="A32" s="2330"/>
      <c r="B32" s="1273"/>
      <c r="C32" s="525"/>
      <c r="D32" s="914"/>
      <c r="E32" s="534"/>
      <c r="F32" s="290"/>
      <c r="G32" s="528" t="s">
        <v>104</v>
      </c>
      <c r="H32" s="300"/>
      <c r="I32" s="537"/>
      <c r="J32" s="1749"/>
      <c r="K32" s="1749"/>
      <c r="L32" s="1749"/>
      <c r="M32" s="1749"/>
      <c r="N32" s="1737"/>
      <c r="O32" s="1749"/>
      <c r="P32" s="1273"/>
      <c r="Q32" s="1273"/>
      <c r="R32" s="533"/>
      <c r="S32" s="1273"/>
      <c r="T32" s="1273"/>
      <c r="U32" s="1273"/>
      <c r="V32" s="535"/>
      <c r="W32" s="535"/>
      <c r="X32" s="532"/>
      <c r="Y32" s="532"/>
      <c r="Z32" s="532"/>
      <c r="AA32" s="532"/>
      <c r="AB32" s="532"/>
      <c r="AC32" s="532"/>
    </row>
    <row customHeight="1" ht="15">
      <c r="A33" s="2330" t="s">
        <v>134</v>
      </c>
      <c r="B33" s="1273"/>
      <c r="C33" s="914" t="s">
        <v>106</v>
      </c>
      <c r="D33" s="1931"/>
      <c r="E33" s="1918" t="str">
        <f>A33</f>
        <v>8</v>
      </c>
      <c r="F33" s="917" t="s">
        <v>135</v>
      </c>
      <c r="G33" s="653" t="str">
        <f>"Территория "&amp;E33</f>
        <v>Территория 8</v>
      </c>
      <c r="H33" s="905"/>
      <c r="I33" s="905"/>
      <c r="J33" s="902"/>
      <c r="K33" s="1737"/>
      <c r="L33" s="1737"/>
      <c r="M33" s="1737"/>
      <c r="N33" s="339"/>
      <c r="O33" s="1737"/>
      <c r="P33" s="338"/>
      <c r="Q33" s="338"/>
      <c r="R33" s="338"/>
      <c r="S33" s="338"/>
      <c r="T33" s="2990"/>
      <c r="U33" s="2990"/>
      <c r="V33" s="2990"/>
      <c r="W33" s="2990"/>
      <c r="X33" s="2990"/>
      <c r="Y33" s="2990"/>
      <c r="Z33" s="2990"/>
      <c r="AA33" s="2990"/>
      <c r="AB33" s="2990"/>
      <c r="AC33" s="2990"/>
    </row>
    <row customHeight="1" ht="15">
      <c r="A34" s="2330"/>
      <c r="B34" s="1273">
        <v>1</v>
      </c>
      <c r="C34" s="1273"/>
      <c r="D34" s="913"/>
      <c r="E34" s="1926" t="str">
        <f>A33&amp;"."&amp;B34</f>
        <v>8.1</v>
      </c>
      <c r="F34" s="916" t="s">
        <v>136</v>
      </c>
      <c r="G34" s="906" t="s">
        <v>131</v>
      </c>
      <c r="H34" s="906" t="s">
        <v>137</v>
      </c>
      <c r="I34" s="904" t="s">
        <v>138</v>
      </c>
      <c r="J34" s="1737"/>
      <c r="K34" s="1749"/>
      <c r="L34" s="1749"/>
      <c r="M34" s="1737" t="str">
        <f t="array" ref="M34:M34">IF(ISERROR(MATCH(MID(N34,1,250),MID(note_ter,1,250),0)),"n","y")</f>
        <v>n</v>
      </c>
      <c r="N34" s="1749"/>
      <c r="O34" s="1737" t="str">
        <f>H34&amp;"("&amp;I34&amp;")"</f>
        <v>Поселок Ревда(47610154)</v>
      </c>
      <c r="P34" s="1273"/>
      <c r="Q34" s="1273"/>
      <c r="R34" s="533"/>
      <c r="S34" s="1273"/>
      <c r="T34" s="1273"/>
      <c r="U34" s="1273"/>
      <c r="V34" s="535"/>
      <c r="W34" s="535"/>
      <c r="X34" s="532"/>
      <c r="Y34" s="532"/>
      <c r="Z34" s="532"/>
      <c r="AA34" s="532"/>
      <c r="AB34" s="532"/>
      <c r="AC34" s="532"/>
    </row>
    <row customHeight="1" ht="15">
      <c r="A35" s="2330"/>
      <c r="B35" s="1273"/>
      <c r="C35" s="525"/>
      <c r="D35" s="914"/>
      <c r="E35" s="534"/>
      <c r="F35" s="290"/>
      <c r="G35" s="528" t="s">
        <v>104</v>
      </c>
      <c r="H35" s="300"/>
      <c r="I35" s="537"/>
      <c r="J35" s="1749"/>
      <c r="K35" s="1749"/>
      <c r="L35" s="1749"/>
      <c r="M35" s="1749"/>
      <c r="N35" s="1737"/>
      <c r="O35" s="1749"/>
      <c r="P35" s="1273"/>
      <c r="Q35" s="1273"/>
      <c r="R35" s="533"/>
      <c r="S35" s="1273"/>
      <c r="T35" s="1273"/>
      <c r="U35" s="1273"/>
      <c r="V35" s="535"/>
      <c r="W35" s="535"/>
      <c r="X35" s="532"/>
      <c r="Y35" s="532"/>
      <c r="Z35" s="532"/>
      <c r="AA35" s="532"/>
      <c r="AB35" s="532"/>
      <c r="AC35" s="532"/>
    </row>
    <row customHeight="1" ht="15">
      <c r="A36" s="2330" t="s">
        <v>139</v>
      </c>
      <c r="B36" s="1273"/>
      <c r="C36" s="914" t="s">
        <v>106</v>
      </c>
      <c r="D36" s="1931"/>
      <c r="E36" s="1918" t="str">
        <f>A36</f>
        <v>9</v>
      </c>
      <c r="F36" s="917" t="s">
        <v>140</v>
      </c>
      <c r="G36" s="653" t="str">
        <f>"Территория "&amp;E36</f>
        <v>Территория 9</v>
      </c>
      <c r="H36" s="905"/>
      <c r="I36" s="905"/>
      <c r="J36" s="902"/>
      <c r="K36" s="1737"/>
      <c r="L36" s="1737"/>
      <c r="M36" s="1737"/>
      <c r="N36" s="339"/>
      <c r="O36" s="1737"/>
      <c r="P36" s="338"/>
      <c r="Q36" s="338"/>
      <c r="R36" s="338"/>
      <c r="S36" s="338"/>
      <c r="T36" s="2990"/>
      <c r="U36" s="2990"/>
      <c r="V36" s="2990"/>
      <c r="W36" s="2990"/>
      <c r="X36" s="2990"/>
      <c r="Y36" s="2990"/>
      <c r="Z36" s="2990"/>
      <c r="AA36" s="2990"/>
      <c r="AB36" s="2990"/>
      <c r="AC36" s="2990"/>
    </row>
    <row customHeight="1" ht="15">
      <c r="A37" s="2330"/>
      <c r="B37" s="1273">
        <v>1</v>
      </c>
      <c r="C37" s="1273"/>
      <c r="D37" s="913"/>
      <c r="E37" s="1926" t="str">
        <f>A36&amp;"."&amp;B37</f>
        <v>9.1</v>
      </c>
      <c r="F37" s="916" t="s">
        <v>141</v>
      </c>
      <c r="G37" s="906" t="s">
        <v>142</v>
      </c>
      <c r="H37" s="906" t="s">
        <v>142</v>
      </c>
      <c r="I37" s="904" t="s">
        <v>143</v>
      </c>
      <c r="J37" s="1737"/>
      <c r="K37" s="1749"/>
      <c r="L37" s="1749"/>
      <c r="M37" s="1737" t="str">
        <f t="array" ref="M37:M37">IF(ISERROR(MATCH(MID(N37,1,250),MID(note_ter,1,250),0)),"n","y")</f>
        <v>n</v>
      </c>
      <c r="N37" s="1749"/>
      <c r="O37" s="1737" t="str">
        <f>H37&amp;"("&amp;I37&amp;")"</f>
        <v>город Оленегорск(47526000)</v>
      </c>
      <c r="P37" s="1273"/>
      <c r="Q37" s="1273"/>
      <c r="R37" s="533"/>
      <c r="S37" s="1273"/>
      <c r="T37" s="1273"/>
      <c r="U37" s="1273"/>
      <c r="V37" s="535"/>
      <c r="W37" s="535"/>
      <c r="X37" s="532"/>
      <c r="Y37" s="532"/>
      <c r="Z37" s="532"/>
      <c r="AA37" s="532"/>
      <c r="AB37" s="532"/>
      <c r="AC37" s="532"/>
    </row>
    <row customHeight="1" ht="15">
      <c r="A38" s="2330"/>
      <c r="B38" s="1273"/>
      <c r="C38" s="525"/>
      <c r="D38" s="914"/>
      <c r="E38" s="534"/>
      <c r="F38" s="290"/>
      <c r="G38" s="528" t="s">
        <v>104</v>
      </c>
      <c r="H38" s="300"/>
      <c r="I38" s="537"/>
      <c r="J38" s="1749"/>
      <c r="K38" s="1749"/>
      <c r="L38" s="1749"/>
      <c r="M38" s="1749"/>
      <c r="N38" s="1737"/>
      <c r="O38" s="1749"/>
      <c r="P38" s="1273"/>
      <c r="Q38" s="1273"/>
      <c r="R38" s="533"/>
      <c r="S38" s="1273"/>
      <c r="T38" s="1273"/>
      <c r="U38" s="1273"/>
      <c r="V38" s="535"/>
      <c r="W38" s="535"/>
      <c r="X38" s="532"/>
      <c r="Y38" s="532"/>
      <c r="Z38" s="532"/>
      <c r="AA38" s="532"/>
      <c r="AB38" s="532"/>
      <c r="AC38" s="532"/>
    </row>
    <row customHeight="1" ht="15">
      <c r="A39" s="2330" t="s">
        <v>144</v>
      </c>
      <c r="B39" s="1273"/>
      <c r="C39" s="914" t="s">
        <v>106</v>
      </c>
      <c r="D39" s="1931"/>
      <c r="E39" s="1918" t="str">
        <f>A39</f>
        <v>10</v>
      </c>
      <c r="F39" s="917" t="s">
        <v>145</v>
      </c>
      <c r="G39" s="653" t="str">
        <f>"Территория "&amp;E39</f>
        <v>Территория 10</v>
      </c>
      <c r="H39" s="905"/>
      <c r="I39" s="905"/>
      <c r="J39" s="902"/>
      <c r="K39" s="1737"/>
      <c r="L39" s="1737"/>
      <c r="M39" s="1737"/>
      <c r="N39" s="339"/>
      <c r="O39" s="1737"/>
      <c r="P39" s="338"/>
      <c r="Q39" s="338"/>
      <c r="R39" s="338"/>
      <c r="S39" s="338"/>
      <c r="T39" s="2990"/>
      <c r="U39" s="2990"/>
      <c r="V39" s="2990"/>
      <c r="W39" s="2990"/>
      <c r="X39" s="2990"/>
      <c r="Y39" s="2990"/>
      <c r="Z39" s="2990"/>
      <c r="AA39" s="2990"/>
      <c r="AB39" s="2990"/>
      <c r="AC39" s="2990"/>
    </row>
    <row customHeight="1" ht="15">
      <c r="A40" s="2330"/>
      <c r="B40" s="1273">
        <v>1</v>
      </c>
      <c r="C40" s="1273"/>
      <c r="D40" s="913"/>
      <c r="E40" s="1926" t="str">
        <f>A39&amp;"."&amp;B40</f>
        <v>10.1</v>
      </c>
      <c r="F40" s="916" t="s">
        <v>93</v>
      </c>
      <c r="G40" s="906" t="s">
        <v>146</v>
      </c>
      <c r="H40" s="906" t="s">
        <v>146</v>
      </c>
      <c r="I40" s="904" t="s">
        <v>147</v>
      </c>
      <c r="J40" s="1737"/>
      <c r="K40" s="1749"/>
      <c r="L40" s="1749"/>
      <c r="M40" s="1737" t="str">
        <f t="array" ref="M40:M40">IF(ISERROR(MATCH(MID(N40,1,250),MID(note_ter,1,250),0)),"n","y")</f>
        <v>n</v>
      </c>
      <c r="N40" s="1749"/>
      <c r="O40" s="1737" t="str">
        <f>H40&amp;"("&amp;I40&amp;")"</f>
        <v>ЗАТО город Североморск(47730000)</v>
      </c>
      <c r="P40" s="1273"/>
      <c r="Q40" s="1273"/>
      <c r="R40" s="533"/>
      <c r="S40" s="1273"/>
      <c r="T40" s="1273"/>
      <c r="U40" s="1273"/>
      <c r="V40" s="535"/>
      <c r="W40" s="535"/>
      <c r="X40" s="532"/>
      <c r="Y40" s="532"/>
      <c r="Z40" s="532"/>
      <c r="AA40" s="532"/>
      <c r="AB40" s="532"/>
      <c r="AC40" s="532"/>
    </row>
    <row customHeight="1" ht="15">
      <c r="A41" s="2330"/>
      <c r="B41" s="1273"/>
      <c r="C41" s="525"/>
      <c r="D41" s="914"/>
      <c r="E41" s="534"/>
      <c r="F41" s="290"/>
      <c r="G41" s="528" t="s">
        <v>104</v>
      </c>
      <c r="H41" s="300"/>
      <c r="I41" s="537"/>
      <c r="J41" s="1749"/>
      <c r="K41" s="1749"/>
      <c r="L41" s="1749"/>
      <c r="M41" s="1749"/>
      <c r="N41" s="1737"/>
      <c r="O41" s="1749"/>
      <c r="P41" s="1273"/>
      <c r="Q41" s="1273"/>
      <c r="R41" s="533"/>
      <c r="S41" s="1273"/>
      <c r="T41" s="1273"/>
      <c r="U41" s="1273"/>
      <c r="V41" s="535"/>
      <c r="W41" s="535"/>
      <c r="X41" s="532"/>
      <c r="Y41" s="532"/>
      <c r="Z41" s="532"/>
      <c r="AA41" s="532"/>
      <c r="AB41" s="532"/>
      <c r="AC41" s="532"/>
    </row>
    <row customHeight="1" ht="15">
      <c r="A42" s="2330" t="s">
        <v>148</v>
      </c>
      <c r="B42" s="1273"/>
      <c r="C42" s="914" t="s">
        <v>106</v>
      </c>
      <c r="D42" s="1931"/>
      <c r="E42" s="1918" t="str">
        <f>A42</f>
        <v>11</v>
      </c>
      <c r="F42" s="917" t="s">
        <v>149</v>
      </c>
      <c r="G42" s="653" t="str">
        <f>"Территория "&amp;E42</f>
        <v>Территория 11</v>
      </c>
      <c r="H42" s="905"/>
      <c r="I42" s="905"/>
      <c r="J42" s="902"/>
      <c r="K42" s="1737"/>
      <c r="L42" s="1737"/>
      <c r="M42" s="1737"/>
      <c r="N42" s="339"/>
      <c r="O42" s="1737"/>
      <c r="P42" s="338"/>
      <c r="Q42" s="338"/>
      <c r="R42" s="338"/>
      <c r="S42" s="338"/>
      <c r="T42" s="2990"/>
      <c r="U42" s="2990"/>
      <c r="V42" s="2990"/>
      <c r="W42" s="2990"/>
      <c r="X42" s="2990"/>
      <c r="Y42" s="2990"/>
      <c r="Z42" s="2990"/>
      <c r="AA42" s="2990"/>
      <c r="AB42" s="2990"/>
      <c r="AC42" s="2990"/>
    </row>
    <row customHeight="1" ht="15">
      <c r="A43" s="2330"/>
      <c r="B43" s="1273">
        <v>1</v>
      </c>
      <c r="C43" s="1273"/>
      <c r="D43" s="913"/>
      <c r="E43" s="1926" t="str">
        <f>A42&amp;"."&amp;B43</f>
        <v>11.1</v>
      </c>
      <c r="F43" s="916" t="s">
        <v>150</v>
      </c>
      <c r="G43" s="906" t="s">
        <v>151</v>
      </c>
      <c r="H43" s="906" t="s">
        <v>151</v>
      </c>
      <c r="I43" s="904" t="s">
        <v>152</v>
      </c>
      <c r="J43" s="1737"/>
      <c r="K43" s="1749"/>
      <c r="L43" s="1749"/>
      <c r="M43" s="1737" t="str">
        <f t="array" ref="M43:M43">IF(ISERROR(MATCH(MID(N43,1,250),MID(note_ter,1,250),0)),"n","y")</f>
        <v>n</v>
      </c>
      <c r="N43" s="1749"/>
      <c r="O43" s="1737" t="str">
        <f>H43&amp;"("&amp;I43&amp;")"</f>
        <v>Печенгский муниципальный округ(47515000)</v>
      </c>
      <c r="P43" s="1273"/>
      <c r="Q43" s="1273"/>
      <c r="R43" s="533"/>
      <c r="S43" s="1273"/>
      <c r="T43" s="1273"/>
      <c r="U43" s="1273"/>
      <c r="V43" s="535"/>
      <c r="W43" s="535"/>
      <c r="X43" s="532"/>
      <c r="Y43" s="532"/>
      <c r="Z43" s="532"/>
      <c r="AA43" s="532"/>
      <c r="AB43" s="532"/>
      <c r="AC43" s="532"/>
    </row>
    <row customHeight="1" ht="15">
      <c r="A44" s="2330"/>
      <c r="B44" s="1273"/>
      <c r="C44" s="525"/>
      <c r="D44" s="914"/>
      <c r="E44" s="534"/>
      <c r="F44" s="290"/>
      <c r="G44" s="528" t="s">
        <v>104</v>
      </c>
      <c r="H44" s="300"/>
      <c r="I44" s="537"/>
      <c r="J44" s="1749"/>
      <c r="K44" s="1749"/>
      <c r="L44" s="1749"/>
      <c r="M44" s="1749"/>
      <c r="N44" s="1737"/>
      <c r="O44" s="1749"/>
      <c r="P44" s="1273"/>
      <c r="Q44" s="1273"/>
      <c r="R44" s="533"/>
      <c r="S44" s="1273"/>
      <c r="T44" s="1273"/>
      <c r="U44" s="1273"/>
      <c r="V44" s="535"/>
      <c r="W44" s="535"/>
      <c r="X44" s="532"/>
      <c r="Y44" s="532"/>
      <c r="Z44" s="532"/>
      <c r="AA44" s="532"/>
      <c r="AB44" s="532"/>
      <c r="AC44" s="532"/>
    </row>
    <row customHeight="1" ht="15">
      <c r="A45" s="2330" t="s">
        <v>153</v>
      </c>
      <c r="B45" s="1273"/>
      <c r="C45" s="914" t="s">
        <v>106</v>
      </c>
      <c r="D45" s="1931"/>
      <c r="E45" s="1918" t="str">
        <f>A45</f>
        <v>12</v>
      </c>
      <c r="F45" s="917" t="s">
        <v>154</v>
      </c>
      <c r="G45" s="653" t="str">
        <f>"Территория "&amp;E45</f>
        <v>Территория 12</v>
      </c>
      <c r="H45" s="905"/>
      <c r="I45" s="905"/>
      <c r="J45" s="902"/>
      <c r="K45" s="1737"/>
      <c r="L45" s="1737"/>
      <c r="M45" s="1737"/>
      <c r="N45" s="339"/>
      <c r="O45" s="1737"/>
      <c r="P45" s="338"/>
      <c r="Q45" s="338"/>
      <c r="R45" s="338"/>
      <c r="S45" s="338"/>
      <c r="T45" s="2990"/>
      <c r="U45" s="2990"/>
      <c r="V45" s="2990"/>
      <c r="W45" s="2990"/>
      <c r="X45" s="2990"/>
      <c r="Y45" s="2990"/>
      <c r="Z45" s="2990"/>
      <c r="AA45" s="2990"/>
      <c r="AB45" s="2990"/>
      <c r="AC45" s="2990"/>
    </row>
    <row customHeight="1" ht="15">
      <c r="A46" s="2330"/>
      <c r="B46" s="1273">
        <v>1</v>
      </c>
      <c r="C46" s="1273"/>
      <c r="D46" s="913"/>
      <c r="E46" s="1926" t="str">
        <f>A45&amp;"."&amp;B46</f>
        <v>12.1</v>
      </c>
      <c r="F46" s="916" t="s">
        <v>155</v>
      </c>
      <c r="G46" s="906" t="s">
        <v>156</v>
      </c>
      <c r="H46" s="906" t="s">
        <v>156</v>
      </c>
      <c r="I46" s="904" t="s">
        <v>157</v>
      </c>
      <c r="J46" s="1737"/>
      <c r="K46" s="1749"/>
      <c r="L46" s="1749"/>
      <c r="M46" s="1737" t="str">
        <f t="array" ref="M46:M46">IF(ISERROR(MATCH(MID(N46,1,250),MID(note_ter,1,250),0)),"n","y")</f>
        <v>n</v>
      </c>
      <c r="N46" s="1749"/>
      <c r="O46" s="1737" t="str">
        <f>H46&amp;"("&amp;I46&amp;")"</f>
        <v>ЗАТО город Александровск(47737000)</v>
      </c>
      <c r="P46" s="1273"/>
      <c r="Q46" s="1273"/>
      <c r="R46" s="533"/>
      <c r="S46" s="1273"/>
      <c r="T46" s="1273"/>
      <c r="U46" s="1273"/>
      <c r="V46" s="535"/>
      <c r="W46" s="535"/>
      <c r="X46" s="532"/>
      <c r="Y46" s="532"/>
      <c r="Z46" s="532"/>
      <c r="AA46" s="532"/>
      <c r="AB46" s="532"/>
      <c r="AC46" s="532"/>
    </row>
    <row customHeight="1" ht="15">
      <c r="A47" s="2330"/>
      <c r="B47" s="1273"/>
      <c r="C47" s="525"/>
      <c r="D47" s="914"/>
      <c r="E47" s="534"/>
      <c r="F47" s="290"/>
      <c r="G47" s="528" t="s">
        <v>104</v>
      </c>
      <c r="H47" s="300"/>
      <c r="I47" s="537"/>
      <c r="J47" s="1749"/>
      <c r="K47" s="1749"/>
      <c r="L47" s="1749"/>
      <c r="M47" s="1749"/>
      <c r="N47" s="1737"/>
      <c r="O47" s="1749"/>
      <c r="P47" s="1273"/>
      <c r="Q47" s="1273"/>
      <c r="R47" s="533"/>
      <c r="S47" s="1273"/>
      <c r="T47" s="1273"/>
      <c r="U47" s="1273"/>
      <c r="V47" s="535"/>
      <c r="W47" s="535"/>
      <c r="X47" s="532"/>
      <c r="Y47" s="532"/>
      <c r="Z47" s="532"/>
      <c r="AA47" s="532"/>
      <c r="AB47" s="532"/>
      <c r="AC47" s="532"/>
    </row>
    <row customHeight="1" ht="15">
      <c r="A48" s="2330" t="s">
        <v>158</v>
      </c>
      <c r="B48" s="1273"/>
      <c r="C48" s="914" t="s">
        <v>106</v>
      </c>
      <c r="D48" s="1931"/>
      <c r="E48" s="1918" t="str">
        <f>A48</f>
        <v>13</v>
      </c>
      <c r="F48" s="917" t="s">
        <v>159</v>
      </c>
      <c r="G48" s="653" t="str">
        <f>"Территория "&amp;E48</f>
        <v>Территория 13</v>
      </c>
      <c r="H48" s="905"/>
      <c r="I48" s="905"/>
      <c r="J48" s="902"/>
      <c r="K48" s="1737"/>
      <c r="L48" s="1737"/>
      <c r="M48" s="1737"/>
      <c r="N48" s="339"/>
      <c r="O48" s="1737"/>
      <c r="P48" s="338"/>
      <c r="Q48" s="338"/>
      <c r="R48" s="338"/>
      <c r="S48" s="338"/>
      <c r="T48" s="2990"/>
      <c r="U48" s="2990"/>
      <c r="V48" s="2990"/>
      <c r="W48" s="2990"/>
      <c r="X48" s="2990"/>
      <c r="Y48" s="2990"/>
      <c r="Z48" s="2990"/>
      <c r="AA48" s="2990"/>
      <c r="AB48" s="2990"/>
      <c r="AC48" s="2990"/>
    </row>
    <row customHeight="1" ht="15">
      <c r="A49" s="2330"/>
      <c r="B49" s="1273">
        <v>1</v>
      </c>
      <c r="C49" s="1273"/>
      <c r="D49" s="913"/>
      <c r="E49" s="1926" t="str">
        <f>A48&amp;"."&amp;B49</f>
        <v>13.1</v>
      </c>
      <c r="F49" s="916" t="s">
        <v>139</v>
      </c>
      <c r="G49" s="906" t="s">
        <v>160</v>
      </c>
      <c r="H49" s="906" t="s">
        <v>160</v>
      </c>
      <c r="I49" s="904" t="s">
        <v>161</v>
      </c>
      <c r="J49" s="1737"/>
      <c r="K49" s="1749"/>
      <c r="L49" s="1749"/>
      <c r="M49" s="1737" t="str">
        <f t="array" ref="M49:M49">IF(ISERROR(MATCH(MID(N49,1,250),MID(note_ter,1,250),0)),"n","y")</f>
        <v>n</v>
      </c>
      <c r="N49" s="1749"/>
      <c r="O49" s="1737" t="str">
        <f>H49&amp;"("&amp;I49&amp;")"</f>
        <v>Кандалакшский муниципальный район(47608000)</v>
      </c>
      <c r="P49" s="1273"/>
      <c r="Q49" s="1273"/>
      <c r="R49" s="533"/>
      <c r="S49" s="1273"/>
      <c r="T49" s="1273"/>
      <c r="U49" s="1273"/>
      <c r="V49" s="535"/>
      <c r="W49" s="535"/>
      <c r="X49" s="532"/>
      <c r="Y49" s="532"/>
      <c r="Z49" s="532"/>
      <c r="AA49" s="532"/>
      <c r="AB49" s="532"/>
      <c r="AC49" s="532"/>
    </row>
    <row customHeight="1" ht="15">
      <c r="A50" s="2330"/>
      <c r="B50" s="1273"/>
      <c r="C50" s="525"/>
      <c r="D50" s="914"/>
      <c r="E50" s="534"/>
      <c r="F50" s="290"/>
      <c r="G50" s="528" t="s">
        <v>104</v>
      </c>
      <c r="H50" s="300"/>
      <c r="I50" s="537"/>
      <c r="J50" s="1749"/>
      <c r="K50" s="1749"/>
      <c r="L50" s="1749"/>
      <c r="M50" s="1749"/>
      <c r="N50" s="1737"/>
      <c r="O50" s="1749"/>
      <c r="P50" s="1273"/>
      <c r="Q50" s="1273"/>
      <c r="R50" s="533"/>
      <c r="S50" s="1273"/>
      <c r="T50" s="1273"/>
      <c r="U50" s="1273"/>
      <c r="V50" s="535"/>
      <c r="W50" s="535"/>
      <c r="X50" s="532"/>
      <c r="Y50" s="532"/>
      <c r="Z50" s="532"/>
      <c r="AA50" s="532"/>
      <c r="AB50" s="532"/>
      <c r="AC50" s="532"/>
    </row>
    <row customHeight="1" ht="15">
      <c r="A51" s="2330" t="s">
        <v>122</v>
      </c>
      <c r="B51" s="1273"/>
      <c r="C51" s="914" t="s">
        <v>106</v>
      </c>
      <c r="D51" s="1931"/>
      <c r="E51" s="1918" t="str">
        <f>A51</f>
        <v>14</v>
      </c>
      <c r="F51" s="917" t="s">
        <v>162</v>
      </c>
      <c r="G51" s="653" t="str">
        <f>"Территория "&amp;E51</f>
        <v>Территория 14</v>
      </c>
      <c r="H51" s="905"/>
      <c r="I51" s="905"/>
      <c r="J51" s="902"/>
      <c r="K51" s="1737"/>
      <c r="L51" s="1737"/>
      <c r="M51" s="1737"/>
      <c r="N51" s="339"/>
      <c r="O51" s="1737"/>
      <c r="P51" s="338"/>
      <c r="Q51" s="338"/>
      <c r="R51" s="338"/>
      <c r="S51" s="338"/>
      <c r="T51" s="2990"/>
      <c r="U51" s="2990"/>
      <c r="V51" s="2990"/>
      <c r="W51" s="2990"/>
      <c r="X51" s="2990"/>
      <c r="Y51" s="2990"/>
      <c r="Z51" s="2990"/>
      <c r="AA51" s="2990"/>
      <c r="AB51" s="2990"/>
      <c r="AC51" s="2990"/>
    </row>
    <row customHeight="1" ht="15">
      <c r="A52" s="2330"/>
      <c r="B52" s="1273">
        <v>1</v>
      </c>
      <c r="C52" s="1273"/>
      <c r="D52" s="913"/>
      <c r="E52" s="1926" t="str">
        <f>A51&amp;"."&amp;B52</f>
        <v>14.1</v>
      </c>
      <c r="F52" s="916" t="s">
        <v>144</v>
      </c>
      <c r="G52" s="906" t="s">
        <v>160</v>
      </c>
      <c r="H52" s="906" t="s">
        <v>163</v>
      </c>
      <c r="I52" s="904" t="s">
        <v>164</v>
      </c>
      <c r="J52" s="1737"/>
      <c r="K52" s="1749"/>
      <c r="L52" s="1749"/>
      <c r="M52" s="1737" t="str">
        <f t="array" ref="M52:M52">IF(ISERROR(MATCH(MID(N52,1,250),MID(note_ter,1,250),0)),"n","y")</f>
        <v>n</v>
      </c>
      <c r="N52" s="1749"/>
      <c r="O52" s="1737" t="str">
        <f>H52&amp;"("&amp;I52&amp;")"</f>
        <v>Поселок Зеленоборский(47608158)</v>
      </c>
      <c r="P52" s="1273"/>
      <c r="Q52" s="1273"/>
      <c r="R52" s="533"/>
      <c r="S52" s="1273"/>
      <c r="T52" s="1273"/>
      <c r="U52" s="1273"/>
      <c r="V52" s="535"/>
      <c r="W52" s="535"/>
      <c r="X52" s="532"/>
      <c r="Y52" s="532"/>
      <c r="Z52" s="532"/>
      <c r="AA52" s="532"/>
      <c r="AB52" s="532"/>
      <c r="AC52" s="532"/>
    </row>
    <row customHeight="1" ht="15">
      <c r="A53" s="2330"/>
      <c r="B53" s="1273"/>
      <c r="C53" s="525"/>
      <c r="D53" s="914"/>
      <c r="E53" s="534"/>
      <c r="F53" s="290"/>
      <c r="G53" s="528" t="s">
        <v>104</v>
      </c>
      <c r="H53" s="300"/>
      <c r="I53" s="537"/>
      <c r="J53" s="1749"/>
      <c r="K53" s="1749"/>
      <c r="L53" s="1749"/>
      <c r="M53" s="1749"/>
      <c r="N53" s="1737"/>
      <c r="O53" s="1749"/>
      <c r="P53" s="1273"/>
      <c r="Q53" s="1273"/>
      <c r="R53" s="533"/>
      <c r="S53" s="1273"/>
      <c r="T53" s="1273"/>
      <c r="U53" s="1273"/>
      <c r="V53" s="535"/>
      <c r="W53" s="535"/>
      <c r="X53" s="532"/>
      <c r="Y53" s="532"/>
      <c r="Z53" s="532"/>
      <c r="AA53" s="532"/>
      <c r="AB53" s="532"/>
      <c r="AC53" s="532"/>
    </row>
    <row customHeight="1" ht="15">
      <c r="A54" s="2330" t="s">
        <v>126</v>
      </c>
      <c r="B54" s="1273"/>
      <c r="C54" s="914" t="s">
        <v>106</v>
      </c>
      <c r="D54" s="1931"/>
      <c r="E54" s="1918" t="str">
        <f>A54</f>
        <v>15</v>
      </c>
      <c r="F54" s="917" t="s">
        <v>165</v>
      </c>
      <c r="G54" s="653" t="str">
        <f>"Территория "&amp;E54</f>
        <v>Территория 15</v>
      </c>
      <c r="H54" s="905"/>
      <c r="I54" s="905"/>
      <c r="J54" s="902"/>
      <c r="K54" s="1737"/>
      <c r="L54" s="1737"/>
      <c r="M54" s="1737"/>
      <c r="N54" s="339"/>
      <c r="O54" s="1737"/>
      <c r="P54" s="338"/>
      <c r="Q54" s="338"/>
      <c r="R54" s="338"/>
      <c r="S54" s="338"/>
      <c r="T54" s="2990"/>
      <c r="U54" s="2990"/>
      <c r="V54" s="2990"/>
      <c r="W54" s="2990"/>
      <c r="X54" s="2990"/>
      <c r="Y54" s="2990"/>
      <c r="Z54" s="2990"/>
      <c r="AA54" s="2990"/>
      <c r="AB54" s="2990"/>
      <c r="AC54" s="2990"/>
    </row>
    <row customHeight="1" ht="15">
      <c r="A55" s="2330"/>
      <c r="B55" s="1273">
        <v>1</v>
      </c>
      <c r="C55" s="1273"/>
      <c r="D55" s="913"/>
      <c r="E55" s="1926" t="str">
        <f>A54&amp;"."&amp;B55</f>
        <v>15.1</v>
      </c>
      <c r="F55" s="916" t="s">
        <v>166</v>
      </c>
      <c r="G55" s="906" t="s">
        <v>109</v>
      </c>
      <c r="H55" s="906" t="s">
        <v>167</v>
      </c>
      <c r="I55" s="904" t="s">
        <v>168</v>
      </c>
      <c r="J55" s="1737"/>
      <c r="K55" s="1749"/>
      <c r="L55" s="1749"/>
      <c r="M55" s="1737" t="str">
        <f t="array" ref="M55:M55">IF(ISERROR(MATCH(MID(N55,1,250),MID(note_ter,1,250),0)),"n","y")</f>
        <v>n</v>
      </c>
      <c r="N55" s="1749"/>
      <c r="O55" s="1737" t="str">
        <f>H55&amp;"("&amp;I55&amp;")"</f>
        <v>Териберское сельское поселение(47605405)</v>
      </c>
      <c r="P55" s="1273"/>
      <c r="Q55" s="1273"/>
      <c r="R55" s="533"/>
      <c r="S55" s="1273"/>
      <c r="T55" s="1273"/>
      <c r="U55" s="1273"/>
      <c r="V55" s="535"/>
      <c r="W55" s="535"/>
      <c r="X55" s="532"/>
      <c r="Y55" s="532"/>
      <c r="Z55" s="532"/>
      <c r="AA55" s="532"/>
      <c r="AB55" s="532"/>
      <c r="AC55" s="532"/>
    </row>
    <row customHeight="1" ht="15">
      <c r="A56" s="2330"/>
      <c r="B56" s="1273"/>
      <c r="C56" s="525"/>
      <c r="D56" s="914"/>
      <c r="E56" s="534"/>
      <c r="F56" s="290"/>
      <c r="G56" s="528" t="s">
        <v>104</v>
      </c>
      <c r="H56" s="300"/>
      <c r="I56" s="537"/>
      <c r="J56" s="1749"/>
      <c r="K56" s="1749"/>
      <c r="L56" s="1749"/>
      <c r="M56" s="1749"/>
      <c r="N56" s="1737"/>
      <c r="O56" s="1749"/>
      <c r="P56" s="1273"/>
      <c r="Q56" s="1273"/>
      <c r="R56" s="533"/>
      <c r="S56" s="1273"/>
      <c r="T56" s="1273"/>
      <c r="U56" s="1273"/>
      <c r="V56" s="535"/>
      <c r="W56" s="535"/>
      <c r="X56" s="532"/>
      <c r="Y56" s="532"/>
      <c r="Z56" s="532"/>
      <c r="AA56" s="532"/>
      <c r="AB56" s="532"/>
      <c r="AC56" s="532"/>
    </row>
    <row customHeight="1" ht="15">
      <c r="A57" s="2330" t="s">
        <v>117</v>
      </c>
      <c r="B57" s="1273"/>
      <c r="C57" s="914" t="s">
        <v>106</v>
      </c>
      <c r="D57" s="1931"/>
      <c r="E57" s="1918" t="str">
        <f>A57</f>
        <v>16</v>
      </c>
      <c r="F57" s="917" t="s">
        <v>169</v>
      </c>
      <c r="G57" s="653" t="str">
        <f>"Территория "&amp;E57</f>
        <v>Территория 16</v>
      </c>
      <c r="H57" s="905"/>
      <c r="I57" s="905"/>
      <c r="J57" s="902"/>
      <c r="K57" s="1737"/>
      <c r="L57" s="1737"/>
      <c r="M57" s="1737"/>
      <c r="N57" s="339"/>
      <c r="O57" s="1737"/>
      <c r="P57" s="338"/>
      <c r="Q57" s="338"/>
      <c r="R57" s="338"/>
      <c r="S57" s="338"/>
      <c r="T57" s="2990"/>
      <c r="U57" s="2990"/>
      <c r="V57" s="2990"/>
      <c r="W57" s="2990"/>
      <c r="X57" s="2990"/>
      <c r="Y57" s="2990"/>
      <c r="Z57" s="2990"/>
      <c r="AA57" s="2990"/>
      <c r="AB57" s="2990"/>
      <c r="AC57" s="2990"/>
    </row>
    <row customHeight="1" ht="15">
      <c r="A58" s="2330"/>
      <c r="B58" s="1273">
        <v>1</v>
      </c>
      <c r="C58" s="1273"/>
      <c r="D58" s="913"/>
      <c r="E58" s="1926" t="str">
        <f>A57&amp;"."&amp;B58</f>
        <v>16.1</v>
      </c>
      <c r="F58" s="916" t="s">
        <v>170</v>
      </c>
      <c r="G58" s="906" t="s">
        <v>109</v>
      </c>
      <c r="H58" s="906" t="s">
        <v>171</v>
      </c>
      <c r="I58" s="904" t="s">
        <v>172</v>
      </c>
      <c r="J58" s="1737"/>
      <c r="K58" s="1749"/>
      <c r="L58" s="1749"/>
      <c r="M58" s="1737" t="str">
        <f t="array" ref="M58:M58">IF(ISERROR(MATCH(MID(N58,1,250),MID(note_ter,1,250),0)),"n","y")</f>
        <v>n</v>
      </c>
      <c r="N58" s="1749"/>
      <c r="O58" s="1737" t="str">
        <f>H58&amp;"("&amp;I58&amp;")"</f>
        <v>сельское поселение Ура-Губа(47605407)</v>
      </c>
      <c r="P58" s="1273"/>
      <c r="Q58" s="1273"/>
      <c r="R58" s="533"/>
      <c r="S58" s="1273"/>
      <c r="T58" s="1273"/>
      <c r="U58" s="1273"/>
      <c r="V58" s="535"/>
      <c r="W58" s="535"/>
      <c r="X58" s="532"/>
      <c r="Y58" s="532"/>
      <c r="Z58" s="532"/>
      <c r="AA58" s="532"/>
      <c r="AB58" s="532"/>
      <c r="AC58" s="532"/>
    </row>
    <row customHeight="1" ht="15">
      <c r="A59" s="2330"/>
      <c r="B59" s="1273"/>
      <c r="C59" s="525"/>
      <c r="D59" s="914"/>
      <c r="E59" s="534"/>
      <c r="F59" s="290"/>
      <c r="G59" s="528" t="s">
        <v>104</v>
      </c>
      <c r="H59" s="300"/>
      <c r="I59" s="537"/>
      <c r="J59" s="1749"/>
      <c r="K59" s="1749"/>
      <c r="L59" s="1749"/>
      <c r="M59" s="1749"/>
      <c r="N59" s="1737"/>
      <c r="O59" s="1749"/>
      <c r="P59" s="1273"/>
      <c r="Q59" s="1273"/>
      <c r="R59" s="533"/>
      <c r="S59" s="1273"/>
      <c r="T59" s="1273"/>
      <c r="U59" s="1273"/>
      <c r="V59" s="535"/>
      <c r="W59" s="535"/>
      <c r="X59" s="532"/>
      <c r="Y59" s="532"/>
      <c r="Z59" s="532"/>
      <c r="AA59" s="532"/>
      <c r="AB59" s="532"/>
      <c r="AC59" s="532"/>
    </row>
    <row customHeight="1" ht="15">
      <c r="A60" s="2330" t="s">
        <v>173</v>
      </c>
      <c r="B60" s="1273"/>
      <c r="C60" s="914" t="s">
        <v>106</v>
      </c>
      <c r="D60" s="1931"/>
      <c r="E60" s="1918" t="str">
        <f>A60</f>
        <v>17</v>
      </c>
      <c r="F60" s="917" t="s">
        <v>174</v>
      </c>
      <c r="G60" s="653" t="str">
        <f>"Территория "&amp;E60</f>
        <v>Территория 17</v>
      </c>
      <c r="H60" s="905"/>
      <c r="I60" s="905"/>
      <c r="J60" s="902"/>
      <c r="K60" s="1737"/>
      <c r="L60" s="1737"/>
      <c r="M60" s="1737"/>
      <c r="N60" s="339"/>
      <c r="O60" s="1737"/>
      <c r="P60" s="338"/>
      <c r="Q60" s="338"/>
      <c r="R60" s="338"/>
      <c r="S60" s="338"/>
      <c r="T60" s="2990"/>
      <c r="U60" s="2990"/>
      <c r="V60" s="2990"/>
      <c r="W60" s="2990"/>
      <c r="X60" s="2990"/>
      <c r="Y60" s="2990"/>
      <c r="Z60" s="2990"/>
      <c r="AA60" s="2990"/>
      <c r="AB60" s="2990"/>
      <c r="AC60" s="2990"/>
    </row>
    <row customHeight="1" ht="15">
      <c r="A61" s="2330"/>
      <c r="B61" s="1273">
        <v>1</v>
      </c>
      <c r="C61" s="1273"/>
      <c r="D61" s="913"/>
      <c r="E61" s="1926" t="str">
        <f>A60&amp;"."&amp;B61</f>
        <v>17.1</v>
      </c>
      <c r="F61" s="916" t="s">
        <v>175</v>
      </c>
      <c r="G61" s="906" t="s">
        <v>109</v>
      </c>
      <c r="H61" s="906" t="s">
        <v>176</v>
      </c>
      <c r="I61" s="904" t="s">
        <v>177</v>
      </c>
      <c r="J61" s="1737"/>
      <c r="K61" s="1749"/>
      <c r="L61" s="1749"/>
      <c r="M61" s="1737" t="str">
        <f t="array" ref="M61:M61">IF(ISERROR(MATCH(MID(N61,1,250),MID(note_ter,1,250),0)),"n","y")</f>
        <v>n</v>
      </c>
      <c r="N61" s="1749"/>
      <c r="O61" s="1737" t="str">
        <f>H61&amp;"("&amp;I61&amp;")"</f>
        <v>Пушновское сельское поселение(47605404)</v>
      </c>
      <c r="P61" s="1273"/>
      <c r="Q61" s="1273"/>
      <c r="R61" s="533"/>
      <c r="S61" s="1273"/>
      <c r="T61" s="1273"/>
      <c r="U61" s="1273"/>
      <c r="V61" s="535"/>
      <c r="W61" s="535"/>
      <c r="X61" s="532"/>
      <c r="Y61" s="532"/>
      <c r="Z61" s="532"/>
      <c r="AA61" s="532"/>
      <c r="AB61" s="532"/>
      <c r="AC61" s="532"/>
    </row>
    <row customHeight="1" ht="15">
      <c r="A62" s="2330"/>
      <c r="B62" s="1273"/>
      <c r="C62" s="525"/>
      <c r="D62" s="914"/>
      <c r="E62" s="534"/>
      <c r="F62" s="290"/>
      <c r="G62" s="528" t="s">
        <v>104</v>
      </c>
      <c r="H62" s="300"/>
      <c r="I62" s="537"/>
      <c r="J62" s="1749"/>
      <c r="K62" s="1749"/>
      <c r="L62" s="1749"/>
      <c r="M62" s="1749"/>
      <c r="N62" s="1737"/>
      <c r="O62" s="1749"/>
      <c r="P62" s="1273"/>
      <c r="Q62" s="1273"/>
      <c r="R62" s="533"/>
      <c r="S62" s="1273"/>
      <c r="T62" s="1273"/>
      <c r="U62" s="1273"/>
      <c r="V62" s="535"/>
      <c r="W62" s="535"/>
      <c r="X62" s="532"/>
      <c r="Y62" s="532"/>
      <c r="Z62" s="532"/>
      <c r="AA62" s="532"/>
      <c r="AB62" s="532"/>
      <c r="AC62" s="532"/>
    </row>
    <row customHeight="1" ht="15">
      <c r="A63" s="2330" t="s">
        <v>175</v>
      </c>
      <c r="B63" s="1273"/>
      <c r="C63" s="914" t="s">
        <v>106</v>
      </c>
      <c r="D63" s="1931"/>
      <c r="E63" s="1918" t="str">
        <f>A63</f>
        <v>18</v>
      </c>
      <c r="F63" s="917" t="s">
        <v>178</v>
      </c>
      <c r="G63" s="653" t="str">
        <f>"Территория "&amp;E63</f>
        <v>Территория 18</v>
      </c>
      <c r="H63" s="905"/>
      <c r="I63" s="905"/>
      <c r="J63" s="902"/>
      <c r="K63" s="1737"/>
      <c r="L63" s="1737"/>
      <c r="M63" s="1737"/>
      <c r="N63" s="339"/>
      <c r="O63" s="1737"/>
      <c r="P63" s="338"/>
      <c r="Q63" s="338"/>
      <c r="R63" s="338"/>
      <c r="S63" s="338"/>
      <c r="T63" s="2990"/>
      <c r="U63" s="2990"/>
      <c r="V63" s="2990"/>
      <c r="W63" s="2990"/>
      <c r="X63" s="2990"/>
      <c r="Y63" s="2990"/>
      <c r="Z63" s="2990"/>
      <c r="AA63" s="2990"/>
      <c r="AB63" s="2990"/>
      <c r="AC63" s="2990"/>
    </row>
    <row customHeight="1" ht="15">
      <c r="A64" s="2330"/>
      <c r="B64" s="1273">
        <v>1</v>
      </c>
      <c r="C64" s="1273"/>
      <c r="D64" s="913"/>
      <c r="E64" s="1926" t="str">
        <f>A63&amp;"."&amp;B64</f>
        <v>18.1</v>
      </c>
      <c r="F64" s="916" t="s">
        <v>148</v>
      </c>
      <c r="G64" s="906" t="s">
        <v>179</v>
      </c>
      <c r="H64" s="906" t="s">
        <v>179</v>
      </c>
      <c r="I64" s="904" t="s">
        <v>180</v>
      </c>
      <c r="J64" s="1737"/>
      <c r="K64" s="1749"/>
      <c r="L64" s="1749"/>
      <c r="M64" s="1737" t="str">
        <f t="array" ref="M64:M64">IF(ISERROR(MATCH(MID(N64,1,250),MID(note_ter,1,250),0)),"n","y")</f>
        <v>n</v>
      </c>
      <c r="N64" s="1749"/>
      <c r="O64" s="1737" t="str">
        <f>H64&amp;"("&amp;I64&amp;")"</f>
        <v>Ковдорский муниципальный округ(47517000)</v>
      </c>
      <c r="P64" s="1273"/>
      <c r="Q64" s="1273"/>
      <c r="R64" s="533"/>
      <c r="S64" s="1273"/>
      <c r="T64" s="1273"/>
      <c r="U64" s="1273"/>
      <c r="V64" s="535"/>
      <c r="W64" s="535"/>
      <c r="X64" s="532"/>
      <c r="Y64" s="532"/>
      <c r="Z64" s="532"/>
      <c r="AA64" s="532"/>
      <c r="AB64" s="532"/>
      <c r="AC64" s="532"/>
    </row>
    <row customHeight="1" ht="15">
      <c r="A65" s="2330"/>
      <c r="B65" s="1273"/>
      <c r="C65" s="525"/>
      <c r="D65" s="914"/>
      <c r="E65" s="534"/>
      <c r="F65" s="290"/>
      <c r="G65" s="528" t="s">
        <v>104</v>
      </c>
      <c r="H65" s="300"/>
      <c r="I65" s="537"/>
      <c r="J65" s="1749"/>
      <c r="K65" s="1749"/>
      <c r="L65" s="1749"/>
      <c r="M65" s="1749"/>
      <c r="N65" s="1737"/>
      <c r="O65" s="1749"/>
      <c r="P65" s="1273"/>
      <c r="Q65" s="1273"/>
      <c r="R65" s="533"/>
      <c r="S65" s="1273"/>
      <c r="T65" s="1273"/>
      <c r="U65" s="1273"/>
      <c r="V65" s="535"/>
      <c r="W65" s="535"/>
      <c r="X65" s="532"/>
      <c r="Y65" s="532"/>
      <c r="Z65" s="532"/>
      <c r="AA65" s="532"/>
      <c r="AB65" s="532"/>
      <c r="AC65" s="532"/>
    </row>
    <row customHeight="1" ht="15">
      <c r="A66" s="2330" t="s">
        <v>166</v>
      </c>
      <c r="B66" s="1273"/>
      <c r="C66" s="914" t="s">
        <v>106</v>
      </c>
      <c r="D66" s="1931"/>
      <c r="E66" s="1918" t="str">
        <f>A66</f>
        <v>19</v>
      </c>
      <c r="F66" s="917" t="s">
        <v>181</v>
      </c>
      <c r="G66" s="653" t="str">
        <f>"Территория "&amp;E66</f>
        <v>Территория 19</v>
      </c>
      <c r="H66" s="905"/>
      <c r="I66" s="905"/>
      <c r="J66" s="902"/>
      <c r="K66" s="1737"/>
      <c r="L66" s="1737"/>
      <c r="M66" s="1737"/>
      <c r="N66" s="339"/>
      <c r="O66" s="1737"/>
      <c r="P66" s="338"/>
      <c r="Q66" s="338"/>
      <c r="R66" s="338"/>
      <c r="S66" s="338"/>
      <c r="T66" s="2990"/>
      <c r="U66" s="2990"/>
      <c r="V66" s="2990"/>
      <c r="W66" s="2990"/>
      <c r="X66" s="2990"/>
      <c r="Y66" s="2990"/>
      <c r="Z66" s="2990"/>
      <c r="AA66" s="2990"/>
      <c r="AB66" s="2990"/>
      <c r="AC66" s="2990"/>
    </row>
    <row customHeight="1" ht="15">
      <c r="A67" s="2330"/>
      <c r="B67" s="1273">
        <v>1</v>
      </c>
      <c r="C67" s="1273"/>
      <c r="D67" s="913"/>
      <c r="E67" s="1926" t="str">
        <f>A66&amp;"."&amp;B67</f>
        <v>19.1</v>
      </c>
      <c r="F67" s="916" t="s">
        <v>105</v>
      </c>
      <c r="G67" s="906" t="s">
        <v>182</v>
      </c>
      <c r="H67" s="906" t="s">
        <v>182</v>
      </c>
      <c r="I67" s="904" t="s">
        <v>183</v>
      </c>
      <c r="J67" s="1737"/>
      <c r="K67" s="1749"/>
      <c r="L67" s="1749"/>
      <c r="M67" s="1737" t="str">
        <f t="array" ref="M67:M67">IF(ISERROR(MATCH(MID(N67,1,250),MID(note_ter,1,250),0)),"n","y")</f>
        <v>n</v>
      </c>
      <c r="N67" s="1749"/>
      <c r="O67" s="1737" t="str">
        <f>H67&amp;"("&amp;I67&amp;")"</f>
        <v>ЗАТО город Заозерск(47733000)</v>
      </c>
      <c r="P67" s="1273"/>
      <c r="Q67" s="1273"/>
      <c r="R67" s="533"/>
      <c r="S67" s="1273"/>
      <c r="T67" s="1273"/>
      <c r="U67" s="1273"/>
      <c r="V67" s="535"/>
      <c r="W67" s="535"/>
      <c r="X67" s="532"/>
      <c r="Y67" s="532"/>
      <c r="Z67" s="532"/>
      <c r="AA67" s="532"/>
      <c r="AB67" s="532"/>
      <c r="AC67" s="532"/>
    </row>
    <row customHeight="1" ht="15">
      <c r="A68" s="2330"/>
      <c r="B68" s="1273"/>
      <c r="C68" s="525"/>
      <c r="D68" s="914"/>
      <c r="E68" s="534"/>
      <c r="F68" s="290"/>
      <c r="G68" s="528" t="s">
        <v>104</v>
      </c>
      <c r="H68" s="300"/>
      <c r="I68" s="537"/>
      <c r="J68" s="1749"/>
      <c r="K68" s="1749"/>
      <c r="L68" s="1749"/>
      <c r="M68" s="1749"/>
      <c r="N68" s="1737"/>
      <c r="O68" s="1749"/>
      <c r="P68" s="1273"/>
      <c r="Q68" s="1273"/>
      <c r="R68" s="533"/>
      <c r="S68" s="1273"/>
      <c r="T68" s="1273"/>
      <c r="U68" s="1273"/>
      <c r="V68" s="535"/>
      <c r="W68" s="535"/>
      <c r="X68" s="532"/>
      <c r="Y68" s="532"/>
      <c r="Z68" s="532"/>
      <c r="AA68" s="532"/>
      <c r="AB68" s="532"/>
      <c r="AC68" s="532"/>
    </row>
    <row s="8207" customFormat="1" customHeight="1" ht="14.699999999999998">
      <c r="A69" s="871"/>
      <c r="B69" s="530"/>
      <c r="C69" s="871"/>
      <c r="D69" s="895"/>
      <c r="E69" s="907"/>
      <c r="F69" s="291"/>
      <c r="G69" s="529" t="s">
        <v>184</v>
      </c>
      <c r="H69" s="291"/>
      <c r="I69" s="292"/>
      <c r="J69" s="362"/>
      <c r="K69" s="268"/>
      <c r="L69" s="268"/>
      <c r="M69" s="268"/>
      <c r="N69" s="339" t="s">
        <v>185</v>
      </c>
      <c r="O69" s="268"/>
      <c r="P69" s="338"/>
      <c r="Q69" s="338"/>
      <c r="R69" s="338"/>
      <c r="S69" s="338"/>
      <c r="AC69" s="229">
        <v>14</v>
      </c>
    </row>
    <row s="8207" customFormat="1" customHeight="1" ht="22.049999999999997">
      <c r="A70" s="871"/>
      <c r="B70" s="530"/>
      <c r="C70" s="871"/>
      <c r="D70" s="278"/>
      <c r="E70" s="293"/>
      <c r="F70" s="293"/>
      <c r="G70" s="293"/>
      <c r="H70" s="293"/>
      <c r="I70" s="293"/>
      <c r="J70" s="268"/>
      <c r="K70" s="268"/>
      <c r="L70" s="268"/>
      <c r="M70" s="268"/>
      <c r="N70" s="339"/>
      <c r="O70" s="268"/>
      <c r="P70" s="338"/>
      <c r="Q70" s="338"/>
      <c r="R70" s="338"/>
      <c r="S70" s="338"/>
      <c r="AC70" s="229">
        <v>21</v>
      </c>
    </row>
    <row s="8207" customFormat="1" customHeight="1" ht="14.699999999999998">
      <c r="A71" s="871"/>
      <c r="B71" s="530"/>
      <c r="C71" s="871"/>
      <c r="D71" s="278"/>
      <c r="E71" s="196"/>
      <c r="F71" s="871"/>
      <c r="G71" s="196"/>
      <c r="H71" s="196"/>
      <c r="I71" s="196"/>
      <c r="J71" s="268"/>
      <c r="K71" s="268"/>
      <c r="L71" s="268"/>
      <c r="M71" s="268"/>
      <c r="N71" s="339"/>
      <c r="O71" s="268"/>
      <c r="P71" s="338"/>
      <c r="Q71" s="338"/>
      <c r="R71" s="338"/>
      <c r="S71" s="338"/>
      <c r="AC71" s="229">
        <v>14</v>
      </c>
    </row>
    <row s="8207" customFormat="1" customHeight="1" ht="1.05">
      <c r="A72" s="871"/>
      <c r="B72" s="530"/>
      <c r="C72" s="871"/>
      <c r="D72" s="278"/>
      <c r="E72" s="196"/>
      <c r="F72" s="871"/>
      <c r="G72" s="196"/>
      <c r="H72" s="196"/>
      <c r="I72" s="196"/>
      <c r="J72" s="268"/>
      <c r="K72" s="268"/>
      <c r="L72" s="268"/>
      <c r="M72" s="268"/>
      <c r="N72" s="339"/>
      <c r="O72" s="268"/>
      <c r="P72" s="338"/>
      <c r="Q72" s="338"/>
      <c r="R72" s="338"/>
      <c r="S72" s="338"/>
      <c r="AC72" s="229">
        <v>1</v>
      </c>
    </row>
    <row s="8285" customFormat="1" customHeight="1" ht="10.5">
      <c r="B73" s="947"/>
      <c r="D73" s="295"/>
      <c r="J73" s="268"/>
      <c r="K73" s="268"/>
      <c r="L73" s="268"/>
      <c r="M73" s="268"/>
      <c r="N73" s="339"/>
      <c r="O73" s="268"/>
      <c r="P73" s="338"/>
      <c r="Q73" s="338"/>
      <c r="R73" s="338"/>
      <c r="S73" s="338"/>
      <c r="AC73" s="294">
        <v>10</v>
      </c>
    </row>
    <row s="8285" customFormat="1" customHeight="1" ht="10.5">
      <c r="B74" s="947"/>
      <c r="D74" s="295"/>
      <c r="J74" s="268"/>
      <c r="K74" s="268"/>
      <c r="L74" s="268"/>
      <c r="M74" s="268"/>
      <c r="N74" s="339"/>
      <c r="O74" s="268"/>
      <c r="P74" s="338"/>
      <c r="Q74" s="338"/>
      <c r="R74" s="338"/>
      <c r="S74" s="338"/>
      <c r="AC74" s="294">
        <v>10</v>
      </c>
    </row>
    <row customHeight="1" ht="14.699999999999998">
      <c r="AC75" s="196">
        <v>14</v>
      </c>
    </row>
    <row customHeight="1" ht="14.699999999999998">
      <c r="AC76" s="196">
        <v>14</v>
      </c>
    </row>
    <row customHeight="1" ht="14.699999999999998">
      <c r="AC77" s="196">
        <v>14</v>
      </c>
    </row>
    <row customHeight="1" ht="14.699999999999998">
      <c r="H78" s="175"/>
      <c r="AC78" s="196">
        <v>14</v>
      </c>
    </row>
    <row customHeight="1" ht="14.699999999999998">
      <c r="AC79" s="196">
        <v>14</v>
      </c>
    </row>
    <row customHeight="1" ht="14.699999999999998">
      <c r="AC80" s="196">
        <v>14</v>
      </c>
    </row>
    <row customHeight="1" ht="14.699999999999998">
      <c r="AC81" s="196">
        <v>14</v>
      </c>
    </row>
    <row customHeight="1" ht="14.699999999999998">
      <c r="J82" s="196"/>
      <c r="K82" s="196"/>
      <c r="L82" s="196"/>
      <c r="AC82" s="196">
        <v>14</v>
      </c>
    </row>
    <row customHeight="1" ht="22.5" hidden="1">
      <c r="A83" s="871" t="s">
        <v>84</v>
      </c>
      <c r="B83" s="530">
        <v>0</v>
      </c>
      <c r="C83" s="871">
        <v>3</v>
      </c>
      <c r="D83" s="278">
        <v>3</v>
      </c>
      <c r="E83" s="196">
        <v>6</v>
      </c>
      <c r="F83" s="871">
        <v>0</v>
      </c>
      <c r="G83" s="196">
        <v>46</v>
      </c>
      <c r="H83" s="196">
        <v>42</v>
      </c>
      <c r="I83" s="196">
        <v>14</v>
      </c>
      <c r="J83" s="268">
        <v>3</v>
      </c>
      <c r="K83" s="268">
        <v>0</v>
      </c>
      <c r="L83" s="268">
        <v>0</v>
      </c>
      <c r="M83" s="268">
        <v>0</v>
      </c>
      <c r="N83" s="339">
        <v>0</v>
      </c>
      <c r="O83" s="268">
        <v>0</v>
      </c>
      <c r="P83" s="338">
        <v>0</v>
      </c>
      <c r="Q83" s="338">
        <v>0</v>
      </c>
      <c r="R83" s="338">
        <v>0</v>
      </c>
      <c r="S83" s="338">
        <v>0</v>
      </c>
      <c r="T83" s="196">
        <v>0</v>
      </c>
      <c r="U83" s="196">
        <v>0</v>
      </c>
      <c r="V83" s="196">
        <v>0</v>
      </c>
      <c r="W83" s="196">
        <v>0</v>
      </c>
      <c r="X83" s="196">
        <v>0</v>
      </c>
      <c r="Y83" s="196">
        <v>0</v>
      </c>
      <c r="Z83" s="196">
        <v>0</v>
      </c>
      <c r="AA83" s="196">
        <v>0</v>
      </c>
      <c r="AB83" s="196">
        <v>8</v>
      </c>
      <c r="AC83" s="196">
        <v>23</v>
      </c>
    </row>
  </sheetData>
  <sheetProtection formatColumns="0" formatRows="0" autoFilter="0" sort="0" insertRows="0" insertColumns="1" deleteRows="0" deleteColumns="0"/>
  <mergeCells count="22">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s>
  <dataValidations count="19">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2B17F-9AC4-1B47-2B62-F1D4C030856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28" width="6.421875" hidden="1" customWidth="1"/>
    <col min="2" max="2" style="8328" width="2.00390625" hidden="1" customWidth="1"/>
    <col min="3" max="3" style="8328" width="3.00390625" customWidth="1"/>
    <col min="4" max="4" style="8328" width="4.00390625" customWidth="1"/>
    <col min="5" max="5" style="8328" width="44.00390625" customWidth="1"/>
    <col min="6" max="6" style="8328" width="6.421875" customWidth="1"/>
    <col min="7" max="7" style="8328" width="4.00390625" customWidth="1"/>
    <col min="8" max="8" style="8328" width="5.00390625" customWidth="1"/>
    <col min="9" max="9" style="8328" width="52.00390625" customWidth="1"/>
    <col min="10" max="10" style="8328" width="7.00390625" customWidth="1"/>
    <col min="11" max="11" style="8328" width="3.00390625" customWidth="1"/>
    <col min="12" max="12" style="8328" width="6.00390625" customWidth="1"/>
    <col min="13" max="13" style="8328" width="56.00390625" customWidth="1"/>
    <col min="14" max="14" style="8379" width="8.00390625" customWidth="1"/>
    <col min="15" max="20" style="8291" width="9.140625" hidden="1"/>
    <col min="21" max="24" style="8380" width="9.140625" hidden="1"/>
    <col min="25" max="37" style="8379" width="9.140625" hidden="1"/>
    <col min="38" max="38" style="8379" width="8.00390625" customWidth="1"/>
    <col min="39" max="39" style="832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8299"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829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829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186</v>
      </c>
      <c r="E9" s="2240"/>
      <c r="F9" s="2241" t="s">
        <v>187</v>
      </c>
      <c r="G9" s="2242"/>
      <c r="H9" s="2242"/>
      <c r="I9" s="2242"/>
      <c r="J9" s="2245" t="s">
        <v>188</v>
      </c>
      <c r="K9" s="2245"/>
      <c r="L9" s="2245"/>
      <c r="M9" s="2245"/>
      <c r="AM9" s="696">
        <v>18</v>
      </c>
    </row>
    <row customHeight="1" ht="24">
      <c r="A10" s="2239"/>
      <c r="B10" s="705"/>
      <c r="C10" s="638"/>
      <c r="D10" s="636" t="s">
        <v>90</v>
      </c>
      <c r="E10" s="636" t="s">
        <v>91</v>
      </c>
      <c r="F10" s="636" t="s">
        <v>189</v>
      </c>
      <c r="G10" s="2246" t="s">
        <v>90</v>
      </c>
      <c r="H10" s="2247"/>
      <c r="I10" s="636" t="s">
        <v>91</v>
      </c>
      <c r="J10" s="636" t="s">
        <v>189</v>
      </c>
      <c r="K10" s="2246" t="s">
        <v>90</v>
      </c>
      <c r="L10" s="2247"/>
      <c r="M10" s="636" t="s">
        <v>91</v>
      </c>
      <c r="N10" s="1740"/>
      <c r="AM10" s="696">
        <v>23</v>
      </c>
    </row>
    <row s="8328" customFormat="1" customHeight="1" ht="11.25" hidden="1">
      <c r="A11" s="706"/>
      <c r="B11" s="706"/>
      <c r="C11" s="706"/>
      <c r="D11" s="707" t="s">
        <v>155</v>
      </c>
      <c r="E11" s="707" t="s">
        <v>105</v>
      </c>
      <c r="F11" s="707" t="s">
        <v>92</v>
      </c>
      <c r="G11" s="2228" t="s">
        <v>93</v>
      </c>
      <c r="H11" s="2229"/>
      <c r="I11" s="707" t="s">
        <v>120</v>
      </c>
      <c r="J11" s="707" t="s">
        <v>94</v>
      </c>
      <c r="K11" s="2230" t="s">
        <v>95</v>
      </c>
      <c r="L11" s="2231"/>
      <c r="M11" s="707" t="s">
        <v>134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190</v>
      </c>
      <c r="P12" s="1526" t="s">
        <v>191</v>
      </c>
      <c r="Q12" s="1526" t="s">
        <v>192</v>
      </c>
      <c r="R12" s="1526" t="s">
        <v>193</v>
      </c>
      <c r="AM12" s="696">
        <v>1</v>
      </c>
    </row>
    <row s="8328" customFormat="1" customHeight="1" ht="15.75">
      <c r="A13" s="406"/>
      <c r="B13" s="406"/>
      <c r="C13" s="639"/>
      <c r="D13" s="2221" t="s">
        <v>155</v>
      </c>
      <c r="E13" s="2222"/>
      <c r="F13" s="2225" t="s">
        <v>63</v>
      </c>
      <c r="G13" s="2226"/>
      <c r="H13" s="2227">
        <v>1</v>
      </c>
      <c r="I13" s="2218" t="str">
        <f>IF(U13="","",INDEX(TERRITORY_MR_LIST,MATCH(U13,TERRITORY_LIST_ID,0)))</f>
        <v/>
      </c>
      <c r="J13" s="2220" t="s">
        <v>19</v>
      </c>
      <c r="K13" s="715"/>
      <c r="L13" s="640" t="s">
        <v>155</v>
      </c>
      <c r="M13" s="716" t="s">
        <v>28</v>
      </c>
      <c r="N13" s="925"/>
      <c r="O13" s="1529" t="s">
        <v>194</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195</v>
      </c>
      <c r="Z13" s="717">
        <v>1705000</v>
      </c>
      <c r="AA13" s="717"/>
      <c r="AB13" s="717"/>
      <c r="AC13" s="717"/>
      <c r="AD13" s="717"/>
      <c r="AE13" s="717"/>
      <c r="AF13" s="717"/>
      <c r="AG13" s="717"/>
      <c r="AH13" s="717"/>
      <c r="AI13" s="717"/>
      <c r="AJ13" s="717"/>
      <c r="AK13" s="717"/>
      <c r="AL13" s="717"/>
      <c r="AM13" s="719">
        <v>15</v>
      </c>
    </row>
    <row s="8328" customFormat="1" customHeight="1" ht="15.75">
      <c r="A14" s="406"/>
      <c r="B14" s="406"/>
      <c r="C14" s="289"/>
      <c r="D14" s="2221"/>
      <c r="E14" s="2223"/>
      <c r="F14" s="2220"/>
      <c r="G14" s="2226"/>
      <c r="H14" s="2227"/>
      <c r="I14" s="2219"/>
      <c r="J14" s="2220"/>
      <c r="K14" s="534"/>
      <c r="L14" s="290"/>
      <c r="M14" s="720" t="s">
        <v>196</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8328" customFormat="1" customHeight="1" ht="15.75">
      <c r="A15" s="406"/>
      <c r="B15" s="406"/>
      <c r="C15" s="289"/>
      <c r="D15" s="2221"/>
      <c r="E15" s="2224"/>
      <c r="F15" s="2220"/>
      <c r="G15" s="1173"/>
      <c r="H15" s="1174"/>
      <c r="I15" s="693" t="s">
        <v>197</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198</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5582B-0E9F-13CA-15E1-BEC459F2B283}" mc:Ignorable="x14ac xr xr2 xr3">
  <sheetPr>
    <tabColor rgb="FFCCCCFF"/>
  </sheetPr>
  <dimension ref="A1:AR208"/>
  <sheetViews>
    <sheetView topLeftCell="A1" showGridLines="0" zoomScale="70" workbookViewId="0">
      <selection activeCell="W110" sqref="W110"/>
    </sheetView>
  </sheetViews>
  <sheetFormatPr defaultColWidth="9.140625" customHeight="1" defaultRowHeight="11.25"/>
  <cols>
    <col min="1" max="2" style="8291" width="3.7109375" hidden="1" customWidth="1"/>
    <col min="3" max="3" style="8328" width="3.00390625" customWidth="1"/>
    <col min="4" max="4" style="8328" width="6.00390625" customWidth="1"/>
    <col min="5" max="5" style="8328" width="42.00390625" customWidth="1"/>
    <col min="6" max="6" style="8328" width="15.00390625" customWidth="1"/>
    <col min="7" max="7" style="8328" width="42.00390625" customWidth="1"/>
    <col min="8" max="8" style="8328" width="3.00390625" customWidth="1"/>
    <col min="9" max="9" style="8328" width="5.00390625" customWidth="1"/>
    <col min="10" max="10" style="8328" width="47.00390625" customWidth="1"/>
    <col min="11" max="12" style="8328" width="3.00390625" customWidth="1"/>
    <col min="13" max="13" style="8328" width="5.00390625" customWidth="1"/>
    <col min="14" max="14" style="8328" width="28.00390625" customWidth="1"/>
    <col min="15" max="16" style="8328" width="3.00390625" customWidth="1"/>
    <col min="17" max="17" style="8328" width="5.00390625" customWidth="1"/>
    <col min="18" max="18" style="8328" width="34.00390625" customWidth="1"/>
    <col min="19" max="20" style="8328" width="3.7109375" customWidth="1"/>
    <col min="21" max="21" style="8328" width="5.7109375" customWidth="1"/>
    <col min="22" max="22" style="8328" width="34.421875" customWidth="1"/>
    <col min="23" max="23" style="8328" width="30.00390625" customWidth="1"/>
    <col min="24" max="24" style="8328" width="3.00390625" customWidth="1"/>
    <col min="25" max="28" style="8380" width="9.8515625" hidden="1" customWidth="1"/>
    <col min="29" max="29" style="8380" width="27.00390625" hidden="1" customWidth="1"/>
    <col min="30" max="30" style="8380" width="10.57421875" hidden="1" customWidth="1"/>
    <col min="31" max="31" style="8380" width="10.7109375" hidden="1" customWidth="1"/>
    <col min="32" max="32" style="8380" width="10.00390625" hidden="1" customWidth="1"/>
    <col min="33" max="33" style="8380" width="12.8515625" hidden="1" customWidth="1"/>
    <col min="34" max="34" style="8380" width="24.421875" hidden="1" customWidth="1"/>
    <col min="35" max="35" style="8380" width="15.8515625" hidden="1" customWidth="1"/>
    <col min="36" max="36" style="8380" width="19.421875" hidden="1" customWidth="1"/>
    <col min="37" max="37" style="8380" width="11.00390625" hidden="1" customWidth="1"/>
    <col min="38" max="38" style="8380" width="23.57421875" hidden="1" customWidth="1"/>
    <col min="39" max="39" style="8380" width="23.8515625" hidden="1" customWidth="1"/>
    <col min="40" max="40" style="8380" width="25.28125" hidden="1" customWidth="1"/>
    <col min="41" max="41" style="8380" width="16.8515625" hidden="1" customWidth="1"/>
    <col min="42" max="42" style="8380" width="29.57421875" hidden="1" customWidth="1"/>
    <col min="43" max="43" style="8380" width="29.8515625" hidden="1" customWidth="1"/>
    <col min="44" max="44" style="8328" width="9.140625" hidden="1"/>
  </cols>
  <sheetData>
    <row customHeight="1" ht="11.25" hidden="1">
      <c r="A1" s="269"/>
      <c r="AR1" s="217" t="s">
        <v>14</v>
      </c>
    </row>
    <row customHeight="1" ht="11.25" hidden="1">
      <c r="AR2" s="217">
        <v>0</v>
      </c>
    </row>
    <row customHeight="1" ht="11.25" hidden="1">
      <c r="AR3" s="217">
        <v>0</v>
      </c>
    </row>
    <row customHeight="1" ht="3">
      <c r="AR4" s="217">
        <v>3</v>
      </c>
    </row>
    <row s="829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8299"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839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829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199</v>
      </c>
      <c r="F9" s="2216"/>
      <c r="G9" s="2240" t="s">
        <v>186</v>
      </c>
      <c r="H9" s="2240" t="s">
        <v>90</v>
      </c>
      <c r="I9" s="2240"/>
      <c r="J9" s="2240" t="s">
        <v>200</v>
      </c>
      <c r="K9" s="2268" t="s">
        <v>201</v>
      </c>
      <c r="L9" s="2268"/>
      <c r="M9" s="2268"/>
      <c r="N9" s="2268"/>
      <c r="O9" s="2268" t="s">
        <v>202</v>
      </c>
      <c r="P9" s="2268"/>
      <c r="Q9" s="2268"/>
      <c r="R9" s="2268"/>
      <c r="S9" s="2268" t="s">
        <v>203</v>
      </c>
      <c r="T9" s="2268"/>
      <c r="U9" s="2268"/>
      <c r="V9" s="2268"/>
      <c r="W9" s="2240" t="s">
        <v>204</v>
      </c>
      <c r="AR9" s="217">
        <v>27</v>
      </c>
    </row>
    <row customHeight="1" ht="31.5">
      <c r="D10" s="2240"/>
      <c r="E10" s="1397" t="s">
        <v>91</v>
      </c>
      <c r="F10" s="1397" t="s">
        <v>205</v>
      </c>
      <c r="G10" s="2240"/>
      <c r="H10" s="2240"/>
      <c r="I10" s="2240"/>
      <c r="J10" s="2240"/>
      <c r="K10" s="223" t="s">
        <v>189</v>
      </c>
      <c r="L10" s="2240" t="s">
        <v>90</v>
      </c>
      <c r="M10" s="2240"/>
      <c r="N10" s="223" t="s">
        <v>206</v>
      </c>
      <c r="O10" s="223" t="s">
        <v>189</v>
      </c>
      <c r="P10" s="2240" t="s">
        <v>90</v>
      </c>
      <c r="Q10" s="2240"/>
      <c r="R10" s="223" t="s">
        <v>206</v>
      </c>
      <c r="S10" s="396" t="s">
        <v>189</v>
      </c>
      <c r="T10" s="2240" t="s">
        <v>90</v>
      </c>
      <c r="U10" s="2240"/>
      <c r="V10" s="396" t="s">
        <v>91</v>
      </c>
      <c r="W10" s="2240"/>
      <c r="Z10" s="1372" t="s">
        <v>207</v>
      </c>
      <c r="AA10" s="1372" t="s">
        <v>208</v>
      </c>
      <c r="AB10" s="1372" t="s">
        <v>209</v>
      </c>
      <c r="AC10" s="1372" t="s">
        <v>210</v>
      </c>
      <c r="AD10" s="1372" t="s">
        <v>211</v>
      </c>
      <c r="AE10" s="1372" t="s">
        <v>212</v>
      </c>
      <c r="AF10" s="1372" t="s">
        <v>213</v>
      </c>
      <c r="AG10" s="1372" t="s">
        <v>214</v>
      </c>
      <c r="AH10" s="1372" t="s">
        <v>215</v>
      </c>
      <c r="AI10" s="1372" t="s">
        <v>216</v>
      </c>
      <c r="AJ10" s="1372" t="s">
        <v>217</v>
      </c>
      <c r="AK10" s="1372" t="s">
        <v>218</v>
      </c>
      <c r="AL10" s="1372" t="s">
        <v>219</v>
      </c>
      <c r="AM10" s="1372" t="s">
        <v>220</v>
      </c>
      <c r="AN10" s="1372" t="s">
        <v>221</v>
      </c>
      <c r="AO10" s="1372" t="s">
        <v>222</v>
      </c>
      <c r="AP10" s="1372" t="s">
        <v>223</v>
      </c>
      <c r="AQ10" s="1372" t="s">
        <v>224</v>
      </c>
      <c r="AR10" s="217">
        <v>30</v>
      </c>
    </row>
    <row s="8291" customFormat="1" customHeight="1" ht="12" hidden="1">
      <c r="D11" s="1362" t="s">
        <v>155</v>
      </c>
      <c r="E11" s="1362" t="s">
        <v>105</v>
      </c>
      <c r="F11" s="1362"/>
      <c r="G11" s="1362" t="s">
        <v>92</v>
      </c>
      <c r="H11" s="2269" t="s">
        <v>120</v>
      </c>
      <c r="I11" s="2269"/>
      <c r="J11" s="1362" t="s">
        <v>94</v>
      </c>
      <c r="K11" s="1362" t="s">
        <v>95</v>
      </c>
      <c r="L11" s="2269" t="s">
        <v>134</v>
      </c>
      <c r="M11" s="2269"/>
      <c r="N11" s="1362" t="s">
        <v>139</v>
      </c>
      <c r="O11" s="1362" t="s">
        <v>144</v>
      </c>
      <c r="P11" s="2269" t="s">
        <v>148</v>
      </c>
      <c r="Q11" s="2269"/>
      <c r="R11" s="1362" t="s">
        <v>153</v>
      </c>
      <c r="S11" s="1362" t="s">
        <v>148</v>
      </c>
      <c r="T11" s="2269" t="s">
        <v>153</v>
      </c>
      <c r="U11" s="2269"/>
      <c r="V11" s="1362" t="s">
        <v>158</v>
      </c>
      <c r="W11" s="1362" t="s">
        <v>122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8328" customFormat="1" customHeight="1" ht="17.25">
      <c r="A13" s="434"/>
      <c r="C13" s="322"/>
      <c r="D13" s="2248">
        <v>1</v>
      </c>
      <c r="E13" s="2256" t="s">
        <v>225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226</v>
      </c>
      <c r="AD13" s="1380" t="s">
        <v>227</v>
      </c>
      <c r="AE13" s="1380" t="s">
        <v>228</v>
      </c>
      <c r="AF13" s="1380" t="s">
        <v>229</v>
      </c>
      <c r="AG13" s="1380" t="s">
        <v>230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8328"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8328"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8328"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8328"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8328" customFormat="1" customHeight="1" ht="17.25">
      <c r="A18" s="434"/>
      <c r="C18" s="322"/>
      <c r="D18" s="2248">
        <v>2</v>
      </c>
      <c r="E18" s="3168" t="s">
        <v>231</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232</v>
      </c>
      <c r="AD18" s="1380" t="s">
        <v>233</v>
      </c>
      <c r="AE18" s="1380" t="s">
        <v>234</v>
      </c>
      <c r="AF18" s="1380" t="s">
        <v>235</v>
      </c>
      <c r="AG18" s="1380" t="s">
        <v>236</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8328"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8328"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8328"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8328"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8328" customFormat="1" customHeight="1" ht="17.25" hidden="1">
      <c r="A23" s="434"/>
      <c r="C23" s="322"/>
      <c r="D23" s="2248">
        <v>2</v>
      </c>
      <c r="E23" s="2256" t="s">
        <v>231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832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832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832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832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8328" customFormat="1" customHeight="1" ht="17.25">
      <c r="A28" s="434"/>
      <c r="C28" s="322"/>
      <c r="D28" s="2248">
        <v>3</v>
      </c>
      <c r="E28" s="2256" t="s">
        <v>237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238</v>
      </c>
      <c r="AD28" s="1380" t="s">
        <v>239</v>
      </c>
      <c r="AE28" s="1380" t="s">
        <v>240</v>
      </c>
      <c r="AF28" s="1380" t="s">
        <v>241</v>
      </c>
      <c r="AG28" s="1380" t="s">
        <v>242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8328"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8328"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8328"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8328"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8328" customFormat="1" customHeight="1" ht="17.25">
      <c r="A33" s="434"/>
      <c r="C33" s="322"/>
      <c r="D33" s="2248">
        <v>4</v>
      </c>
      <c r="E33" s="2256" t="s">
        <v>243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244</v>
      </c>
      <c r="AD33" s="1380" t="s">
        <v>245</v>
      </c>
      <c r="AE33" s="1380" t="s">
        <v>246</v>
      </c>
      <c r="AF33" s="1380" t="s">
        <v>247</v>
      </c>
      <c r="AG33" s="1380" t="s">
        <v>248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8328"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8328"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8328"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8328"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8328" customFormat="1" customHeight="1" ht="17.25">
      <c r="A38" s="434"/>
      <c r="C38" s="322"/>
      <c r="D38" s="2248">
        <v>5</v>
      </c>
      <c r="E38" s="2256" t="s">
        <v>249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250</v>
      </c>
      <c r="AD38" s="1380" t="s">
        <v>251</v>
      </c>
      <c r="AE38" s="1380" t="s">
        <v>252</v>
      </c>
      <c r="AF38" s="1380" t="s">
        <v>253</v>
      </c>
      <c r="AG38" s="1380" t="s">
        <v>254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8328"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8328"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8328"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8328"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8328" customFormat="1" customHeight="1" ht="17.25">
      <c r="A43" s="434"/>
      <c r="C43" s="322"/>
      <c r="D43" s="2248">
        <v>6</v>
      </c>
      <c r="E43" s="2256" t="s">
        <v>255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256</v>
      </c>
      <c r="AD43" s="1380" t="s">
        <v>257</v>
      </c>
      <c r="AE43" s="1380" t="s">
        <v>258</v>
      </c>
      <c r="AF43" s="1380" t="s">
        <v>259</v>
      </c>
      <c r="AG43" s="1380" t="s">
        <v>260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8328"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8328"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8328"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8328"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8328" customFormat="1" customHeight="1" ht="17.25">
      <c r="A48" s="434"/>
      <c r="C48" s="322"/>
      <c r="D48" s="2279">
        <v>7</v>
      </c>
      <c r="E48" s="2282" t="s">
        <v>261</v>
      </c>
      <c r="F48" s="2258" t="s">
        <v>63</v>
      </c>
      <c r="G48" s="3184" t="str">
        <f>INDEX(VD_NAME_LIST,MATCH("4190073",VD_ID_LIST,0))</f>
        <v>Поддержание резервной тепловой мощности при отсутствии потребления тепловой энергии</v>
      </c>
      <c r="H48" s="3185"/>
      <c r="I48" s="3185">
        <v>1</v>
      </c>
      <c r="J48" s="3186" t="s">
        <v>262</v>
      </c>
      <c r="K48" s="3187" t="s">
        <v>63</v>
      </c>
      <c r="L48" s="3188"/>
      <c r="M48" s="3188" t="s">
        <v>155</v>
      </c>
      <c r="N48" s="3189" t="str">
        <f>IF(Z48="","",INDEX(TERRITORY_MR_LIST,MATCH(Z48,TERRITORY_LIST_ID,0)))</f>
        <v>Территория 1</v>
      </c>
      <c r="O48" s="3187" t="s">
        <v>19</v>
      </c>
      <c r="P48" s="3188"/>
      <c r="Q48" s="3188" t="s">
        <v>155</v>
      </c>
      <c r="R48" s="3190" t="s">
        <v>28</v>
      </c>
      <c r="S48" s="3191" t="s">
        <v>63</v>
      </c>
      <c r="T48" s="3188"/>
      <c r="U48" s="3188" t="s">
        <v>155</v>
      </c>
      <c r="V48" s="3192" t="s">
        <v>263</v>
      </c>
      <c r="W48" s="3186" t="s">
        <v>264</v>
      </c>
      <c r="X48" s="1380"/>
      <c r="Y48" s="1380"/>
      <c r="Z48" s="1380" t="s">
        <v>100</v>
      </c>
      <c r="AA48" s="1380"/>
      <c r="AB48" s="1380" t="s">
        <v>265</v>
      </c>
      <c r="AC48" s="1380" t="s">
        <v>266</v>
      </c>
      <c r="AD48" s="1380" t="s">
        <v>267</v>
      </c>
      <c r="AE48" s="1380" t="s">
        <v>268</v>
      </c>
      <c r="AF48" s="1380" t="s">
        <v>269</v>
      </c>
      <c r="AG48" s="1380" t="s">
        <v>270</v>
      </c>
      <c r="AH48" s="1380" t="str">
        <f>IF($E$48=0,"",$E$48)</f>
        <v>Плата за услуги по поддержанию резервной тепловой мощности при отсутствии потребления тепловой энергии</v>
      </c>
      <c r="AI48" s="1380" t="str">
        <f>IF($G$48=0,"",$G$48)</f>
        <v>Поддержание резервной тепловой мощности при отсутствии потребления тепловой энергии</v>
      </c>
      <c r="AJ48" s="1380" t="str">
        <f>IF($J$48=0,"",$J$48)</f>
        <v>Плата за услуги по поддержанию резервной тепловой мощности при отсутствии потребления тепловой энергии </v>
      </c>
      <c r="AK48" s="1380" t="str">
        <f>IF($K$48="нет","без дифференциации",IF($N$48=0,"",$N$48))</f>
        <v>Территория 1</v>
      </c>
      <c r="AL48" s="1380" t="str">
        <f>IF($O$48="нет","без дифференциации",IF($R$48=0,"",$R$48))</f>
        <v>без дифференциации</v>
      </c>
      <c r="AM48" s="1380" t="str">
        <f>IF($S$48="нет","без дифференциации",IF($V$48=0,"",$V$48))</f>
        <v>Городской округ город-герой Мурманск (кроме п.Росляково)</v>
      </c>
      <c r="AN48" s="1885">
        <f>$I$48</f>
        <v>1</v>
      </c>
      <c r="AO48" s="1380" t="str">
        <f>$I$48&amp;"."&amp;$M$48</f>
        <v>1.1</v>
      </c>
      <c r="AP48" s="1372" t="str">
        <f>$I$48&amp;"."&amp;$M$48&amp;"."&amp;$Q$48</f>
        <v>1.1.1</v>
      </c>
      <c r="AQ48" s="1372" t="str">
        <f>$I$48&amp;"."&amp;$M$48&amp;"."&amp;$Q$48&amp;"."&amp;$U$48</f>
        <v>1.1.1.1</v>
      </c>
      <c r="AR48" s="1421">
        <v>0</v>
      </c>
    </row>
    <row customHeight="1" ht="17.25">
      <c r="A49" s="1953"/>
      <c r="B49" s="3195"/>
      <c r="C49" s="1955"/>
      <c r="D49" s="1943"/>
      <c r="E49" s="1960"/>
      <c r="F49" s="1897"/>
      <c r="G49" s="1961"/>
      <c r="H49" s="1869"/>
      <c r="I49" s="1869"/>
      <c r="J49" s="1870"/>
      <c r="K49" s="1961"/>
      <c r="L49" s="1869"/>
      <c r="M49" s="1869"/>
      <c r="N49" s="1961"/>
      <c r="O49" s="1961"/>
      <c r="P49" s="1869"/>
      <c r="Q49" s="1869"/>
      <c r="R49" s="1871"/>
      <c r="S49" s="1961"/>
      <c r="T49" s="1924" t="s">
        <v>106</v>
      </c>
      <c r="U49" s="1924" t="s">
        <v>105</v>
      </c>
      <c r="V49" s="1956" t="s">
        <v>271</v>
      </c>
      <c r="W49" s="1914" t="s">
        <v>264</v>
      </c>
      <c r="X49" s="3195"/>
      <c r="Y49" s="1380"/>
      <c r="Z49" s="1380"/>
      <c r="AA49" s="1380"/>
      <c r="AB49" s="1380"/>
      <c r="AC49" s="3206" t="s">
        <v>266</v>
      </c>
      <c r="AD49" s="3206" t="s">
        <v>267</v>
      </c>
      <c r="AE49" s="3206" t="s">
        <v>268</v>
      </c>
      <c r="AF49" s="3206" t="s">
        <v>269</v>
      </c>
      <c r="AG49" s="1380" t="s">
        <v>272</v>
      </c>
      <c r="AH49" s="1380" t="str">
        <f>IF($E$48=0,"",$E$48)</f>
        <v>Плата за услуги по поддержанию резервной тепловой мощности при отсутствии потребления тепловой энергии</v>
      </c>
      <c r="AI49" s="1380" t="str">
        <f>IF($G$48=0,"",$G$48)</f>
        <v>Поддержание резервной тепловой мощности при отсутствии потребления тепловой энергии</v>
      </c>
      <c r="AJ49" s="1380" t="str">
        <f>IF($J$48=0,"",$J$48)</f>
        <v>Плата за услуги по поддержанию резервной тепловой мощности при отсутствии потребления тепловой энергии </v>
      </c>
      <c r="AK49" s="1380" t="str">
        <f>IF($K$48="нет","без дифференциации",IF($N$48=0,"",$N$48))</f>
        <v>Территория 1</v>
      </c>
      <c r="AL49" s="1957" t="str">
        <f>IF($O$48="нет","без дифференциации",IF($R$48=0,"",$R$48))</f>
        <v>без дифференциации</v>
      </c>
      <c r="AM49" s="1957" t="str">
        <f>IF($S$49="нет","без дифференциации",IF($V$49=0,"",$V$49))</f>
        <v>Городской округ город-герой Мурманск (п. Росляково)</v>
      </c>
      <c r="AN49" s="1380">
        <f>$I$48</f>
        <v>1</v>
      </c>
      <c r="AO49" s="1380" t="str">
        <f>$I$48&amp;"."&amp;$M$48</f>
        <v>1.1</v>
      </c>
      <c r="AP49" s="1380" t="str">
        <f>$I$48&amp;"."&amp;$M$48&amp;"."&amp;$Q$48</f>
        <v>1.1.1</v>
      </c>
      <c r="AQ49" s="1380" t="str">
        <f>$I$48&amp;"."&amp;$M$48&amp;"."&amp;$Q$48&amp;"."&amp;$U$49</f>
        <v>1.1.1.2</v>
      </c>
      <c r="AR49" s="3195"/>
    </row>
    <row s="8328" customFormat="1" customHeight="1" ht="17.25">
      <c r="A50" s="434"/>
      <c r="C50" s="433"/>
      <c r="D50" s="2280"/>
      <c r="E50" s="2283"/>
      <c r="F50" s="2259"/>
      <c r="G50" s="3210"/>
      <c r="H50" s="3185"/>
      <c r="I50" s="3185"/>
      <c r="J50" s="3186"/>
      <c r="K50" s="3211"/>
      <c r="L50" s="3188"/>
      <c r="M50" s="3188"/>
      <c r="N50" s="3189"/>
      <c r="O50" s="3211"/>
      <c r="P50" s="3188"/>
      <c r="Q50" s="3188"/>
      <c r="R50" s="3190" t="s">
        <v>28</v>
      </c>
      <c r="S50" s="3191"/>
      <c r="T50" s="3212"/>
      <c r="U50" s="3213"/>
      <c r="V50" s="3214" t="s">
        <v>273</v>
      </c>
      <c r="W50" s="3215"/>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8328" customFormat="1" customHeight="1" ht="17.25">
      <c r="A51" s="434"/>
      <c r="C51" s="433"/>
      <c r="D51" s="2280"/>
      <c r="E51" s="2283"/>
      <c r="F51" s="2259"/>
      <c r="G51" s="3210"/>
      <c r="H51" s="3216"/>
      <c r="I51" s="3216"/>
      <c r="J51" s="3217"/>
      <c r="K51" s="3211"/>
      <c r="L51" s="3216"/>
      <c r="M51" s="3216"/>
      <c r="N51" s="3218"/>
      <c r="O51" s="3219"/>
      <c r="P51" s="3220"/>
      <c r="Q51" s="3221"/>
      <c r="R51" s="3222" t="s">
        <v>274</v>
      </c>
      <c r="S51" s="3223"/>
      <c r="T51" s="3224"/>
      <c r="U51" s="3225"/>
      <c r="V51" s="3226"/>
      <c r="W51" s="3227"/>
      <c r="X51" s="1372"/>
      <c r="Y51" s="1372"/>
      <c r="Z51" s="1372"/>
      <c r="AA51" s="1372"/>
      <c r="AB51" s="1372"/>
      <c r="AC51" s="1372"/>
      <c r="AD51" s="1372"/>
      <c r="AE51" s="1372"/>
      <c r="AF51" s="1372"/>
      <c r="AG51" s="1372"/>
      <c r="AH51" s="1372"/>
      <c r="AI51" s="1372"/>
      <c r="AJ51" s="1372"/>
      <c r="AK51" s="1372"/>
      <c r="AL51" s="1372"/>
      <c r="AM51" s="1372"/>
      <c r="AN51" s="1372"/>
      <c r="AO51" s="1372"/>
      <c r="AP51" s="1372"/>
      <c r="AQ51" s="1372"/>
      <c r="AR51" s="1421">
        <v>0</v>
      </c>
    </row>
    <row customHeight="1" ht="17.25">
      <c r="A52" s="1953"/>
      <c r="B52" s="3195"/>
      <c r="C52" s="1955"/>
      <c r="D52" s="1943"/>
      <c r="E52" s="1960"/>
      <c r="F52" s="1897"/>
      <c r="G52" s="1961"/>
      <c r="H52" s="1943"/>
      <c r="I52" s="1943"/>
      <c r="J52" s="1962"/>
      <c r="K52" s="1873"/>
      <c r="L52" s="2221" t="s">
        <v>106</v>
      </c>
      <c r="M52" s="2221" t="s">
        <v>105</v>
      </c>
      <c r="N52" s="2617" t="str">
        <f>IF(Z52="","",INDEX(TERRITORY_MR_LIST,MATCH(Z52,TERRITORY_LIST_ID,0)))</f>
        <v>Территория 2</v>
      </c>
      <c r="O52" s="2298" t="s">
        <v>19</v>
      </c>
      <c r="P52" s="2221"/>
      <c r="Q52" s="2221" t="s">
        <v>155</v>
      </c>
      <c r="R52" s="3232" t="s">
        <v>28</v>
      </c>
      <c r="S52" s="2220" t="s">
        <v>19</v>
      </c>
      <c r="T52" s="1924"/>
      <c r="U52" s="1924" t="s">
        <v>155</v>
      </c>
      <c r="V52" s="3233" t="s">
        <v>28</v>
      </c>
      <c r="W52" s="1914" t="s">
        <v>264</v>
      </c>
      <c r="X52" s="3195"/>
      <c r="Y52" s="1380"/>
      <c r="Z52" s="1380" t="s">
        <v>107</v>
      </c>
      <c r="AA52" s="1380"/>
      <c r="AB52" s="1380"/>
      <c r="AC52" s="3206" t="s">
        <v>266</v>
      </c>
      <c r="AD52" s="3206" t="s">
        <v>267</v>
      </c>
      <c r="AE52" s="1380" t="s">
        <v>275</v>
      </c>
      <c r="AF52" s="1380" t="s">
        <v>276</v>
      </c>
      <c r="AG52" s="1380" t="s">
        <v>277</v>
      </c>
      <c r="AH52" s="1380" t="str">
        <f>IF($E$48=0,"",$E$48)</f>
        <v>Плата за услуги по поддержанию резервной тепловой мощности при отсутствии потребления тепловой энергии</v>
      </c>
      <c r="AI52" s="1380" t="str">
        <f>IF($G$48=0,"",$G$48)</f>
        <v>Поддержание резервной тепловой мощности при отсутствии потребления тепловой энергии</v>
      </c>
      <c r="AJ52" s="1380" t="str">
        <f>IF($J$48=0,"",$J$48)</f>
        <v>Плата за услуги по поддержанию резервной тепловой мощности при отсутствии потребления тепловой энергии </v>
      </c>
      <c r="AK52" s="1380" t="str">
        <f>IF($K$52="нет","без дифференциации",IF($N$52=0,"",$N$52))</f>
        <v>Территория 2</v>
      </c>
      <c r="AL52" s="1957" t="str">
        <f>IF($O$52="нет","без дифференциации",IF($R$52=0,"",$R$52))</f>
        <v>без дифференциации</v>
      </c>
      <c r="AM52" s="1957" t="str">
        <f>IF($S$52="нет","без дифференциации",IF($V$52=0,"",$V$52))</f>
        <v>без дифференциации</v>
      </c>
      <c r="AN52" s="1380">
        <f>$I$48</f>
        <v>1</v>
      </c>
      <c r="AO52" s="1380" t="str">
        <f>$I$48&amp;"."&amp;$M$52</f>
        <v>1.2</v>
      </c>
      <c r="AP52" s="1380" t="str">
        <f>$I$48&amp;"."&amp;$M$52&amp;"."&amp;$Q$52</f>
        <v>1.2.1</v>
      </c>
      <c r="AQ52" s="1380" t="str">
        <f>$I$48&amp;"."&amp;$M$52&amp;"."&amp;$Q$52&amp;"."&amp;$U$52</f>
        <v>1.2.1.1</v>
      </c>
      <c r="AR52" s="3195"/>
    </row>
    <row customHeight="1" ht="17.25">
      <c r="A53" s="1953"/>
      <c r="B53" s="3195"/>
      <c r="C53" s="1958"/>
      <c r="D53" s="1943"/>
      <c r="E53" s="1960"/>
      <c r="F53" s="1897"/>
      <c r="G53" s="1961"/>
      <c r="H53" s="1943"/>
      <c r="I53" s="1943"/>
      <c r="J53" s="1962"/>
      <c r="K53" s="1873"/>
      <c r="L53" s="2221"/>
      <c r="M53" s="2221"/>
      <c r="N53" s="2617"/>
      <c r="O53" s="2299"/>
      <c r="P53" s="2221"/>
      <c r="Q53" s="2221"/>
      <c r="R53" s="3232" t="s">
        <v>28</v>
      </c>
      <c r="S53" s="2220"/>
      <c r="T53" s="430"/>
      <c r="U53" s="431"/>
      <c r="V53" s="431" t="s">
        <v>273</v>
      </c>
      <c r="W53" s="432"/>
      <c r="X53" s="3195"/>
      <c r="Y53" s="1372"/>
      <c r="Z53" s="1372"/>
      <c r="AA53" s="1372"/>
      <c r="AB53" s="1372"/>
      <c r="AC53" s="1372"/>
      <c r="AD53" s="1372"/>
      <c r="AE53" s="1372"/>
      <c r="AF53" s="1372"/>
      <c r="AG53" s="1372"/>
      <c r="AH53" s="1372"/>
      <c r="AI53" s="1372"/>
      <c r="AJ53" s="1372"/>
      <c r="AK53" s="1372"/>
      <c r="AL53" s="3195"/>
      <c r="AM53" s="3195"/>
      <c r="AN53" s="3195"/>
      <c r="AO53" s="3195"/>
      <c r="AP53" s="3195"/>
      <c r="AQ53" s="3195"/>
      <c r="AR53" s="3195"/>
    </row>
    <row customHeight="1" ht="17.25">
      <c r="A54" s="1953"/>
      <c r="B54" s="3195"/>
      <c r="C54" s="1958"/>
      <c r="D54" s="1943"/>
      <c r="E54" s="1960"/>
      <c r="F54" s="1897"/>
      <c r="G54" s="1961"/>
      <c r="H54" s="1943"/>
      <c r="I54" s="1943"/>
      <c r="J54" s="1962"/>
      <c r="K54" s="1873"/>
      <c r="L54" s="2616"/>
      <c r="M54" s="2616"/>
      <c r="N54" s="2618"/>
      <c r="O54" s="2225"/>
      <c r="P54" s="430"/>
      <c r="Q54" s="431"/>
      <c r="R54" s="431" t="s">
        <v>274</v>
      </c>
      <c r="S54" s="1959"/>
      <c r="T54" s="1959"/>
      <c r="U54" s="1959"/>
      <c r="V54" s="1959"/>
      <c r="W54" s="432"/>
      <c r="X54" s="3195"/>
      <c r="Y54" s="1372"/>
      <c r="Z54" s="1372"/>
      <c r="AA54" s="1372"/>
      <c r="AB54" s="1372"/>
      <c r="AC54" s="1372"/>
      <c r="AD54" s="1372"/>
      <c r="AE54" s="1372"/>
      <c r="AF54" s="1372"/>
      <c r="AG54" s="1372"/>
      <c r="AH54" s="1372"/>
      <c r="AI54" s="1372"/>
      <c r="AJ54" s="1372"/>
      <c r="AK54" s="1372"/>
      <c r="AL54" s="3195"/>
      <c r="AM54" s="3195"/>
      <c r="AN54" s="3195"/>
      <c r="AO54" s="3195"/>
      <c r="AP54" s="3195"/>
      <c r="AQ54" s="3195"/>
      <c r="AR54" s="3195"/>
    </row>
    <row customHeight="1" ht="17.25">
      <c r="A55" s="1953"/>
      <c r="B55" s="3195"/>
      <c r="C55" s="1955"/>
      <c r="D55" s="1943"/>
      <c r="E55" s="1960"/>
      <c r="F55" s="1897"/>
      <c r="G55" s="1961"/>
      <c r="H55" s="1943"/>
      <c r="I55" s="1943"/>
      <c r="J55" s="1962"/>
      <c r="K55" s="1873"/>
      <c r="L55" s="2221" t="s">
        <v>106</v>
      </c>
      <c r="M55" s="2221" t="s">
        <v>92</v>
      </c>
      <c r="N55" s="2617" t="str">
        <f>IF(Z55="","",INDEX(TERRITORY_MR_LIST,MATCH(Z55,TERRITORY_LIST_ID,0)))</f>
        <v>Территория 3</v>
      </c>
      <c r="O55" s="2298" t="s">
        <v>19</v>
      </c>
      <c r="P55" s="2221"/>
      <c r="Q55" s="2221" t="s">
        <v>155</v>
      </c>
      <c r="R55" s="3232" t="s">
        <v>28</v>
      </c>
      <c r="S55" s="2220" t="s">
        <v>19</v>
      </c>
      <c r="T55" s="1924"/>
      <c r="U55" s="1924" t="s">
        <v>155</v>
      </c>
      <c r="V55" s="3233" t="s">
        <v>28</v>
      </c>
      <c r="W55" s="1914" t="s">
        <v>264</v>
      </c>
      <c r="X55" s="3195"/>
      <c r="Y55" s="1380"/>
      <c r="Z55" s="1380" t="s">
        <v>112</v>
      </c>
      <c r="AA55" s="1380"/>
      <c r="AB55" s="1380"/>
      <c r="AC55" s="3206" t="s">
        <v>266</v>
      </c>
      <c r="AD55" s="3206" t="s">
        <v>267</v>
      </c>
      <c r="AE55" s="1380" t="s">
        <v>278</v>
      </c>
      <c r="AF55" s="1380" t="s">
        <v>279</v>
      </c>
      <c r="AG55" s="1380" t="s">
        <v>280</v>
      </c>
      <c r="AH55" s="1380" t="str">
        <f>IF($E$48=0,"",$E$48)</f>
        <v>Плата за услуги по поддержанию резервной тепловой мощности при отсутствии потребления тепловой энергии</v>
      </c>
      <c r="AI55" s="1380" t="str">
        <f>IF($G$48=0,"",$G$48)</f>
        <v>Поддержание резервной тепловой мощности при отсутствии потребления тепловой энергии</v>
      </c>
      <c r="AJ55" s="1380" t="str">
        <f>IF($J$48=0,"",$J$48)</f>
        <v>Плата за услуги по поддержанию резервной тепловой мощности при отсутствии потребления тепловой энергии </v>
      </c>
      <c r="AK55" s="1380" t="str">
        <f>IF($K$55="нет","без дифференциации",IF($N$55=0,"",$N$55))</f>
        <v>Территория 3</v>
      </c>
      <c r="AL55" s="1957" t="str">
        <f>IF($O$55="нет","без дифференциации",IF($R$55=0,"",$R$55))</f>
        <v>без дифференциации</v>
      </c>
      <c r="AM55" s="1957" t="str">
        <f>IF($S$55="нет","без дифференциации",IF($V$55=0,"",$V$55))</f>
        <v>без дифференциации</v>
      </c>
      <c r="AN55" s="1380">
        <f>$I$48</f>
        <v>1</v>
      </c>
      <c r="AO55" s="1380" t="str">
        <f>$I$48&amp;"."&amp;$M$55</f>
        <v>1.3</v>
      </c>
      <c r="AP55" s="1380" t="str">
        <f>$I$48&amp;"."&amp;$M$55&amp;"."&amp;$Q$55</f>
        <v>1.3.1</v>
      </c>
      <c r="AQ55" s="1380" t="str">
        <f>$I$48&amp;"."&amp;$M$55&amp;"."&amp;$Q$55&amp;"."&amp;$U$55</f>
        <v>1.3.1.1</v>
      </c>
      <c r="AR55" s="3195"/>
    </row>
    <row customHeight="1" ht="17.25">
      <c r="A56" s="1953"/>
      <c r="B56" s="3195"/>
      <c r="C56" s="1958"/>
      <c r="D56" s="1943"/>
      <c r="E56" s="1960"/>
      <c r="F56" s="1897"/>
      <c r="G56" s="1961"/>
      <c r="H56" s="1943"/>
      <c r="I56" s="1943"/>
      <c r="J56" s="1962"/>
      <c r="K56" s="1873"/>
      <c r="L56" s="2221"/>
      <c r="M56" s="2221"/>
      <c r="N56" s="2617"/>
      <c r="O56" s="2299"/>
      <c r="P56" s="2221"/>
      <c r="Q56" s="2221"/>
      <c r="R56" s="3232" t="s">
        <v>28</v>
      </c>
      <c r="S56" s="2220"/>
      <c r="T56" s="430"/>
      <c r="U56" s="431"/>
      <c r="V56" s="431" t="s">
        <v>273</v>
      </c>
      <c r="W56" s="432"/>
      <c r="X56" s="3195"/>
      <c r="Y56" s="1372"/>
      <c r="Z56" s="1372"/>
      <c r="AA56" s="1372"/>
      <c r="AB56" s="1372"/>
      <c r="AC56" s="1372"/>
      <c r="AD56" s="1372"/>
      <c r="AE56" s="1372"/>
      <c r="AF56" s="1372"/>
      <c r="AG56" s="1372"/>
      <c r="AH56" s="1372"/>
      <c r="AI56" s="1372"/>
      <c r="AJ56" s="1372"/>
      <c r="AK56" s="1372"/>
      <c r="AL56" s="3195"/>
      <c r="AM56" s="3195"/>
      <c r="AN56" s="3195"/>
      <c r="AO56" s="3195"/>
      <c r="AP56" s="3195"/>
      <c r="AQ56" s="3195"/>
      <c r="AR56" s="3195"/>
    </row>
    <row customHeight="1" ht="17.25">
      <c r="A57" s="1953"/>
      <c r="B57" s="3195"/>
      <c r="C57" s="1958"/>
      <c r="D57" s="1943"/>
      <c r="E57" s="1960"/>
      <c r="F57" s="1897"/>
      <c r="G57" s="1961"/>
      <c r="H57" s="1943"/>
      <c r="I57" s="1943"/>
      <c r="J57" s="1962"/>
      <c r="K57" s="1873"/>
      <c r="L57" s="2616"/>
      <c r="M57" s="2616"/>
      <c r="N57" s="2618"/>
      <c r="O57" s="2225"/>
      <c r="P57" s="430"/>
      <c r="Q57" s="431"/>
      <c r="R57" s="431" t="s">
        <v>274</v>
      </c>
      <c r="S57" s="1959"/>
      <c r="T57" s="1959"/>
      <c r="U57" s="1959"/>
      <c r="V57" s="1959"/>
      <c r="W57" s="432"/>
      <c r="X57" s="3195"/>
      <c r="Y57" s="1372"/>
      <c r="Z57" s="1372"/>
      <c r="AA57" s="1372"/>
      <c r="AB57" s="1372"/>
      <c r="AC57" s="1372"/>
      <c r="AD57" s="1372"/>
      <c r="AE57" s="1372"/>
      <c r="AF57" s="1372"/>
      <c r="AG57" s="1372"/>
      <c r="AH57" s="1372"/>
      <c r="AI57" s="1372"/>
      <c r="AJ57" s="1372"/>
      <c r="AK57" s="1372"/>
      <c r="AL57" s="3195"/>
      <c r="AM57" s="3195"/>
      <c r="AN57" s="3195"/>
      <c r="AO57" s="3195"/>
      <c r="AP57" s="3195"/>
      <c r="AQ57" s="3195"/>
      <c r="AR57" s="3195"/>
    </row>
    <row customHeight="1" ht="17.25">
      <c r="A58" s="1953"/>
      <c r="B58" s="3195"/>
      <c r="C58" s="1955"/>
      <c r="D58" s="1943"/>
      <c r="E58" s="1960"/>
      <c r="F58" s="1897"/>
      <c r="G58" s="1961"/>
      <c r="H58" s="1943"/>
      <c r="I58" s="1943"/>
      <c r="J58" s="1962"/>
      <c r="K58" s="1873"/>
      <c r="L58" s="2221" t="s">
        <v>106</v>
      </c>
      <c r="M58" s="2221" t="s">
        <v>93</v>
      </c>
      <c r="N58" s="2617" t="str">
        <f>IF(Z58="","",INDEX(TERRITORY_MR_LIST,MATCH(Z58,TERRITORY_LIST_ID,0)))</f>
        <v>Территория 4</v>
      </c>
      <c r="O58" s="2298" t="s">
        <v>19</v>
      </c>
      <c r="P58" s="2221"/>
      <c r="Q58" s="2221" t="s">
        <v>155</v>
      </c>
      <c r="R58" s="3232" t="s">
        <v>28</v>
      </c>
      <c r="S58" s="2220" t="s">
        <v>19</v>
      </c>
      <c r="T58" s="1924"/>
      <c r="U58" s="1924" t="s">
        <v>155</v>
      </c>
      <c r="V58" s="3233" t="s">
        <v>28</v>
      </c>
      <c r="W58" s="1914" t="s">
        <v>264</v>
      </c>
      <c r="X58" s="3195"/>
      <c r="Y58" s="1380"/>
      <c r="Z58" s="1380" t="s">
        <v>116</v>
      </c>
      <c r="AA58" s="1380"/>
      <c r="AB58" s="1380"/>
      <c r="AC58" s="3206" t="s">
        <v>266</v>
      </c>
      <c r="AD58" s="3206" t="s">
        <v>267</v>
      </c>
      <c r="AE58" s="1380" t="s">
        <v>281</v>
      </c>
      <c r="AF58" s="1380" t="s">
        <v>282</v>
      </c>
      <c r="AG58" s="1380" t="s">
        <v>283</v>
      </c>
      <c r="AH58" s="1380" t="str">
        <f>IF($E$48=0,"",$E$48)</f>
        <v>Плата за услуги по поддержанию резервной тепловой мощности при отсутствии потребления тепловой энергии</v>
      </c>
      <c r="AI58" s="1380" t="str">
        <f>IF($G$48=0,"",$G$48)</f>
        <v>Поддержание резервной тепловой мощности при отсутствии потребления тепловой энергии</v>
      </c>
      <c r="AJ58" s="1380" t="str">
        <f>IF($J$48=0,"",$J$48)</f>
        <v>Плата за услуги по поддержанию резервной тепловой мощности при отсутствии потребления тепловой энергии </v>
      </c>
      <c r="AK58" s="1380" t="str">
        <f>IF($K$58="нет","без дифференциации",IF($N$58=0,"",$N$58))</f>
        <v>Территория 4</v>
      </c>
      <c r="AL58" s="1957" t="str">
        <f>IF($O$58="нет","без дифференциации",IF($R$58=0,"",$R$58))</f>
        <v>без дифференциации</v>
      </c>
      <c r="AM58" s="1957" t="str">
        <f>IF($S$58="нет","без дифференциации",IF($V$58=0,"",$V$58))</f>
        <v>без дифференциации</v>
      </c>
      <c r="AN58" s="1380">
        <f>$I$48</f>
        <v>1</v>
      </c>
      <c r="AO58" s="1380" t="str">
        <f>$I$48&amp;"."&amp;$M$58</f>
        <v>1.4</v>
      </c>
      <c r="AP58" s="1380" t="str">
        <f>$I$48&amp;"."&amp;$M$58&amp;"."&amp;$Q$58</f>
        <v>1.4.1</v>
      </c>
      <c r="AQ58" s="1380" t="str">
        <f>$I$48&amp;"."&amp;$M$58&amp;"."&amp;$Q$58&amp;"."&amp;$U$58</f>
        <v>1.4.1.1</v>
      </c>
      <c r="AR58" s="3195"/>
    </row>
    <row customHeight="1" ht="17.25">
      <c r="A59" s="1953"/>
      <c r="B59" s="3195"/>
      <c r="C59" s="1958"/>
      <c r="D59" s="1943"/>
      <c r="E59" s="1960"/>
      <c r="F59" s="1897"/>
      <c r="G59" s="1961"/>
      <c r="H59" s="1943"/>
      <c r="I59" s="1943"/>
      <c r="J59" s="1962"/>
      <c r="K59" s="1873"/>
      <c r="L59" s="2221"/>
      <c r="M59" s="2221"/>
      <c r="N59" s="2617"/>
      <c r="O59" s="2299"/>
      <c r="P59" s="2221"/>
      <c r="Q59" s="2221"/>
      <c r="R59" s="3232" t="s">
        <v>28</v>
      </c>
      <c r="S59" s="2220"/>
      <c r="T59" s="430"/>
      <c r="U59" s="431"/>
      <c r="V59" s="431" t="s">
        <v>273</v>
      </c>
      <c r="W59" s="432"/>
      <c r="X59" s="3195"/>
      <c r="Y59" s="1372"/>
      <c r="Z59" s="1372"/>
      <c r="AA59" s="1372"/>
      <c r="AB59" s="1372"/>
      <c r="AC59" s="1372"/>
      <c r="AD59" s="1372"/>
      <c r="AE59" s="1372"/>
      <c r="AF59" s="1372"/>
      <c r="AG59" s="1372"/>
      <c r="AH59" s="1372"/>
      <c r="AI59" s="1372"/>
      <c r="AJ59" s="1372"/>
      <c r="AK59" s="1372"/>
      <c r="AL59" s="3195"/>
      <c r="AM59" s="3195"/>
      <c r="AN59" s="3195"/>
      <c r="AO59" s="3195"/>
      <c r="AP59" s="3195"/>
      <c r="AQ59" s="3195"/>
      <c r="AR59" s="3195"/>
    </row>
    <row customHeight="1" ht="17.25">
      <c r="A60" s="1953"/>
      <c r="B60" s="3195"/>
      <c r="C60" s="1958"/>
      <c r="D60" s="1943"/>
      <c r="E60" s="1960"/>
      <c r="F60" s="1897"/>
      <c r="G60" s="1961"/>
      <c r="H60" s="1943"/>
      <c r="I60" s="1943"/>
      <c r="J60" s="1962"/>
      <c r="K60" s="1873"/>
      <c r="L60" s="2616"/>
      <c r="M60" s="2616"/>
      <c r="N60" s="2618"/>
      <c r="O60" s="2225"/>
      <c r="P60" s="430"/>
      <c r="Q60" s="431"/>
      <c r="R60" s="431" t="s">
        <v>274</v>
      </c>
      <c r="S60" s="1959"/>
      <c r="T60" s="1959"/>
      <c r="U60" s="1959"/>
      <c r="V60" s="1959"/>
      <c r="W60" s="432"/>
      <c r="X60" s="3195"/>
      <c r="Y60" s="1372"/>
      <c r="Z60" s="1372"/>
      <c r="AA60" s="1372"/>
      <c r="AB60" s="1372"/>
      <c r="AC60" s="1372"/>
      <c r="AD60" s="1372"/>
      <c r="AE60" s="1372"/>
      <c r="AF60" s="1372"/>
      <c r="AG60" s="1372"/>
      <c r="AH60" s="1372"/>
      <c r="AI60" s="1372"/>
      <c r="AJ60" s="1372"/>
      <c r="AK60" s="1372"/>
      <c r="AL60" s="3195"/>
      <c r="AM60" s="3195"/>
      <c r="AN60" s="3195"/>
      <c r="AO60" s="3195"/>
      <c r="AP60" s="3195"/>
      <c r="AQ60" s="3195"/>
      <c r="AR60" s="3195"/>
    </row>
    <row customHeight="1" ht="17.25">
      <c r="A61" s="1953"/>
      <c r="B61" s="3195"/>
      <c r="C61" s="1955"/>
      <c r="D61" s="1943"/>
      <c r="E61" s="1960"/>
      <c r="F61" s="1897"/>
      <c r="G61" s="1961"/>
      <c r="H61" s="1943"/>
      <c r="I61" s="1943"/>
      <c r="J61" s="1962"/>
      <c r="K61" s="1873"/>
      <c r="L61" s="2221" t="s">
        <v>106</v>
      </c>
      <c r="M61" s="2221" t="s">
        <v>120</v>
      </c>
      <c r="N61" s="2617" t="str">
        <f>IF(Z61="","",INDEX(TERRITORY_MR_LIST,MATCH(Z61,TERRITORY_LIST_ID,0)))</f>
        <v>Территория 5</v>
      </c>
      <c r="O61" s="2298" t="s">
        <v>19</v>
      </c>
      <c r="P61" s="2221"/>
      <c r="Q61" s="2221" t="s">
        <v>155</v>
      </c>
      <c r="R61" s="3232" t="s">
        <v>28</v>
      </c>
      <c r="S61" s="2220" t="s">
        <v>19</v>
      </c>
      <c r="T61" s="1924"/>
      <c r="U61" s="1924" t="s">
        <v>155</v>
      </c>
      <c r="V61" s="3233" t="s">
        <v>28</v>
      </c>
      <c r="W61" s="1914" t="s">
        <v>264</v>
      </c>
      <c r="X61" s="3195"/>
      <c r="Y61" s="1380"/>
      <c r="Z61" s="1380" t="s">
        <v>121</v>
      </c>
      <c r="AA61" s="1380"/>
      <c r="AB61" s="1380"/>
      <c r="AC61" s="3206" t="s">
        <v>266</v>
      </c>
      <c r="AD61" s="3206" t="s">
        <v>267</v>
      </c>
      <c r="AE61" s="1380" t="s">
        <v>284</v>
      </c>
      <c r="AF61" s="1380" t="s">
        <v>285</v>
      </c>
      <c r="AG61" s="1380" t="s">
        <v>286</v>
      </c>
      <c r="AH61" s="1380" t="str">
        <f>IF($E$48=0,"",$E$48)</f>
        <v>Плата за услуги по поддержанию резервной тепловой мощности при отсутствии потребления тепловой энергии</v>
      </c>
      <c r="AI61" s="1380" t="str">
        <f>IF($G$48=0,"",$G$48)</f>
        <v>Поддержание резервной тепловой мощности при отсутствии потребления тепловой энергии</v>
      </c>
      <c r="AJ61" s="1380" t="str">
        <f>IF($J$48=0,"",$J$48)</f>
        <v>Плата за услуги по поддержанию резервной тепловой мощности при отсутствии потребления тепловой энергии </v>
      </c>
      <c r="AK61" s="1380" t="str">
        <f>IF($K$61="нет","без дифференциации",IF($N$61=0,"",$N$61))</f>
        <v>Территория 5</v>
      </c>
      <c r="AL61" s="1957" t="str">
        <f>IF($O$61="нет","без дифференциации",IF($R$61=0,"",$R$61))</f>
        <v>без дифференциации</v>
      </c>
      <c r="AM61" s="1957" t="str">
        <f>IF($S$61="нет","без дифференциации",IF($V$61=0,"",$V$61))</f>
        <v>без дифференциации</v>
      </c>
      <c r="AN61" s="1380">
        <f>$I$48</f>
        <v>1</v>
      </c>
      <c r="AO61" s="1380" t="str">
        <f>$I$48&amp;"."&amp;$M$61</f>
        <v>1.5</v>
      </c>
      <c r="AP61" s="1380" t="str">
        <f>$I$48&amp;"."&amp;$M$61&amp;"."&amp;$Q$61</f>
        <v>1.5.1</v>
      </c>
      <c r="AQ61" s="1380" t="str">
        <f>$I$48&amp;"."&amp;$M$61&amp;"."&amp;$Q$61&amp;"."&amp;$U$61</f>
        <v>1.5.1.1</v>
      </c>
      <c r="AR61" s="3195"/>
    </row>
    <row customHeight="1" ht="17.25">
      <c r="A62" s="1953"/>
      <c r="B62" s="3195"/>
      <c r="C62" s="1958"/>
      <c r="D62" s="1943"/>
      <c r="E62" s="1960"/>
      <c r="F62" s="1897"/>
      <c r="G62" s="1961"/>
      <c r="H62" s="1943"/>
      <c r="I62" s="1943"/>
      <c r="J62" s="1962"/>
      <c r="K62" s="1873"/>
      <c r="L62" s="2221"/>
      <c r="M62" s="2221"/>
      <c r="N62" s="2617"/>
      <c r="O62" s="2299"/>
      <c r="P62" s="2221"/>
      <c r="Q62" s="2221"/>
      <c r="R62" s="3232" t="s">
        <v>28</v>
      </c>
      <c r="S62" s="2220"/>
      <c r="T62" s="430"/>
      <c r="U62" s="431"/>
      <c r="V62" s="431" t="s">
        <v>273</v>
      </c>
      <c r="W62" s="432"/>
      <c r="X62" s="3195"/>
      <c r="Y62" s="1372"/>
      <c r="Z62" s="1372"/>
      <c r="AA62" s="1372"/>
      <c r="AB62" s="1372"/>
      <c r="AC62" s="1372"/>
      <c r="AD62" s="1372"/>
      <c r="AE62" s="1372"/>
      <c r="AF62" s="1372"/>
      <c r="AG62" s="1372"/>
      <c r="AH62" s="1372"/>
      <c r="AI62" s="1372"/>
      <c r="AJ62" s="1372"/>
      <c r="AK62" s="1372"/>
      <c r="AL62" s="3195"/>
      <c r="AM62" s="3195"/>
      <c r="AN62" s="3195"/>
      <c r="AO62" s="3195"/>
      <c r="AP62" s="3195"/>
      <c r="AQ62" s="3195"/>
      <c r="AR62" s="3195"/>
    </row>
    <row customHeight="1" ht="17.25">
      <c r="A63" s="1953"/>
      <c r="B63" s="3195"/>
      <c r="C63" s="1958"/>
      <c r="D63" s="1943"/>
      <c r="E63" s="1960"/>
      <c r="F63" s="1897"/>
      <c r="G63" s="1961"/>
      <c r="H63" s="1943"/>
      <c r="I63" s="1943"/>
      <c r="J63" s="1962"/>
      <c r="K63" s="1873"/>
      <c r="L63" s="2616"/>
      <c r="M63" s="2616"/>
      <c r="N63" s="2618"/>
      <c r="O63" s="2225"/>
      <c r="P63" s="430"/>
      <c r="Q63" s="431"/>
      <c r="R63" s="431" t="s">
        <v>274</v>
      </c>
      <c r="S63" s="1959"/>
      <c r="T63" s="1959"/>
      <c r="U63" s="1959"/>
      <c r="V63" s="1959"/>
      <c r="W63" s="432"/>
      <c r="X63" s="3195"/>
      <c r="Y63" s="1372"/>
      <c r="Z63" s="1372"/>
      <c r="AA63" s="1372"/>
      <c r="AB63" s="1372"/>
      <c r="AC63" s="1372"/>
      <c r="AD63" s="1372"/>
      <c r="AE63" s="1372"/>
      <c r="AF63" s="1372"/>
      <c r="AG63" s="1372"/>
      <c r="AH63" s="1372"/>
      <c r="AI63" s="1372"/>
      <c r="AJ63" s="1372"/>
      <c r="AK63" s="1372"/>
      <c r="AL63" s="3195"/>
      <c r="AM63" s="3195"/>
      <c r="AN63" s="3195"/>
      <c r="AO63" s="3195"/>
      <c r="AP63" s="3195"/>
      <c r="AQ63" s="3195"/>
      <c r="AR63" s="3195"/>
    </row>
    <row customHeight="1" ht="17.25">
      <c r="A64" s="1953"/>
      <c r="B64" s="3195"/>
      <c r="C64" s="1955"/>
      <c r="D64" s="1943"/>
      <c r="E64" s="1960"/>
      <c r="F64" s="1897"/>
      <c r="G64" s="1961"/>
      <c r="H64" s="1943"/>
      <c r="I64" s="1943"/>
      <c r="J64" s="1962"/>
      <c r="K64" s="1873"/>
      <c r="L64" s="2221" t="s">
        <v>106</v>
      </c>
      <c r="M64" s="2221" t="s">
        <v>94</v>
      </c>
      <c r="N64" s="2617" t="str">
        <f>IF(Z64="","",INDEX(TERRITORY_MR_LIST,MATCH(Z64,TERRITORY_LIST_ID,0)))</f>
        <v>Территория 6</v>
      </c>
      <c r="O64" s="2298" t="s">
        <v>19</v>
      </c>
      <c r="P64" s="2221"/>
      <c r="Q64" s="2221" t="s">
        <v>155</v>
      </c>
      <c r="R64" s="3232" t="s">
        <v>28</v>
      </c>
      <c r="S64" s="2220" t="s">
        <v>63</v>
      </c>
      <c r="T64" s="1924"/>
      <c r="U64" s="1924" t="s">
        <v>155</v>
      </c>
      <c r="V64" s="1956" t="s">
        <v>287</v>
      </c>
      <c r="W64" s="1914" t="s">
        <v>264</v>
      </c>
      <c r="X64" s="3195"/>
      <c r="Y64" s="1380"/>
      <c r="Z64" s="1380" t="s">
        <v>125</v>
      </c>
      <c r="AA64" s="1380"/>
      <c r="AB64" s="1380"/>
      <c r="AC64" s="3206" t="s">
        <v>266</v>
      </c>
      <c r="AD64" s="3206" t="s">
        <v>267</v>
      </c>
      <c r="AE64" s="1380" t="s">
        <v>288</v>
      </c>
      <c r="AF64" s="1380" t="s">
        <v>289</v>
      </c>
      <c r="AG64" s="1380" t="s">
        <v>290</v>
      </c>
      <c r="AH64" s="1380" t="str">
        <f>IF($E$48=0,"",$E$48)</f>
        <v>Плата за услуги по поддержанию резервной тепловой мощности при отсутствии потребления тепловой энергии</v>
      </c>
      <c r="AI64" s="1380" t="str">
        <f>IF($G$48=0,"",$G$48)</f>
        <v>Поддержание резервной тепловой мощности при отсутствии потребления тепловой энергии</v>
      </c>
      <c r="AJ64" s="1380" t="str">
        <f>IF($J$48=0,"",$J$48)</f>
        <v>Плата за услуги по поддержанию резервной тепловой мощности при отсутствии потребления тепловой энергии </v>
      </c>
      <c r="AK64" s="1380" t="str">
        <f>IF($K$64="нет","без дифференциации",IF($N$64=0,"",$N$64))</f>
        <v>Территория 6</v>
      </c>
      <c r="AL64" s="1957" t="str">
        <f>IF($O$64="нет","без дифференциации",IF($R$64=0,"",$R$64))</f>
        <v>без дифференциации</v>
      </c>
      <c r="AM64" s="1957" t="str">
        <f>IF($S$64="нет","без дифференциации",IF($V$64=0,"",$V$64))</f>
        <v>г.п. Кильдинстрой</v>
      </c>
      <c r="AN64" s="1380">
        <f>$I$48</f>
        <v>1</v>
      </c>
      <c r="AO64" s="1380" t="str">
        <f>$I$48&amp;"."&amp;$M$64</f>
        <v>1.6</v>
      </c>
      <c r="AP64" s="1380" t="str">
        <f>$I$48&amp;"."&amp;$M$64&amp;"."&amp;$Q$64</f>
        <v>1.6.1</v>
      </c>
      <c r="AQ64" s="1380" t="str">
        <f>$I$48&amp;"."&amp;$M$64&amp;"."&amp;$Q$64&amp;"."&amp;$U$64</f>
        <v>1.6.1.1</v>
      </c>
      <c r="AR64" s="3195"/>
    </row>
    <row customHeight="1" ht="17.25">
      <c r="A65" s="1953"/>
      <c r="B65" s="3195"/>
      <c r="C65" s="1955"/>
      <c r="D65" s="1943"/>
      <c r="E65" s="1960"/>
      <c r="F65" s="1897"/>
      <c r="G65" s="1961"/>
      <c r="H65" s="1869"/>
      <c r="I65" s="1869"/>
      <c r="J65" s="1870"/>
      <c r="K65" s="1961"/>
      <c r="L65" s="1869"/>
      <c r="M65" s="1869"/>
      <c r="N65" s="1961"/>
      <c r="O65" s="1961"/>
      <c r="P65" s="1869"/>
      <c r="Q65" s="1869"/>
      <c r="R65" s="1871"/>
      <c r="S65" s="1961"/>
      <c r="T65" s="1924" t="s">
        <v>106</v>
      </c>
      <c r="U65" s="1924" t="s">
        <v>105</v>
      </c>
      <c r="V65" s="1956" t="s">
        <v>291</v>
      </c>
      <c r="W65" s="1914" t="s">
        <v>264</v>
      </c>
      <c r="X65" s="3195"/>
      <c r="Y65" s="1380"/>
      <c r="Z65" s="1380"/>
      <c r="AA65" s="1380"/>
      <c r="AB65" s="1380"/>
      <c r="AC65" s="3206" t="s">
        <v>266</v>
      </c>
      <c r="AD65" s="3206" t="s">
        <v>267</v>
      </c>
      <c r="AE65" s="3206" t="s">
        <v>288</v>
      </c>
      <c r="AF65" s="3206" t="s">
        <v>289</v>
      </c>
      <c r="AG65" s="1380" t="s">
        <v>292</v>
      </c>
      <c r="AH65" s="1380" t="str">
        <f>IF($E$48=0,"",$E$48)</f>
        <v>Плата за услуги по поддержанию резервной тепловой мощности при отсутствии потребления тепловой энергии</v>
      </c>
      <c r="AI65" s="1380" t="str">
        <f>IF($G$48=0,"",$G$48)</f>
        <v>Поддержание резервной тепловой мощности при отсутствии потребления тепловой энергии</v>
      </c>
      <c r="AJ65" s="1380" t="str">
        <f>IF($J$48=0,"",$J$48)</f>
        <v>Плата за услуги по поддержанию резервной тепловой мощности при отсутствии потребления тепловой энергии </v>
      </c>
      <c r="AK65" s="1380" t="str">
        <f>IF($K$64="нет","без дифференциации",IF($N$64=0,"",$N$64))</f>
        <v>Территория 6</v>
      </c>
      <c r="AL65" s="1957" t="str">
        <f>IF($O$64="нет","без дифференциации",IF($R$64=0,"",$R$64))</f>
        <v>без дифференциации</v>
      </c>
      <c r="AM65" s="1957" t="str">
        <f>IF($S$65="нет","без дифференциации",IF($V$65=0,"",$V$65))</f>
        <v>н.п. Шонгуй</v>
      </c>
      <c r="AN65" s="1380">
        <f>$I$48</f>
        <v>1</v>
      </c>
      <c r="AO65" s="1380" t="str">
        <f>$I$48&amp;"."&amp;$M$64</f>
        <v>1.6</v>
      </c>
      <c r="AP65" s="1380" t="str">
        <f>$I$48&amp;"."&amp;$M$64&amp;"."&amp;$Q$64</f>
        <v>1.6.1</v>
      </c>
      <c r="AQ65" s="1380" t="str">
        <f>$I$48&amp;"."&amp;$M$64&amp;"."&amp;$Q$64&amp;"."&amp;$U$65</f>
        <v>1.6.1.2</v>
      </c>
      <c r="AR65" s="3195"/>
    </row>
    <row customHeight="1" ht="17.25">
      <c r="A66" s="1953"/>
      <c r="B66" s="3195"/>
      <c r="C66" s="1958"/>
      <c r="D66" s="1943"/>
      <c r="E66" s="1960"/>
      <c r="F66" s="1897"/>
      <c r="G66" s="1961"/>
      <c r="H66" s="1943"/>
      <c r="I66" s="1943"/>
      <c r="J66" s="1962"/>
      <c r="K66" s="1873"/>
      <c r="L66" s="2221"/>
      <c r="M66" s="2221"/>
      <c r="N66" s="2617"/>
      <c r="O66" s="2299"/>
      <c r="P66" s="2221"/>
      <c r="Q66" s="2221"/>
      <c r="R66" s="3232" t="s">
        <v>28</v>
      </c>
      <c r="S66" s="2220"/>
      <c r="T66" s="430"/>
      <c r="U66" s="431"/>
      <c r="V66" s="431" t="s">
        <v>273</v>
      </c>
      <c r="W66" s="432"/>
      <c r="X66" s="3195"/>
      <c r="Y66" s="1372"/>
      <c r="Z66" s="1372"/>
      <c r="AA66" s="1372"/>
      <c r="AB66" s="1372"/>
      <c r="AC66" s="1372"/>
      <c r="AD66" s="1372"/>
      <c r="AE66" s="1372"/>
      <c r="AF66" s="1372"/>
      <c r="AG66" s="1372"/>
      <c r="AH66" s="1372"/>
      <c r="AI66" s="1372"/>
      <c r="AJ66" s="1372"/>
      <c r="AK66" s="1372"/>
      <c r="AL66" s="3195"/>
      <c r="AM66" s="3195"/>
      <c r="AN66" s="3195"/>
      <c r="AO66" s="3195"/>
      <c r="AP66" s="3195"/>
      <c r="AQ66" s="3195"/>
      <c r="AR66" s="3195"/>
    </row>
    <row customHeight="1" ht="17.25">
      <c r="A67" s="1953"/>
      <c r="B67" s="3195"/>
      <c r="C67" s="1958"/>
      <c r="D67" s="1943"/>
      <c r="E67" s="1960"/>
      <c r="F67" s="1897"/>
      <c r="G67" s="1961"/>
      <c r="H67" s="1943"/>
      <c r="I67" s="1943"/>
      <c r="J67" s="1962"/>
      <c r="K67" s="1873"/>
      <c r="L67" s="2616"/>
      <c r="M67" s="2616"/>
      <c r="N67" s="2618"/>
      <c r="O67" s="2225"/>
      <c r="P67" s="430"/>
      <c r="Q67" s="431"/>
      <c r="R67" s="431" t="s">
        <v>274</v>
      </c>
      <c r="S67" s="1959"/>
      <c r="T67" s="1959"/>
      <c r="U67" s="1959"/>
      <c r="V67" s="1959"/>
      <c r="W67" s="432"/>
      <c r="X67" s="3195"/>
      <c r="Y67" s="1372"/>
      <c r="Z67" s="1372"/>
      <c r="AA67" s="1372"/>
      <c r="AB67" s="1372"/>
      <c r="AC67" s="1372"/>
      <c r="AD67" s="1372"/>
      <c r="AE67" s="1372"/>
      <c r="AF67" s="1372"/>
      <c r="AG67" s="1372"/>
      <c r="AH67" s="1372"/>
      <c r="AI67" s="1372"/>
      <c r="AJ67" s="1372"/>
      <c r="AK67" s="1372"/>
      <c r="AL67" s="3195"/>
      <c r="AM67" s="3195"/>
      <c r="AN67" s="3195"/>
      <c r="AO67" s="3195"/>
      <c r="AP67" s="3195"/>
      <c r="AQ67" s="3195"/>
      <c r="AR67" s="3195"/>
    </row>
    <row customHeight="1" ht="17.25">
      <c r="A68" s="1953"/>
      <c r="B68" s="3195"/>
      <c r="C68" s="1955"/>
      <c r="D68" s="1943"/>
      <c r="E68" s="1960"/>
      <c r="F68" s="1897"/>
      <c r="G68" s="1961"/>
      <c r="H68" s="1943"/>
      <c r="I68" s="1943"/>
      <c r="J68" s="1962"/>
      <c r="K68" s="1873"/>
      <c r="L68" s="2221" t="s">
        <v>106</v>
      </c>
      <c r="M68" s="2221" t="s">
        <v>95</v>
      </c>
      <c r="N68" s="2617" t="str">
        <f>IF(Z68="","",INDEX(TERRITORY_MR_LIST,MATCH(Z68,TERRITORY_LIST_ID,0)))</f>
        <v>Территория 7</v>
      </c>
      <c r="O68" s="2298" t="s">
        <v>19</v>
      </c>
      <c r="P68" s="2221"/>
      <c r="Q68" s="2221" t="s">
        <v>155</v>
      </c>
      <c r="R68" s="3232" t="s">
        <v>28</v>
      </c>
      <c r="S68" s="2220" t="s">
        <v>19</v>
      </c>
      <c r="T68" s="1924"/>
      <c r="U68" s="1924" t="s">
        <v>155</v>
      </c>
      <c r="V68" s="3233" t="s">
        <v>28</v>
      </c>
      <c r="W68" s="1914" t="s">
        <v>264</v>
      </c>
      <c r="X68" s="3195"/>
      <c r="Y68" s="1380"/>
      <c r="Z68" s="1380" t="s">
        <v>129</v>
      </c>
      <c r="AA68" s="1380"/>
      <c r="AB68" s="1380"/>
      <c r="AC68" s="3206" t="s">
        <v>266</v>
      </c>
      <c r="AD68" s="3206" t="s">
        <v>267</v>
      </c>
      <c r="AE68" s="1380" t="s">
        <v>293</v>
      </c>
      <c r="AF68" s="1380" t="s">
        <v>294</v>
      </c>
      <c r="AG68" s="1380" t="s">
        <v>295</v>
      </c>
      <c r="AH68" s="1380" t="str">
        <f>IF($E$48=0,"",$E$48)</f>
        <v>Плата за услуги по поддержанию резервной тепловой мощности при отсутствии потребления тепловой энергии</v>
      </c>
      <c r="AI68" s="1380" t="str">
        <f>IF($G$48=0,"",$G$48)</f>
        <v>Поддержание резервной тепловой мощности при отсутствии потребления тепловой энергии</v>
      </c>
      <c r="AJ68" s="1380" t="str">
        <f>IF($J$48=0,"",$J$48)</f>
        <v>Плата за услуги по поддержанию резервной тепловой мощности при отсутствии потребления тепловой энергии </v>
      </c>
      <c r="AK68" s="1380" t="str">
        <f>IF($K$68="нет","без дифференциации",IF($N$68=0,"",$N$68))</f>
        <v>Территория 7</v>
      </c>
      <c r="AL68" s="1957" t="str">
        <f>IF($O$68="нет","без дифференциации",IF($R$68=0,"",$R$68))</f>
        <v>без дифференциации</v>
      </c>
      <c r="AM68" s="1957" t="str">
        <f>IF($S$68="нет","без дифференциации",IF($V$68=0,"",$V$68))</f>
        <v>без дифференциации</v>
      </c>
      <c r="AN68" s="1380">
        <f>$I$48</f>
        <v>1</v>
      </c>
      <c r="AO68" s="1380" t="str">
        <f>$I$48&amp;"."&amp;$M$68</f>
        <v>1.7</v>
      </c>
      <c r="AP68" s="1380" t="str">
        <f>$I$48&amp;"."&amp;$M$68&amp;"."&amp;$Q$68</f>
        <v>1.7.1</v>
      </c>
      <c r="AQ68" s="1380" t="str">
        <f>$I$48&amp;"."&amp;$M$68&amp;"."&amp;$Q$68&amp;"."&amp;$U$68</f>
        <v>1.7.1.1</v>
      </c>
      <c r="AR68" s="3195"/>
    </row>
    <row customHeight="1" ht="17.25">
      <c r="A69" s="1953"/>
      <c r="B69" s="3195"/>
      <c r="C69" s="1958"/>
      <c r="D69" s="1943"/>
      <c r="E69" s="1960"/>
      <c r="F69" s="1897"/>
      <c r="G69" s="1961"/>
      <c r="H69" s="1943"/>
      <c r="I69" s="1943"/>
      <c r="J69" s="1962"/>
      <c r="K69" s="1873"/>
      <c r="L69" s="2221"/>
      <c r="M69" s="2221"/>
      <c r="N69" s="2617"/>
      <c r="O69" s="2299"/>
      <c r="P69" s="2221"/>
      <c r="Q69" s="2221"/>
      <c r="R69" s="3232" t="s">
        <v>28</v>
      </c>
      <c r="S69" s="2220"/>
      <c r="T69" s="430"/>
      <c r="U69" s="431"/>
      <c r="V69" s="431" t="s">
        <v>273</v>
      </c>
      <c r="W69" s="432"/>
      <c r="X69" s="3195"/>
      <c r="Y69" s="1372"/>
      <c r="Z69" s="1372"/>
      <c r="AA69" s="1372"/>
      <c r="AB69" s="1372"/>
      <c r="AC69" s="1372"/>
      <c r="AD69" s="1372"/>
      <c r="AE69" s="1372"/>
      <c r="AF69" s="1372"/>
      <c r="AG69" s="1372"/>
      <c r="AH69" s="1372"/>
      <c r="AI69" s="1372"/>
      <c r="AJ69" s="1372"/>
      <c r="AK69" s="1372"/>
      <c r="AL69" s="3195"/>
      <c r="AM69" s="3195"/>
      <c r="AN69" s="3195"/>
      <c r="AO69" s="3195"/>
      <c r="AP69" s="3195"/>
      <c r="AQ69" s="3195"/>
      <c r="AR69" s="3195"/>
    </row>
    <row customHeight="1" ht="17.25">
      <c r="A70" s="1953"/>
      <c r="B70" s="3195"/>
      <c r="C70" s="1958"/>
      <c r="D70" s="1943"/>
      <c r="E70" s="1960"/>
      <c r="F70" s="1897"/>
      <c r="G70" s="1961"/>
      <c r="H70" s="1943"/>
      <c r="I70" s="1943"/>
      <c r="J70" s="1962"/>
      <c r="K70" s="1873"/>
      <c r="L70" s="2616"/>
      <c r="M70" s="2616"/>
      <c r="N70" s="2618"/>
      <c r="O70" s="2225"/>
      <c r="P70" s="430"/>
      <c r="Q70" s="431"/>
      <c r="R70" s="431" t="s">
        <v>274</v>
      </c>
      <c r="S70" s="1959"/>
      <c r="T70" s="1959"/>
      <c r="U70" s="1959"/>
      <c r="V70" s="1959"/>
      <c r="W70" s="432"/>
      <c r="X70" s="3195"/>
      <c r="Y70" s="1372"/>
      <c r="Z70" s="1372"/>
      <c r="AA70" s="1372"/>
      <c r="AB70" s="1372"/>
      <c r="AC70" s="1372"/>
      <c r="AD70" s="1372"/>
      <c r="AE70" s="1372"/>
      <c r="AF70" s="1372"/>
      <c r="AG70" s="1372"/>
      <c r="AH70" s="1372"/>
      <c r="AI70" s="1372"/>
      <c r="AJ70" s="1372"/>
      <c r="AK70" s="1372"/>
      <c r="AL70" s="3195"/>
      <c r="AM70" s="3195"/>
      <c r="AN70" s="3195"/>
      <c r="AO70" s="3195"/>
      <c r="AP70" s="3195"/>
      <c r="AQ70" s="3195"/>
      <c r="AR70" s="3195"/>
    </row>
    <row customHeight="1" ht="17.25">
      <c r="A71" s="1953"/>
      <c r="B71" s="3195"/>
      <c r="C71" s="1955"/>
      <c r="D71" s="1943"/>
      <c r="E71" s="1960"/>
      <c r="F71" s="1897"/>
      <c r="G71" s="1961"/>
      <c r="H71" s="1943"/>
      <c r="I71" s="1943"/>
      <c r="J71" s="1962"/>
      <c r="K71" s="1873"/>
      <c r="L71" s="2221" t="s">
        <v>106</v>
      </c>
      <c r="M71" s="2221" t="s">
        <v>134</v>
      </c>
      <c r="N71" s="2617" t="str">
        <f>IF(Z71="","",INDEX(TERRITORY_MR_LIST,MATCH(Z71,TERRITORY_LIST_ID,0)))</f>
        <v>Территория 8</v>
      </c>
      <c r="O71" s="2298" t="s">
        <v>19</v>
      </c>
      <c r="P71" s="2221"/>
      <c r="Q71" s="2221" t="s">
        <v>155</v>
      </c>
      <c r="R71" s="3232" t="s">
        <v>28</v>
      </c>
      <c r="S71" s="2220" t="s">
        <v>63</v>
      </c>
      <c r="T71" s="1924"/>
      <c r="U71" s="1924" t="s">
        <v>155</v>
      </c>
      <c r="V71" s="1956" t="s">
        <v>296</v>
      </c>
      <c r="W71" s="1914" t="s">
        <v>264</v>
      </c>
      <c r="X71" s="3195"/>
      <c r="Y71" s="1380"/>
      <c r="Z71" s="1380" t="s">
        <v>135</v>
      </c>
      <c r="AA71" s="1380"/>
      <c r="AB71" s="1380"/>
      <c r="AC71" s="3206" t="s">
        <v>266</v>
      </c>
      <c r="AD71" s="3206" t="s">
        <v>267</v>
      </c>
      <c r="AE71" s="1380" t="s">
        <v>297</v>
      </c>
      <c r="AF71" s="1380" t="s">
        <v>298</v>
      </c>
      <c r="AG71" s="1380" t="s">
        <v>299</v>
      </c>
      <c r="AH71" s="1380" t="str">
        <f>IF($E$48=0,"",$E$48)</f>
        <v>Плата за услуги по поддержанию резервной тепловой мощности при отсутствии потребления тепловой энергии</v>
      </c>
      <c r="AI71" s="1380" t="str">
        <f>IF($G$48=0,"",$G$48)</f>
        <v>Поддержание резервной тепловой мощности при отсутствии потребления тепловой энергии</v>
      </c>
      <c r="AJ71" s="1380" t="str">
        <f>IF($J$48=0,"",$J$48)</f>
        <v>Плата за услуги по поддержанию резервной тепловой мощности при отсутствии потребления тепловой энергии </v>
      </c>
      <c r="AK71" s="1380" t="str">
        <f>IF($K$71="нет","без дифференциации",IF($N$71=0,"",$N$71))</f>
        <v>Территория 8</v>
      </c>
      <c r="AL71" s="1957" t="str">
        <f>IF($O$71="нет","без дифференциации",IF($R$71=0,"",$R$71))</f>
        <v>без дифференциации</v>
      </c>
      <c r="AM71" s="1957" t="str">
        <f>IF($S$71="нет","без дифференциации",IF($V$71=0,"",$V$71))</f>
        <v>Городское поселение Ревда Ловозерского муниципального района Мурманской области (потребители, присоединенные к тепловым сетям АО "МЭС")</v>
      </c>
      <c r="AN71" s="1380">
        <f>$I$48</f>
        <v>1</v>
      </c>
      <c r="AO71" s="1380" t="str">
        <f>$I$48&amp;"."&amp;$M$71</f>
        <v>1.8</v>
      </c>
      <c r="AP71" s="1380" t="str">
        <f>$I$48&amp;"."&amp;$M$71&amp;"."&amp;$Q$71</f>
        <v>1.8.1</v>
      </c>
      <c r="AQ71" s="1380" t="str">
        <f>$I$48&amp;"."&amp;$M$71&amp;"."&amp;$Q$71&amp;"."&amp;$U$71</f>
        <v>1.8.1.1</v>
      </c>
      <c r="AR71" s="3195"/>
    </row>
    <row customHeight="1" ht="17.25">
      <c r="A72" s="1953"/>
      <c r="B72" s="3195"/>
      <c r="C72" s="1958"/>
      <c r="D72" s="1943"/>
      <c r="E72" s="1960"/>
      <c r="F72" s="1897"/>
      <c r="G72" s="1961"/>
      <c r="H72" s="1943"/>
      <c r="I72" s="1943"/>
      <c r="J72" s="1962"/>
      <c r="K72" s="1873"/>
      <c r="L72" s="2221"/>
      <c r="M72" s="2221"/>
      <c r="N72" s="2617"/>
      <c r="O72" s="2299"/>
      <c r="P72" s="2221"/>
      <c r="Q72" s="2221"/>
      <c r="R72" s="3232" t="s">
        <v>28</v>
      </c>
      <c r="S72" s="2220"/>
      <c r="T72" s="430"/>
      <c r="U72" s="431"/>
      <c r="V72" s="431" t="s">
        <v>273</v>
      </c>
      <c r="W72" s="432"/>
      <c r="X72" s="3195"/>
      <c r="Y72" s="1372"/>
      <c r="Z72" s="1372"/>
      <c r="AA72" s="1372"/>
      <c r="AB72" s="1372"/>
      <c r="AC72" s="1372"/>
      <c r="AD72" s="1372"/>
      <c r="AE72" s="1372"/>
      <c r="AF72" s="1372"/>
      <c r="AG72" s="1372"/>
      <c r="AH72" s="1372"/>
      <c r="AI72" s="1372"/>
      <c r="AJ72" s="1372"/>
      <c r="AK72" s="1372"/>
      <c r="AL72" s="3195"/>
      <c r="AM72" s="3195"/>
      <c r="AN72" s="3195"/>
      <c r="AO72" s="3195"/>
      <c r="AP72" s="3195"/>
      <c r="AQ72" s="3195"/>
      <c r="AR72" s="3195"/>
    </row>
    <row customHeight="1" ht="17.25">
      <c r="A73" s="1953"/>
      <c r="B73" s="3195"/>
      <c r="C73" s="1958"/>
      <c r="D73" s="1943"/>
      <c r="E73" s="1960"/>
      <c r="F73" s="1897"/>
      <c r="G73" s="1961"/>
      <c r="H73" s="1943"/>
      <c r="I73" s="1943"/>
      <c r="J73" s="1962"/>
      <c r="K73" s="1873"/>
      <c r="L73" s="2616"/>
      <c r="M73" s="2616"/>
      <c r="N73" s="2618"/>
      <c r="O73" s="2225"/>
      <c r="P73" s="430"/>
      <c r="Q73" s="431"/>
      <c r="R73" s="431" t="s">
        <v>274</v>
      </c>
      <c r="S73" s="1959"/>
      <c r="T73" s="1959"/>
      <c r="U73" s="1959"/>
      <c r="V73" s="1959"/>
      <c r="W73" s="432"/>
      <c r="X73" s="3195"/>
      <c r="Y73" s="1372"/>
      <c r="Z73" s="1372"/>
      <c r="AA73" s="1372"/>
      <c r="AB73" s="1372"/>
      <c r="AC73" s="1372"/>
      <c r="AD73" s="1372"/>
      <c r="AE73" s="1372"/>
      <c r="AF73" s="1372"/>
      <c r="AG73" s="1372"/>
      <c r="AH73" s="1372"/>
      <c r="AI73" s="1372"/>
      <c r="AJ73" s="1372"/>
      <c r="AK73" s="1372"/>
      <c r="AL73" s="3195"/>
      <c r="AM73" s="3195"/>
      <c r="AN73" s="3195"/>
      <c r="AO73" s="3195"/>
      <c r="AP73" s="3195"/>
      <c r="AQ73" s="3195"/>
      <c r="AR73" s="3195"/>
    </row>
    <row customHeight="1" ht="17.25">
      <c r="A74" s="1953"/>
      <c r="B74" s="3195"/>
      <c r="C74" s="1955"/>
      <c r="D74" s="1943"/>
      <c r="E74" s="1960"/>
      <c r="F74" s="1897"/>
      <c r="G74" s="1961"/>
      <c r="H74" s="1943"/>
      <c r="I74" s="1943"/>
      <c r="J74" s="1962"/>
      <c r="K74" s="1873"/>
      <c r="L74" s="2221" t="s">
        <v>106</v>
      </c>
      <c r="M74" s="2221" t="s">
        <v>139</v>
      </c>
      <c r="N74" s="2617" t="str">
        <f>IF(Z74="","",INDEX(TERRITORY_MR_LIST,MATCH(Z74,TERRITORY_LIST_ID,0)))</f>
        <v>Территория 9</v>
      </c>
      <c r="O74" s="2298" t="s">
        <v>19</v>
      </c>
      <c r="P74" s="2221"/>
      <c r="Q74" s="2221" t="s">
        <v>155</v>
      </c>
      <c r="R74" s="3232" t="s">
        <v>28</v>
      </c>
      <c r="S74" s="2220" t="s">
        <v>63</v>
      </c>
      <c r="T74" s="1924"/>
      <c r="U74" s="1924" t="s">
        <v>155</v>
      </c>
      <c r="V74" s="1956" t="s">
        <v>300</v>
      </c>
      <c r="W74" s="1914" t="s">
        <v>264</v>
      </c>
      <c r="X74" s="3195"/>
      <c r="Y74" s="1380"/>
      <c r="Z74" s="1380" t="s">
        <v>140</v>
      </c>
      <c r="AA74" s="1380"/>
      <c r="AB74" s="1380"/>
      <c r="AC74" s="3206" t="s">
        <v>266</v>
      </c>
      <c r="AD74" s="3206" t="s">
        <v>267</v>
      </c>
      <c r="AE74" s="1380" t="s">
        <v>301</v>
      </c>
      <c r="AF74" s="1380" t="s">
        <v>302</v>
      </c>
      <c r="AG74" s="1380" t="s">
        <v>303</v>
      </c>
      <c r="AH74" s="1380" t="str">
        <f>IF($E$48=0,"",$E$48)</f>
        <v>Плата за услуги по поддержанию резервной тепловой мощности при отсутствии потребления тепловой энергии</v>
      </c>
      <c r="AI74" s="1380" t="str">
        <f>IF($G$48=0,"",$G$48)</f>
        <v>Поддержание резервной тепловой мощности при отсутствии потребления тепловой энергии</v>
      </c>
      <c r="AJ74" s="1380" t="str">
        <f>IF($J$48=0,"",$J$48)</f>
        <v>Плата за услуги по поддержанию резервной тепловой мощности при отсутствии потребления тепловой энергии </v>
      </c>
      <c r="AK74" s="1380" t="str">
        <f>IF($K$74="нет","без дифференциации",IF($N$74=0,"",$N$74))</f>
        <v>Территория 9</v>
      </c>
      <c r="AL74" s="1957" t="str">
        <f>IF($O$74="нет","без дифференциации",IF($R$74=0,"",$R$74))</f>
        <v>без дифференциации</v>
      </c>
      <c r="AM74" s="1957" t="str">
        <f>IF($S$74="нет","без дифференциации",IF($V$74=0,"",$V$74))</f>
        <v>Муниципальный округ город Оленегорск с подведомственной территорией Мурманской области (кроме нп Высокий)</v>
      </c>
      <c r="AN74" s="1380">
        <f>$I$48</f>
        <v>1</v>
      </c>
      <c r="AO74" s="1380" t="str">
        <f>$I$48&amp;"."&amp;$M$74</f>
        <v>1.9</v>
      </c>
      <c r="AP74" s="1380" t="str">
        <f>$I$48&amp;"."&amp;$M$74&amp;"."&amp;$Q$74</f>
        <v>1.9.1</v>
      </c>
      <c r="AQ74" s="1380" t="str">
        <f>$I$48&amp;"."&amp;$M$74&amp;"."&amp;$Q$74&amp;"."&amp;$U$74</f>
        <v>1.9.1.1</v>
      </c>
      <c r="AR74" s="3195"/>
    </row>
    <row customHeight="1" ht="17.25">
      <c r="A75" s="1953"/>
      <c r="B75" s="3195"/>
      <c r="C75" s="1955"/>
      <c r="D75" s="1943"/>
      <c r="E75" s="1960"/>
      <c r="F75" s="1897"/>
      <c r="G75" s="1961"/>
      <c r="H75" s="1869"/>
      <c r="I75" s="1869"/>
      <c r="J75" s="1870"/>
      <c r="K75" s="1961"/>
      <c r="L75" s="1869"/>
      <c r="M75" s="1869"/>
      <c r="N75" s="1961"/>
      <c r="O75" s="1961"/>
      <c r="P75" s="1869"/>
      <c r="Q75" s="1869"/>
      <c r="R75" s="1871"/>
      <c r="S75" s="1961"/>
      <c r="T75" s="1924" t="s">
        <v>106</v>
      </c>
      <c r="U75" s="1924" t="s">
        <v>105</v>
      </c>
      <c r="V75" s="1956" t="s">
        <v>304</v>
      </c>
      <c r="W75" s="1914" t="s">
        <v>264</v>
      </c>
      <c r="X75" s="3195"/>
      <c r="Y75" s="1380"/>
      <c r="Z75" s="1380"/>
      <c r="AA75" s="1380"/>
      <c r="AB75" s="1380"/>
      <c r="AC75" s="3206" t="s">
        <v>266</v>
      </c>
      <c r="AD75" s="3206" t="s">
        <v>267</v>
      </c>
      <c r="AE75" s="3206" t="s">
        <v>301</v>
      </c>
      <c r="AF75" s="3206" t="s">
        <v>302</v>
      </c>
      <c r="AG75" s="1380" t="s">
        <v>305</v>
      </c>
      <c r="AH75" s="1380" t="str">
        <f>IF($E$48=0,"",$E$48)</f>
        <v>Плата за услуги по поддержанию резервной тепловой мощности при отсутствии потребления тепловой энергии</v>
      </c>
      <c r="AI75" s="1380" t="str">
        <f>IF($G$48=0,"",$G$48)</f>
        <v>Поддержание резервной тепловой мощности при отсутствии потребления тепловой энергии</v>
      </c>
      <c r="AJ75" s="1380" t="str">
        <f>IF($J$48=0,"",$J$48)</f>
        <v>Плата за услуги по поддержанию резервной тепловой мощности при отсутствии потребления тепловой энергии </v>
      </c>
      <c r="AK75" s="1380" t="str">
        <f>IF($K$74="нет","без дифференциации",IF($N$74=0,"",$N$74))</f>
        <v>Территория 9</v>
      </c>
      <c r="AL75" s="1957" t="str">
        <f>IF($O$74="нет","без дифференциации",IF($R$74=0,"",$R$74))</f>
        <v>без дифференциации</v>
      </c>
      <c r="AM75" s="1957" t="str">
        <f>IF($S$75="нет","без дифференциации",IF($V$75=0,"",$V$75))</f>
        <v>Муниципальный округ город Оленегорск с подведомственной территорией Мурманской области (нп Высокий)</v>
      </c>
      <c r="AN75" s="1380">
        <f>$I$48</f>
        <v>1</v>
      </c>
      <c r="AO75" s="1380" t="str">
        <f>$I$48&amp;"."&amp;$M$74</f>
        <v>1.9</v>
      </c>
      <c r="AP75" s="1380" t="str">
        <f>$I$48&amp;"."&amp;$M$74&amp;"."&amp;$Q$74</f>
        <v>1.9.1</v>
      </c>
      <c r="AQ75" s="1380" t="str">
        <f>$I$48&amp;"."&amp;$M$74&amp;"."&amp;$Q$74&amp;"."&amp;$U$75</f>
        <v>1.9.1.2</v>
      </c>
      <c r="AR75" s="3195"/>
    </row>
    <row customHeight="1" ht="17.25">
      <c r="A76" s="1953"/>
      <c r="B76" s="3195"/>
      <c r="C76" s="1958"/>
      <c r="D76" s="1943"/>
      <c r="E76" s="1960"/>
      <c r="F76" s="1897"/>
      <c r="G76" s="1961"/>
      <c r="H76" s="1943"/>
      <c r="I76" s="1943"/>
      <c r="J76" s="1962"/>
      <c r="K76" s="1873"/>
      <c r="L76" s="2221"/>
      <c r="M76" s="2221"/>
      <c r="N76" s="2617"/>
      <c r="O76" s="2299"/>
      <c r="P76" s="2221"/>
      <c r="Q76" s="2221"/>
      <c r="R76" s="3232" t="s">
        <v>28</v>
      </c>
      <c r="S76" s="2220"/>
      <c r="T76" s="430"/>
      <c r="U76" s="431"/>
      <c r="V76" s="431" t="s">
        <v>273</v>
      </c>
      <c r="W76" s="432"/>
      <c r="X76" s="3195"/>
      <c r="Y76" s="1372"/>
      <c r="Z76" s="1372"/>
      <c r="AA76" s="1372"/>
      <c r="AB76" s="1372"/>
      <c r="AC76" s="1372"/>
      <c r="AD76" s="1372"/>
      <c r="AE76" s="1372"/>
      <c r="AF76" s="1372"/>
      <c r="AG76" s="1372"/>
      <c r="AH76" s="1372"/>
      <c r="AI76" s="1372"/>
      <c r="AJ76" s="1372"/>
      <c r="AK76" s="1372"/>
      <c r="AL76" s="3195"/>
      <c r="AM76" s="3195"/>
      <c r="AN76" s="3195"/>
      <c r="AO76" s="3195"/>
      <c r="AP76" s="3195"/>
      <c r="AQ76" s="3195"/>
      <c r="AR76" s="3195"/>
    </row>
    <row customHeight="1" ht="17.25">
      <c r="A77" s="1953"/>
      <c r="B77" s="3195"/>
      <c r="C77" s="1958"/>
      <c r="D77" s="1943"/>
      <c r="E77" s="1960"/>
      <c r="F77" s="1897"/>
      <c r="G77" s="1961"/>
      <c r="H77" s="1943"/>
      <c r="I77" s="1943"/>
      <c r="J77" s="1962"/>
      <c r="K77" s="1873"/>
      <c r="L77" s="2616"/>
      <c r="M77" s="2616"/>
      <c r="N77" s="2618"/>
      <c r="O77" s="2225"/>
      <c r="P77" s="430"/>
      <c r="Q77" s="431"/>
      <c r="R77" s="431" t="s">
        <v>274</v>
      </c>
      <c r="S77" s="1959"/>
      <c r="T77" s="1959"/>
      <c r="U77" s="1959"/>
      <c r="V77" s="1959"/>
      <c r="W77" s="432"/>
      <c r="X77" s="3195"/>
      <c r="Y77" s="1372"/>
      <c r="Z77" s="1372"/>
      <c r="AA77" s="1372"/>
      <c r="AB77" s="1372"/>
      <c r="AC77" s="1372"/>
      <c r="AD77" s="1372"/>
      <c r="AE77" s="1372"/>
      <c r="AF77" s="1372"/>
      <c r="AG77" s="1372"/>
      <c r="AH77" s="1372"/>
      <c r="AI77" s="1372"/>
      <c r="AJ77" s="1372"/>
      <c r="AK77" s="1372"/>
      <c r="AL77" s="3195"/>
      <c r="AM77" s="3195"/>
      <c r="AN77" s="3195"/>
      <c r="AO77" s="3195"/>
      <c r="AP77" s="3195"/>
      <c r="AQ77" s="3195"/>
      <c r="AR77" s="3195"/>
    </row>
    <row customHeight="1" ht="17.25">
      <c r="A78" s="1953"/>
      <c r="B78" s="3195"/>
      <c r="C78" s="1955"/>
      <c r="D78" s="1943"/>
      <c r="E78" s="1960"/>
      <c r="F78" s="1897"/>
      <c r="G78" s="1961"/>
      <c r="H78" s="1943"/>
      <c r="I78" s="1943"/>
      <c r="J78" s="1962"/>
      <c r="K78" s="1873"/>
      <c r="L78" s="2221" t="s">
        <v>106</v>
      </c>
      <c r="M78" s="2221" t="s">
        <v>144</v>
      </c>
      <c r="N78" s="2617" t="str">
        <f>IF(Z78="","",INDEX(TERRITORY_MR_LIST,MATCH(Z78,TERRITORY_LIST_ID,0)))</f>
        <v>Территория 10</v>
      </c>
      <c r="O78" s="2298" t="s">
        <v>19</v>
      </c>
      <c r="P78" s="2221"/>
      <c r="Q78" s="2221" t="s">
        <v>155</v>
      </c>
      <c r="R78" s="3232" t="s">
        <v>28</v>
      </c>
      <c r="S78" s="2220" t="s">
        <v>19</v>
      </c>
      <c r="T78" s="1924"/>
      <c r="U78" s="1924" t="s">
        <v>155</v>
      </c>
      <c r="V78" s="3233" t="s">
        <v>28</v>
      </c>
      <c r="W78" s="1914" t="s">
        <v>264</v>
      </c>
      <c r="X78" s="3195"/>
      <c r="Y78" s="1380"/>
      <c r="Z78" s="1380" t="s">
        <v>145</v>
      </c>
      <c r="AA78" s="1380"/>
      <c r="AB78" s="1380"/>
      <c r="AC78" s="3206" t="s">
        <v>266</v>
      </c>
      <c r="AD78" s="3206" t="s">
        <v>267</v>
      </c>
      <c r="AE78" s="1380" t="s">
        <v>306</v>
      </c>
      <c r="AF78" s="1380" t="s">
        <v>307</v>
      </c>
      <c r="AG78" s="1380" t="s">
        <v>308</v>
      </c>
      <c r="AH78" s="1380" t="str">
        <f>IF($E$48=0,"",$E$48)</f>
        <v>Плата за услуги по поддержанию резервной тепловой мощности при отсутствии потребления тепловой энергии</v>
      </c>
      <c r="AI78" s="1380" t="str">
        <f>IF($G$48=0,"",$G$48)</f>
        <v>Поддержание резервной тепловой мощности при отсутствии потребления тепловой энергии</v>
      </c>
      <c r="AJ78" s="1380" t="str">
        <f>IF($J$48=0,"",$J$48)</f>
        <v>Плата за услуги по поддержанию резервной тепловой мощности при отсутствии потребления тепловой энергии </v>
      </c>
      <c r="AK78" s="1380" t="str">
        <f>IF($K$78="нет","без дифференциации",IF($N$78=0,"",$N$78))</f>
        <v>Территория 10</v>
      </c>
      <c r="AL78" s="1957" t="str">
        <f>IF($O$78="нет","без дифференциации",IF($R$78=0,"",$R$78))</f>
        <v>без дифференциации</v>
      </c>
      <c r="AM78" s="1957" t="str">
        <f>IF($S$78="нет","без дифференциации",IF($V$78=0,"",$V$78))</f>
        <v>без дифференциации</v>
      </c>
      <c r="AN78" s="1380">
        <f>$I$48</f>
        <v>1</v>
      </c>
      <c r="AO78" s="1380" t="str">
        <f>$I$48&amp;"."&amp;$M$78</f>
        <v>1.10</v>
      </c>
      <c r="AP78" s="1380" t="str">
        <f>$I$48&amp;"."&amp;$M$78&amp;"."&amp;$Q$78</f>
        <v>1.10.1</v>
      </c>
      <c r="AQ78" s="1380" t="str">
        <f>$I$48&amp;"."&amp;$M$78&amp;"."&amp;$Q$78&amp;"."&amp;$U$78</f>
        <v>1.10.1.1</v>
      </c>
      <c r="AR78" s="3195"/>
    </row>
    <row customHeight="1" ht="17.25">
      <c r="A79" s="1953"/>
      <c r="B79" s="3195"/>
      <c r="C79" s="1958"/>
      <c r="D79" s="1943"/>
      <c r="E79" s="1960"/>
      <c r="F79" s="1897"/>
      <c r="G79" s="1961"/>
      <c r="H79" s="1943"/>
      <c r="I79" s="1943"/>
      <c r="J79" s="1962"/>
      <c r="K79" s="1873"/>
      <c r="L79" s="2221"/>
      <c r="M79" s="2221"/>
      <c r="N79" s="2617"/>
      <c r="O79" s="2299"/>
      <c r="P79" s="2221"/>
      <c r="Q79" s="2221"/>
      <c r="R79" s="3232" t="s">
        <v>28</v>
      </c>
      <c r="S79" s="2220"/>
      <c r="T79" s="430"/>
      <c r="U79" s="431"/>
      <c r="V79" s="431" t="s">
        <v>273</v>
      </c>
      <c r="W79" s="432"/>
      <c r="X79" s="3195"/>
      <c r="Y79" s="1372"/>
      <c r="Z79" s="1372"/>
      <c r="AA79" s="1372"/>
      <c r="AB79" s="1372"/>
      <c r="AC79" s="1372"/>
      <c r="AD79" s="1372"/>
      <c r="AE79" s="1372"/>
      <c r="AF79" s="1372"/>
      <c r="AG79" s="1372"/>
      <c r="AH79" s="1372"/>
      <c r="AI79" s="1372"/>
      <c r="AJ79" s="1372"/>
      <c r="AK79" s="1372"/>
      <c r="AL79" s="3195"/>
      <c r="AM79" s="3195"/>
      <c r="AN79" s="3195"/>
      <c r="AO79" s="3195"/>
      <c r="AP79" s="3195"/>
      <c r="AQ79" s="3195"/>
      <c r="AR79" s="3195"/>
    </row>
    <row customHeight="1" ht="17.25">
      <c r="A80" s="1953"/>
      <c r="B80" s="3195"/>
      <c r="C80" s="1958"/>
      <c r="D80" s="1943"/>
      <c r="E80" s="1960"/>
      <c r="F80" s="1897"/>
      <c r="G80" s="1961"/>
      <c r="H80" s="1943"/>
      <c r="I80" s="1943"/>
      <c r="J80" s="1962"/>
      <c r="K80" s="1873"/>
      <c r="L80" s="2616"/>
      <c r="M80" s="2616"/>
      <c r="N80" s="2618"/>
      <c r="O80" s="2225"/>
      <c r="P80" s="430"/>
      <c r="Q80" s="431"/>
      <c r="R80" s="431" t="s">
        <v>274</v>
      </c>
      <c r="S80" s="1959"/>
      <c r="T80" s="1959"/>
      <c r="U80" s="1959"/>
      <c r="V80" s="1959"/>
      <c r="W80" s="432"/>
      <c r="X80" s="3195"/>
      <c r="Y80" s="1372"/>
      <c r="Z80" s="1372"/>
      <c r="AA80" s="1372"/>
      <c r="AB80" s="1372"/>
      <c r="AC80" s="1372"/>
      <c r="AD80" s="1372"/>
      <c r="AE80" s="1372"/>
      <c r="AF80" s="1372"/>
      <c r="AG80" s="1372"/>
      <c r="AH80" s="1372"/>
      <c r="AI80" s="1372"/>
      <c r="AJ80" s="1372"/>
      <c r="AK80" s="1372"/>
      <c r="AL80" s="3195"/>
      <c r="AM80" s="3195"/>
      <c r="AN80" s="3195"/>
      <c r="AO80" s="3195"/>
      <c r="AP80" s="3195"/>
      <c r="AQ80" s="3195"/>
      <c r="AR80" s="3195"/>
    </row>
    <row customHeight="1" ht="17.25">
      <c r="A81" s="1953"/>
      <c r="B81" s="3195"/>
      <c r="C81" s="1955"/>
      <c r="D81" s="1943"/>
      <c r="E81" s="1960"/>
      <c r="F81" s="1897"/>
      <c r="G81" s="1961"/>
      <c r="H81" s="1943"/>
      <c r="I81" s="1943"/>
      <c r="J81" s="1962"/>
      <c r="K81" s="1873"/>
      <c r="L81" s="2221" t="s">
        <v>106</v>
      </c>
      <c r="M81" s="2221" t="s">
        <v>148</v>
      </c>
      <c r="N81" s="2617" t="str">
        <f>IF(Z81="","",INDEX(TERRITORY_MR_LIST,MATCH(Z81,TERRITORY_LIST_ID,0)))</f>
        <v>Территория 11</v>
      </c>
      <c r="O81" s="2298" t="s">
        <v>19</v>
      </c>
      <c r="P81" s="2221"/>
      <c r="Q81" s="2221" t="s">
        <v>155</v>
      </c>
      <c r="R81" s="3232" t="s">
        <v>28</v>
      </c>
      <c r="S81" s="2220" t="s">
        <v>63</v>
      </c>
      <c r="T81" s="1924"/>
      <c r="U81" s="1924" t="s">
        <v>155</v>
      </c>
      <c r="V81" s="1956" t="s">
        <v>309</v>
      </c>
      <c r="W81" s="1914" t="s">
        <v>264</v>
      </c>
      <c r="X81" s="3195"/>
      <c r="Y81" s="1380"/>
      <c r="Z81" s="1380" t="s">
        <v>149</v>
      </c>
      <c r="AA81" s="1380"/>
      <c r="AB81" s="1380"/>
      <c r="AC81" s="3206" t="s">
        <v>266</v>
      </c>
      <c r="AD81" s="3206" t="s">
        <v>267</v>
      </c>
      <c r="AE81" s="1380" t="s">
        <v>310</v>
      </c>
      <c r="AF81" s="1380" t="s">
        <v>311</v>
      </c>
      <c r="AG81" s="1380" t="s">
        <v>312</v>
      </c>
      <c r="AH81" s="1380" t="str">
        <f>IF($E$48=0,"",$E$48)</f>
        <v>Плата за услуги по поддержанию резервной тепловой мощности при отсутствии потребления тепловой энергии</v>
      </c>
      <c r="AI81" s="1380" t="str">
        <f>IF($G$48=0,"",$G$48)</f>
        <v>Поддержание резервной тепловой мощности при отсутствии потребления тепловой энергии</v>
      </c>
      <c r="AJ81" s="1380" t="str">
        <f>IF($J$48=0,"",$J$48)</f>
        <v>Плата за услуги по поддержанию резервной тепловой мощности при отсутствии потребления тепловой энергии </v>
      </c>
      <c r="AK81" s="1380" t="str">
        <f>IF($K$81="нет","без дифференциации",IF($N$81=0,"",$N$81))</f>
        <v>Территория 11</v>
      </c>
      <c r="AL81" s="1957" t="str">
        <f>IF($O$81="нет","без дифференциации",IF($R$81=0,"",$R$81))</f>
        <v>без дифференциации</v>
      </c>
      <c r="AM81" s="1957" t="str">
        <f>IF($S$81="нет","без дифференциации",IF($V$81=0,"",$V$81))</f>
        <v>город Никель</v>
      </c>
      <c r="AN81" s="1380">
        <f>$I$48</f>
        <v>1</v>
      </c>
      <c r="AO81" s="1380" t="str">
        <f>$I$48&amp;"."&amp;$M$81</f>
        <v>1.11</v>
      </c>
      <c r="AP81" s="1380" t="str">
        <f>$I$48&amp;"."&amp;$M$81&amp;"."&amp;$Q$81</f>
        <v>1.11.1</v>
      </c>
      <c r="AQ81" s="1380" t="str">
        <f>$I$48&amp;"."&amp;$M$81&amp;"."&amp;$Q$81&amp;"."&amp;$U$81</f>
        <v>1.11.1.1</v>
      </c>
      <c r="AR81" s="3195"/>
    </row>
    <row customHeight="1" ht="17.25">
      <c r="A82" s="1953"/>
      <c r="B82" s="3195"/>
      <c r="C82" s="1955"/>
      <c r="D82" s="1943"/>
      <c r="E82" s="1960"/>
      <c r="F82" s="1897"/>
      <c r="G82" s="1961"/>
      <c r="H82" s="1869"/>
      <c r="I82" s="1869"/>
      <c r="J82" s="1870"/>
      <c r="K82" s="1961"/>
      <c r="L82" s="1869"/>
      <c r="M82" s="1869"/>
      <c r="N82" s="1961"/>
      <c r="O82" s="1961"/>
      <c r="P82" s="1869"/>
      <c r="Q82" s="1869"/>
      <c r="R82" s="1871"/>
      <c r="S82" s="1961"/>
      <c r="T82" s="1924" t="s">
        <v>106</v>
      </c>
      <c r="U82" s="1924" t="s">
        <v>105</v>
      </c>
      <c r="V82" s="1956" t="s">
        <v>313</v>
      </c>
      <c r="W82" s="1914" t="s">
        <v>264</v>
      </c>
      <c r="X82" s="3195"/>
      <c r="Y82" s="1380"/>
      <c r="Z82" s="1380"/>
      <c r="AA82" s="1380"/>
      <c r="AB82" s="1380"/>
      <c r="AC82" s="3206" t="s">
        <v>266</v>
      </c>
      <c r="AD82" s="3206" t="s">
        <v>267</v>
      </c>
      <c r="AE82" s="3206" t="s">
        <v>310</v>
      </c>
      <c r="AF82" s="3206" t="s">
        <v>311</v>
      </c>
      <c r="AG82" s="1380" t="s">
        <v>314</v>
      </c>
      <c r="AH82" s="1380" t="str">
        <f>IF($E$48=0,"",$E$48)</f>
        <v>Плата за услуги по поддержанию резервной тепловой мощности при отсутствии потребления тепловой энергии</v>
      </c>
      <c r="AI82" s="1380" t="str">
        <f>IF($G$48=0,"",$G$48)</f>
        <v>Поддержание резервной тепловой мощности при отсутствии потребления тепловой энергии</v>
      </c>
      <c r="AJ82" s="1380" t="str">
        <f>IF($J$48=0,"",$J$48)</f>
        <v>Плата за услуги по поддержанию резервной тепловой мощности при отсутствии потребления тепловой энергии </v>
      </c>
      <c r="AK82" s="1380" t="str">
        <f>IF($K$81="нет","без дифференциации",IF($N$81=0,"",$N$81))</f>
        <v>Территория 11</v>
      </c>
      <c r="AL82" s="1957" t="str">
        <f>IF($O$81="нет","без дифференциации",IF($R$81=0,"",$R$81))</f>
        <v>без дифференциации</v>
      </c>
      <c r="AM82" s="1957" t="str">
        <f>IF($S$82="нет","без дифференциации",IF($V$82=0,"",$V$82))</f>
        <v>Город Заполярный Печенгского муниципального округа Мурманской области (кроме потребителей, присоединенных к тепловым сетям МУП "Тепловые сети")</v>
      </c>
      <c r="AN82" s="1380">
        <f>$I$48</f>
        <v>1</v>
      </c>
      <c r="AO82" s="1380" t="str">
        <f>$I$48&amp;"."&amp;$M$81</f>
        <v>1.11</v>
      </c>
      <c r="AP82" s="1380" t="str">
        <f>$I$48&amp;"."&amp;$M$81&amp;"."&amp;$Q$81</f>
        <v>1.11.1</v>
      </c>
      <c r="AQ82" s="1380" t="str">
        <f>$I$48&amp;"."&amp;$M$81&amp;"."&amp;$Q$81&amp;"."&amp;$U$82</f>
        <v>1.11.1.2</v>
      </c>
      <c r="AR82" s="3195"/>
    </row>
    <row customHeight="1" ht="17.25">
      <c r="A83" s="1953"/>
      <c r="B83" s="3195"/>
      <c r="C83" s="1958"/>
      <c r="D83" s="1943"/>
      <c r="E83" s="1960"/>
      <c r="F83" s="1897"/>
      <c r="G83" s="1961"/>
      <c r="H83" s="1943"/>
      <c r="I83" s="1943"/>
      <c r="J83" s="1962"/>
      <c r="K83" s="1873"/>
      <c r="L83" s="2221"/>
      <c r="M83" s="2221"/>
      <c r="N83" s="2617"/>
      <c r="O83" s="2299"/>
      <c r="P83" s="2221"/>
      <c r="Q83" s="2221"/>
      <c r="R83" s="3232" t="s">
        <v>28</v>
      </c>
      <c r="S83" s="2220"/>
      <c r="T83" s="430"/>
      <c r="U83" s="431"/>
      <c r="V83" s="431" t="s">
        <v>273</v>
      </c>
      <c r="W83" s="432"/>
      <c r="X83" s="3195"/>
      <c r="Y83" s="1372"/>
      <c r="Z83" s="1372"/>
      <c r="AA83" s="1372"/>
      <c r="AB83" s="1372"/>
      <c r="AC83" s="1372"/>
      <c r="AD83" s="1372"/>
      <c r="AE83" s="1372"/>
      <c r="AF83" s="1372"/>
      <c r="AG83" s="1372"/>
      <c r="AH83" s="1372"/>
      <c r="AI83" s="1372"/>
      <c r="AJ83" s="1372"/>
      <c r="AK83" s="1372"/>
      <c r="AL83" s="3195"/>
      <c r="AM83" s="3195"/>
      <c r="AN83" s="3195"/>
      <c r="AO83" s="3195"/>
      <c r="AP83" s="3195"/>
      <c r="AQ83" s="3195"/>
      <c r="AR83" s="3195"/>
    </row>
    <row customHeight="1" ht="17.25">
      <c r="A84" s="1953"/>
      <c r="B84" s="3195"/>
      <c r="C84" s="1958"/>
      <c r="D84" s="1943"/>
      <c r="E84" s="1960"/>
      <c r="F84" s="1897"/>
      <c r="G84" s="1961"/>
      <c r="H84" s="1943"/>
      <c r="I84" s="1943"/>
      <c r="J84" s="1962"/>
      <c r="K84" s="1873"/>
      <c r="L84" s="2616"/>
      <c r="M84" s="2616"/>
      <c r="N84" s="2618"/>
      <c r="O84" s="2225"/>
      <c r="P84" s="430"/>
      <c r="Q84" s="431"/>
      <c r="R84" s="431" t="s">
        <v>274</v>
      </c>
      <c r="S84" s="1959"/>
      <c r="T84" s="1959"/>
      <c r="U84" s="1959"/>
      <c r="V84" s="1959"/>
      <c r="W84" s="432"/>
      <c r="X84" s="3195"/>
      <c r="Y84" s="1372"/>
      <c r="Z84" s="1372"/>
      <c r="AA84" s="1372"/>
      <c r="AB84" s="1372"/>
      <c r="AC84" s="1372"/>
      <c r="AD84" s="1372"/>
      <c r="AE84" s="1372"/>
      <c r="AF84" s="1372"/>
      <c r="AG84" s="1372"/>
      <c r="AH84" s="1372"/>
      <c r="AI84" s="1372"/>
      <c r="AJ84" s="1372"/>
      <c r="AK84" s="1372"/>
      <c r="AL84" s="3195"/>
      <c r="AM84" s="3195"/>
      <c r="AN84" s="3195"/>
      <c r="AO84" s="3195"/>
      <c r="AP84" s="3195"/>
      <c r="AQ84" s="3195"/>
      <c r="AR84" s="3195"/>
    </row>
    <row customHeight="1" ht="17.25">
      <c r="A85" s="1953"/>
      <c r="B85" s="3195"/>
      <c r="C85" s="1955"/>
      <c r="D85" s="1943"/>
      <c r="E85" s="1960"/>
      <c r="F85" s="1897"/>
      <c r="G85" s="1961"/>
      <c r="H85" s="1943"/>
      <c r="I85" s="1943"/>
      <c r="J85" s="1962"/>
      <c r="K85" s="1873"/>
      <c r="L85" s="2221" t="s">
        <v>106</v>
      </c>
      <c r="M85" s="2221" t="s">
        <v>153</v>
      </c>
      <c r="N85" s="2617" t="str">
        <f>IF(Z85="","",INDEX(TERRITORY_MR_LIST,MATCH(Z85,TERRITORY_LIST_ID,0)))</f>
        <v>Территория 12</v>
      </c>
      <c r="O85" s="2298" t="s">
        <v>19</v>
      </c>
      <c r="P85" s="2221"/>
      <c r="Q85" s="2221" t="s">
        <v>155</v>
      </c>
      <c r="R85" s="3232" t="s">
        <v>28</v>
      </c>
      <c r="S85" s="2220" t="s">
        <v>63</v>
      </c>
      <c r="T85" s="1924"/>
      <c r="U85" s="1924" t="s">
        <v>155</v>
      </c>
      <c r="V85" s="1956" t="s">
        <v>315</v>
      </c>
      <c r="W85" s="1914" t="s">
        <v>264</v>
      </c>
      <c r="X85" s="3195"/>
      <c r="Y85" s="1380"/>
      <c r="Z85" s="1380" t="s">
        <v>154</v>
      </c>
      <c r="AA85" s="1380"/>
      <c r="AB85" s="1380"/>
      <c r="AC85" s="3206" t="s">
        <v>266</v>
      </c>
      <c r="AD85" s="3206" t="s">
        <v>267</v>
      </c>
      <c r="AE85" s="1380" t="s">
        <v>316</v>
      </c>
      <c r="AF85" s="1380" t="s">
        <v>317</v>
      </c>
      <c r="AG85" s="1380" t="s">
        <v>318</v>
      </c>
      <c r="AH85" s="1380" t="str">
        <f>IF($E$48=0,"",$E$48)</f>
        <v>Плата за услуги по поддержанию резервной тепловой мощности при отсутствии потребления тепловой энергии</v>
      </c>
      <c r="AI85" s="1380" t="str">
        <f>IF($G$48=0,"",$G$48)</f>
        <v>Поддержание резервной тепловой мощности при отсутствии потребления тепловой энергии</v>
      </c>
      <c r="AJ85" s="1380" t="str">
        <f>IF($J$48=0,"",$J$48)</f>
        <v>Плата за услуги по поддержанию резервной тепловой мощности при отсутствии потребления тепловой энергии </v>
      </c>
      <c r="AK85" s="1380" t="str">
        <f>IF($K$85="нет","без дифференциации",IF($N$85=0,"",$N$85))</f>
        <v>Территория 12</v>
      </c>
      <c r="AL85" s="1957" t="str">
        <f>IF($O$85="нет","без дифференциации",IF($R$85=0,"",$R$85))</f>
        <v>без дифференциации</v>
      </c>
      <c r="AM85" s="1957" t="str">
        <f>IF($S$85="нет","без дифференциации",IF($V$85=0,"",$V$85))</f>
        <v>город Гаджиево</v>
      </c>
      <c r="AN85" s="1380">
        <f>$I$48</f>
        <v>1</v>
      </c>
      <c r="AO85" s="1380" t="str">
        <f>$I$48&amp;"."&amp;$M$85</f>
        <v>1.12</v>
      </c>
      <c r="AP85" s="1380" t="str">
        <f>$I$48&amp;"."&amp;$M$85&amp;"."&amp;$Q$85</f>
        <v>1.12.1</v>
      </c>
      <c r="AQ85" s="1380" t="str">
        <f>$I$48&amp;"."&amp;$M$85&amp;"."&amp;$Q$85&amp;"."&amp;$U$85</f>
        <v>1.12.1.1</v>
      </c>
      <c r="AR85" s="3195"/>
    </row>
    <row customHeight="1" ht="17.25">
      <c r="A86" s="1953"/>
      <c r="B86" s="3195"/>
      <c r="C86" s="1955"/>
      <c r="D86" s="1943"/>
      <c r="E86" s="1960"/>
      <c r="F86" s="1897"/>
      <c r="G86" s="1961"/>
      <c r="H86" s="1869"/>
      <c r="I86" s="1869"/>
      <c r="J86" s="1870"/>
      <c r="K86" s="1961"/>
      <c r="L86" s="1869"/>
      <c r="M86" s="1869"/>
      <c r="N86" s="1961"/>
      <c r="O86" s="1961"/>
      <c r="P86" s="1869"/>
      <c r="Q86" s="1869"/>
      <c r="R86" s="1871"/>
      <c r="S86" s="1961"/>
      <c r="T86" s="1924" t="s">
        <v>106</v>
      </c>
      <c r="U86" s="1924" t="s">
        <v>105</v>
      </c>
      <c r="V86" s="1956" t="s">
        <v>319</v>
      </c>
      <c r="W86" s="1914" t="s">
        <v>264</v>
      </c>
      <c r="X86" s="3195"/>
      <c r="Y86" s="1380"/>
      <c r="Z86" s="1380"/>
      <c r="AA86" s="1380"/>
      <c r="AB86" s="1380"/>
      <c r="AC86" s="3206" t="s">
        <v>266</v>
      </c>
      <c r="AD86" s="3206" t="s">
        <v>267</v>
      </c>
      <c r="AE86" s="3206" t="s">
        <v>316</v>
      </c>
      <c r="AF86" s="3206" t="s">
        <v>317</v>
      </c>
      <c r="AG86" s="1380" t="s">
        <v>320</v>
      </c>
      <c r="AH86" s="1380" t="str">
        <f>IF($E$48=0,"",$E$48)</f>
        <v>Плата за услуги по поддержанию резервной тепловой мощности при отсутствии потребления тепловой энергии</v>
      </c>
      <c r="AI86" s="1380" t="str">
        <f>IF($G$48=0,"",$G$48)</f>
        <v>Поддержание резервной тепловой мощности при отсутствии потребления тепловой энергии</v>
      </c>
      <c r="AJ86" s="1380" t="str">
        <f>IF($J$48=0,"",$J$48)</f>
        <v>Плата за услуги по поддержанию резервной тепловой мощности при отсутствии потребления тепловой энергии </v>
      </c>
      <c r="AK86" s="1380" t="str">
        <f>IF($K$85="нет","без дифференциации",IF($N$85=0,"",$N$85))</f>
        <v>Территория 12</v>
      </c>
      <c r="AL86" s="1957" t="str">
        <f>IF($O$85="нет","без дифференциации",IF($R$85=0,"",$R$85))</f>
        <v>без дифференциации</v>
      </c>
      <c r="AM86" s="1957" t="str">
        <f>IF($S$86="нет","без дифференциации",IF($V$86=0,"",$V$86))</f>
        <v>город Полярный</v>
      </c>
      <c r="AN86" s="1380">
        <f>$I$48</f>
        <v>1</v>
      </c>
      <c r="AO86" s="1380" t="str">
        <f>$I$48&amp;"."&amp;$M$85</f>
        <v>1.12</v>
      </c>
      <c r="AP86" s="1380" t="str">
        <f>$I$48&amp;"."&amp;$M$85&amp;"."&amp;$Q$85</f>
        <v>1.12.1</v>
      </c>
      <c r="AQ86" s="1380" t="str">
        <f>$I$48&amp;"."&amp;$M$85&amp;"."&amp;$Q$85&amp;"."&amp;$U$86</f>
        <v>1.12.1.2</v>
      </c>
      <c r="AR86" s="3195"/>
    </row>
    <row customHeight="1" ht="17.25">
      <c r="A87" s="1953"/>
      <c r="B87" s="3195"/>
      <c r="C87" s="1955"/>
      <c r="D87" s="1943"/>
      <c r="E87" s="1960"/>
      <c r="F87" s="1897"/>
      <c r="G87" s="1961"/>
      <c r="H87" s="1869"/>
      <c r="I87" s="1869"/>
      <c r="J87" s="1870"/>
      <c r="K87" s="1961"/>
      <c r="L87" s="1869"/>
      <c r="M87" s="1869"/>
      <c r="N87" s="1961"/>
      <c r="O87" s="1961"/>
      <c r="P87" s="1869"/>
      <c r="Q87" s="1869"/>
      <c r="R87" s="1871"/>
      <c r="S87" s="1961"/>
      <c r="T87" s="1924" t="s">
        <v>106</v>
      </c>
      <c r="U87" s="1924" t="s">
        <v>92</v>
      </c>
      <c r="V87" s="1956" t="s">
        <v>321</v>
      </c>
      <c r="W87" s="1914" t="s">
        <v>264</v>
      </c>
      <c r="X87" s="3195"/>
      <c r="Y87" s="1380"/>
      <c r="Z87" s="1380"/>
      <c r="AA87" s="1380"/>
      <c r="AB87" s="1380"/>
      <c r="AC87" s="3206" t="s">
        <v>266</v>
      </c>
      <c r="AD87" s="3206" t="s">
        <v>267</v>
      </c>
      <c r="AE87" s="3206" t="s">
        <v>316</v>
      </c>
      <c r="AF87" s="3206" t="s">
        <v>317</v>
      </c>
      <c r="AG87" s="1380" t="s">
        <v>322</v>
      </c>
      <c r="AH87" s="1380" t="str">
        <f>IF($E$48=0,"",$E$48)</f>
        <v>Плата за услуги по поддержанию резервной тепловой мощности при отсутствии потребления тепловой энергии</v>
      </c>
      <c r="AI87" s="1380" t="str">
        <f>IF($G$48=0,"",$G$48)</f>
        <v>Поддержание резервной тепловой мощности при отсутствии потребления тепловой энергии</v>
      </c>
      <c r="AJ87" s="1380" t="str">
        <f>IF($J$48=0,"",$J$48)</f>
        <v>Плата за услуги по поддержанию резервной тепловой мощности при отсутствии потребления тепловой энергии </v>
      </c>
      <c r="AK87" s="1380" t="str">
        <f>IF($K$85="нет","без дифференциации",IF($N$85=0,"",$N$85))</f>
        <v>Территория 12</v>
      </c>
      <c r="AL87" s="1957" t="str">
        <f>IF($O$85="нет","без дифференциации",IF($R$85=0,"",$R$85))</f>
        <v>без дифференциации</v>
      </c>
      <c r="AM87" s="1957" t="str">
        <f>IF($S$87="нет","без дифференциации",IF($V$87=0,"",$V$87))</f>
        <v>город Снежногорск, населенный пункт Оленья Губа</v>
      </c>
      <c r="AN87" s="1380">
        <f>$I$48</f>
        <v>1</v>
      </c>
      <c r="AO87" s="1380" t="str">
        <f>$I$48&amp;"."&amp;$M$85</f>
        <v>1.12</v>
      </c>
      <c r="AP87" s="1380" t="str">
        <f>$I$48&amp;"."&amp;$M$85&amp;"."&amp;$Q$85</f>
        <v>1.12.1</v>
      </c>
      <c r="AQ87" s="1380" t="str">
        <f>$I$48&amp;"."&amp;$M$85&amp;"."&amp;$Q$85&amp;"."&amp;$U$87</f>
        <v>1.12.1.3</v>
      </c>
      <c r="AR87" s="3195"/>
    </row>
    <row customHeight="1" ht="17.25">
      <c r="A88" s="1953"/>
      <c r="B88" s="3195"/>
      <c r="C88" s="1958"/>
      <c r="D88" s="1943"/>
      <c r="E88" s="1960"/>
      <c r="F88" s="1897"/>
      <c r="G88" s="1961"/>
      <c r="H88" s="1943"/>
      <c r="I88" s="1943"/>
      <c r="J88" s="1962"/>
      <c r="K88" s="1873"/>
      <c r="L88" s="2221"/>
      <c r="M88" s="2221"/>
      <c r="N88" s="2617"/>
      <c r="O88" s="2299"/>
      <c r="P88" s="2221"/>
      <c r="Q88" s="2221"/>
      <c r="R88" s="3232" t="s">
        <v>28</v>
      </c>
      <c r="S88" s="2220"/>
      <c r="T88" s="430"/>
      <c r="U88" s="431"/>
      <c r="V88" s="431" t="s">
        <v>273</v>
      </c>
      <c r="W88" s="432"/>
      <c r="X88" s="3195"/>
      <c r="Y88" s="1372"/>
      <c r="Z88" s="1372"/>
      <c r="AA88" s="1372"/>
      <c r="AB88" s="1372"/>
      <c r="AC88" s="1372"/>
      <c r="AD88" s="1372"/>
      <c r="AE88" s="1372"/>
      <c r="AF88" s="1372"/>
      <c r="AG88" s="1372"/>
      <c r="AH88" s="1372"/>
      <c r="AI88" s="1372"/>
      <c r="AJ88" s="1372"/>
      <c r="AK88" s="1372"/>
      <c r="AL88" s="3195"/>
      <c r="AM88" s="3195"/>
      <c r="AN88" s="3195"/>
      <c r="AO88" s="3195"/>
      <c r="AP88" s="3195"/>
      <c r="AQ88" s="3195"/>
      <c r="AR88" s="3195"/>
    </row>
    <row customHeight="1" ht="17.25">
      <c r="A89" s="1953"/>
      <c r="B89" s="3195"/>
      <c r="C89" s="1958"/>
      <c r="D89" s="1943"/>
      <c r="E89" s="1960"/>
      <c r="F89" s="1897"/>
      <c r="G89" s="1961"/>
      <c r="H89" s="1943"/>
      <c r="I89" s="1943"/>
      <c r="J89" s="1962"/>
      <c r="K89" s="1873"/>
      <c r="L89" s="2616"/>
      <c r="M89" s="2616"/>
      <c r="N89" s="2618"/>
      <c r="O89" s="2225"/>
      <c r="P89" s="430"/>
      <c r="Q89" s="431"/>
      <c r="R89" s="431" t="s">
        <v>274</v>
      </c>
      <c r="S89" s="1959"/>
      <c r="T89" s="1959"/>
      <c r="U89" s="1959"/>
      <c r="V89" s="1959"/>
      <c r="W89" s="432"/>
      <c r="X89" s="3195"/>
      <c r="Y89" s="1372"/>
      <c r="Z89" s="1372"/>
      <c r="AA89" s="1372"/>
      <c r="AB89" s="1372"/>
      <c r="AC89" s="1372"/>
      <c r="AD89" s="1372"/>
      <c r="AE89" s="1372"/>
      <c r="AF89" s="1372"/>
      <c r="AG89" s="1372"/>
      <c r="AH89" s="1372"/>
      <c r="AI89" s="1372"/>
      <c r="AJ89" s="1372"/>
      <c r="AK89" s="1372"/>
      <c r="AL89" s="3195"/>
      <c r="AM89" s="3195"/>
      <c r="AN89" s="3195"/>
      <c r="AO89" s="3195"/>
      <c r="AP89" s="3195"/>
      <c r="AQ89" s="3195"/>
      <c r="AR89" s="3195"/>
    </row>
    <row customHeight="1" ht="17.25">
      <c r="A90" s="1953"/>
      <c r="B90" s="3195"/>
      <c r="C90" s="1955"/>
      <c r="D90" s="1943"/>
      <c r="E90" s="1960"/>
      <c r="F90" s="1897"/>
      <c r="G90" s="1961"/>
      <c r="H90" s="1943"/>
      <c r="I90" s="1943"/>
      <c r="J90" s="1962"/>
      <c r="K90" s="1873"/>
      <c r="L90" s="2221" t="s">
        <v>106</v>
      </c>
      <c r="M90" s="2221" t="s">
        <v>158</v>
      </c>
      <c r="N90" s="2617" t="str">
        <f>IF(Z90="","",INDEX(TERRITORY_MR_LIST,MATCH(Z90,TERRITORY_LIST_ID,0)))</f>
        <v>Территория 13</v>
      </c>
      <c r="O90" s="2298" t="s">
        <v>19</v>
      </c>
      <c r="P90" s="2221"/>
      <c r="Q90" s="2221" t="s">
        <v>155</v>
      </c>
      <c r="R90" s="3232" t="s">
        <v>28</v>
      </c>
      <c r="S90" s="2220" t="s">
        <v>63</v>
      </c>
      <c r="T90" s="1924"/>
      <c r="U90" s="1924" t="s">
        <v>155</v>
      </c>
      <c r="V90" s="1956" t="s">
        <v>323</v>
      </c>
      <c r="W90" s="1914" t="s">
        <v>264</v>
      </c>
      <c r="X90" s="3195"/>
      <c r="Y90" s="1380"/>
      <c r="Z90" s="1380" t="s">
        <v>159</v>
      </c>
      <c r="AA90" s="1380"/>
      <c r="AB90" s="1380"/>
      <c r="AC90" s="3206" t="s">
        <v>266</v>
      </c>
      <c r="AD90" s="3206" t="s">
        <v>267</v>
      </c>
      <c r="AE90" s="1380" t="s">
        <v>324</v>
      </c>
      <c r="AF90" s="1380" t="s">
        <v>325</v>
      </c>
      <c r="AG90" s="1380" t="s">
        <v>326</v>
      </c>
      <c r="AH90" s="1380" t="str">
        <f>IF($E$48=0,"",$E$48)</f>
        <v>Плата за услуги по поддержанию резервной тепловой мощности при отсутствии потребления тепловой энергии</v>
      </c>
      <c r="AI90" s="1380" t="str">
        <f>IF($G$48=0,"",$G$48)</f>
        <v>Поддержание резервной тепловой мощности при отсутствии потребления тепловой энергии</v>
      </c>
      <c r="AJ90" s="1380" t="str">
        <f>IF($J$48=0,"",$J$48)</f>
        <v>Плата за услуги по поддержанию резервной тепловой мощности при отсутствии потребления тепловой энергии </v>
      </c>
      <c r="AK90" s="1380" t="str">
        <f>IF($K$90="нет","без дифференциации",IF($N$90=0,"",$N$90))</f>
        <v>Территория 13</v>
      </c>
      <c r="AL90" s="1957" t="str">
        <f>IF($O$90="нет","без дифференциации",IF($R$90=0,"",$R$90))</f>
        <v>без дифференциации</v>
      </c>
      <c r="AM90" s="1957" t="str">
        <f>IF($S$90="нет","без дифференциации",IF($V$90=0,"",$V$90))</f>
        <v>Городское поселение Кандалакша Кандалакшского муниципального района Мурманской области (город Кандалакша)</v>
      </c>
      <c r="AN90" s="1380">
        <f>$I$48</f>
        <v>1</v>
      </c>
      <c r="AO90" s="1380" t="str">
        <f>$I$48&amp;"."&amp;$M$90</f>
        <v>1.13</v>
      </c>
      <c r="AP90" s="1380" t="str">
        <f>$I$48&amp;"."&amp;$M$90&amp;"."&amp;$Q$90</f>
        <v>1.13.1</v>
      </c>
      <c r="AQ90" s="1380" t="str">
        <f>$I$48&amp;"."&amp;$M$90&amp;"."&amp;$Q$90&amp;"."&amp;$U$90</f>
        <v>1.13.1.1</v>
      </c>
      <c r="AR90" s="3195"/>
    </row>
    <row customHeight="1" ht="17.25">
      <c r="A91" s="1953"/>
      <c r="B91" s="3195"/>
      <c r="C91" s="1955"/>
      <c r="D91" s="1943"/>
      <c r="E91" s="1960"/>
      <c r="F91" s="1897"/>
      <c r="G91" s="1961"/>
      <c r="H91" s="1869"/>
      <c r="I91" s="1869"/>
      <c r="J91" s="1870"/>
      <c r="K91" s="1961"/>
      <c r="L91" s="1869"/>
      <c r="M91" s="1869"/>
      <c r="N91" s="1961"/>
      <c r="O91" s="1961"/>
      <c r="P91" s="1869"/>
      <c r="Q91" s="1869"/>
      <c r="R91" s="1871"/>
      <c r="S91" s="1961"/>
      <c r="T91" s="1924" t="s">
        <v>106</v>
      </c>
      <c r="U91" s="1924" t="s">
        <v>105</v>
      </c>
      <c r="V91" s="1956" t="s">
        <v>327</v>
      </c>
      <c r="W91" s="1914" t="s">
        <v>264</v>
      </c>
      <c r="X91" s="3195"/>
      <c r="Y91" s="1380"/>
      <c r="Z91" s="1380"/>
      <c r="AA91" s="1380"/>
      <c r="AB91" s="1380"/>
      <c r="AC91" s="3206" t="s">
        <v>266</v>
      </c>
      <c r="AD91" s="3206" t="s">
        <v>267</v>
      </c>
      <c r="AE91" s="3206" t="s">
        <v>324</v>
      </c>
      <c r="AF91" s="3206" t="s">
        <v>325</v>
      </c>
      <c r="AG91" s="1380" t="s">
        <v>328</v>
      </c>
      <c r="AH91" s="1380" t="str">
        <f>IF($E$48=0,"",$E$48)</f>
        <v>Плата за услуги по поддержанию резервной тепловой мощности при отсутствии потребления тепловой энергии</v>
      </c>
      <c r="AI91" s="1380" t="str">
        <f>IF($G$48=0,"",$G$48)</f>
        <v>Поддержание резервной тепловой мощности при отсутствии потребления тепловой энергии</v>
      </c>
      <c r="AJ91" s="1380" t="str">
        <f>IF($J$48=0,"",$J$48)</f>
        <v>Плата за услуги по поддержанию резервной тепловой мощности при отсутствии потребления тепловой энергии </v>
      </c>
      <c r="AK91" s="1380" t="str">
        <f>IF($K$90="нет","без дифференциации",IF($N$90=0,"",$N$90))</f>
        <v>Территория 13</v>
      </c>
      <c r="AL91" s="1957" t="str">
        <f>IF($O$90="нет","без дифференциации",IF($R$90=0,"",$R$90))</f>
        <v>без дифференциации</v>
      </c>
      <c r="AM91" s="1957" t="str">
        <f>IF($S$91="нет","без дифференциации",IF($V$91=0,"",$V$91))</f>
        <v>Городское поселение Кандалакша Кандалакшского муниципального района Мурманской области (микрорайон Нива -3)</v>
      </c>
      <c r="AN91" s="1380">
        <f>$I$48</f>
        <v>1</v>
      </c>
      <c r="AO91" s="1380" t="str">
        <f>$I$48&amp;"."&amp;$M$90</f>
        <v>1.13</v>
      </c>
      <c r="AP91" s="1380" t="str">
        <f>$I$48&amp;"."&amp;$M$90&amp;"."&amp;$Q$90</f>
        <v>1.13.1</v>
      </c>
      <c r="AQ91" s="1380" t="str">
        <f>$I$48&amp;"."&amp;$M$90&amp;"."&amp;$Q$90&amp;"."&amp;$U$91</f>
        <v>1.13.1.2</v>
      </c>
      <c r="AR91" s="3195"/>
    </row>
    <row customHeight="1" ht="17.25">
      <c r="A92" s="1953"/>
      <c r="B92" s="3195"/>
      <c r="C92" s="1955"/>
      <c r="D92" s="1943"/>
      <c r="E92" s="1960"/>
      <c r="F92" s="1897"/>
      <c r="G92" s="1961"/>
      <c r="H92" s="1869"/>
      <c r="I92" s="1869"/>
      <c r="J92" s="1870"/>
      <c r="K92" s="1961"/>
      <c r="L92" s="1869"/>
      <c r="M92" s="1869"/>
      <c r="N92" s="1961"/>
      <c r="O92" s="1961"/>
      <c r="P92" s="1869"/>
      <c r="Q92" s="1869"/>
      <c r="R92" s="1871"/>
      <c r="S92" s="1961"/>
      <c r="T92" s="1924" t="s">
        <v>106</v>
      </c>
      <c r="U92" s="1924" t="s">
        <v>92</v>
      </c>
      <c r="V92" s="1956" t="s">
        <v>329</v>
      </c>
      <c r="W92" s="1914" t="s">
        <v>264</v>
      </c>
      <c r="X92" s="3195"/>
      <c r="Y92" s="1380"/>
      <c r="Z92" s="1380"/>
      <c r="AA92" s="1380"/>
      <c r="AB92" s="1380"/>
      <c r="AC92" s="3206" t="s">
        <v>266</v>
      </c>
      <c r="AD92" s="3206" t="s">
        <v>267</v>
      </c>
      <c r="AE92" s="3206" t="s">
        <v>324</v>
      </c>
      <c r="AF92" s="3206" t="s">
        <v>325</v>
      </c>
      <c r="AG92" s="1380" t="s">
        <v>330</v>
      </c>
      <c r="AH92" s="1380" t="str">
        <f>IF($E$48=0,"",$E$48)</f>
        <v>Плата за услуги по поддержанию резервной тепловой мощности при отсутствии потребления тепловой энергии</v>
      </c>
      <c r="AI92" s="1380" t="str">
        <f>IF($G$48=0,"",$G$48)</f>
        <v>Поддержание резервной тепловой мощности при отсутствии потребления тепловой энергии</v>
      </c>
      <c r="AJ92" s="1380" t="str">
        <f>IF($J$48=0,"",$J$48)</f>
        <v>Плата за услуги по поддержанию резервной тепловой мощности при отсутствии потребления тепловой энергии </v>
      </c>
      <c r="AK92" s="1380" t="str">
        <f>IF($K$90="нет","без дифференциации",IF($N$90=0,"",$N$90))</f>
        <v>Территория 13</v>
      </c>
      <c r="AL92" s="1957" t="str">
        <f>IF($O$90="нет","без дифференциации",IF($R$90=0,"",$R$90))</f>
        <v>без дифференциации</v>
      </c>
      <c r="AM92" s="1957" t="str">
        <f>IF($S$92="нет","без дифференциации",IF($V$92=0,"",$V$92))</f>
        <v>нп Белое море Кандалакшского муниципального района Мурманской области </v>
      </c>
      <c r="AN92" s="1380">
        <f>$I$48</f>
        <v>1</v>
      </c>
      <c r="AO92" s="1380" t="str">
        <f>$I$48&amp;"."&amp;$M$90</f>
        <v>1.13</v>
      </c>
      <c r="AP92" s="1380" t="str">
        <f>$I$48&amp;"."&amp;$M$90&amp;"."&amp;$Q$90</f>
        <v>1.13.1</v>
      </c>
      <c r="AQ92" s="1380" t="str">
        <f>$I$48&amp;"."&amp;$M$90&amp;"."&amp;$Q$90&amp;"."&amp;$U$92</f>
        <v>1.13.1.3</v>
      </c>
      <c r="AR92" s="3195"/>
    </row>
    <row customHeight="1" ht="17.25">
      <c r="A93" s="1953"/>
      <c r="B93" s="3195"/>
      <c r="C93" s="1958"/>
      <c r="D93" s="1943"/>
      <c r="E93" s="1960"/>
      <c r="F93" s="1897"/>
      <c r="G93" s="1961"/>
      <c r="H93" s="1943"/>
      <c r="I93" s="1943"/>
      <c r="J93" s="1962"/>
      <c r="K93" s="1873"/>
      <c r="L93" s="2221"/>
      <c r="M93" s="2221"/>
      <c r="N93" s="2617"/>
      <c r="O93" s="2299"/>
      <c r="P93" s="2221"/>
      <c r="Q93" s="2221"/>
      <c r="R93" s="3232" t="s">
        <v>28</v>
      </c>
      <c r="S93" s="2220"/>
      <c r="T93" s="430"/>
      <c r="U93" s="431"/>
      <c r="V93" s="431" t="s">
        <v>273</v>
      </c>
      <c r="W93" s="432"/>
      <c r="X93" s="3195"/>
      <c r="Y93" s="1372"/>
      <c r="Z93" s="1372"/>
      <c r="AA93" s="1372"/>
      <c r="AB93" s="1372"/>
      <c r="AC93" s="1372"/>
      <c r="AD93" s="1372"/>
      <c r="AE93" s="1372"/>
      <c r="AF93" s="1372"/>
      <c r="AG93" s="1372"/>
      <c r="AH93" s="1372"/>
      <c r="AI93" s="1372"/>
      <c r="AJ93" s="1372"/>
      <c r="AK93" s="1372"/>
      <c r="AL93" s="3195"/>
      <c r="AM93" s="3195"/>
      <c r="AN93" s="3195"/>
      <c r="AO93" s="3195"/>
      <c r="AP93" s="3195"/>
      <c r="AQ93" s="3195"/>
      <c r="AR93" s="3195"/>
    </row>
    <row customHeight="1" ht="17.25">
      <c r="A94" s="1953"/>
      <c r="B94" s="3195"/>
      <c r="C94" s="1958"/>
      <c r="D94" s="1943"/>
      <c r="E94" s="1960"/>
      <c r="F94" s="1897"/>
      <c r="G94" s="1961"/>
      <c r="H94" s="1943"/>
      <c r="I94" s="1943"/>
      <c r="J94" s="1962"/>
      <c r="K94" s="1873"/>
      <c r="L94" s="2616"/>
      <c r="M94" s="2616"/>
      <c r="N94" s="2618"/>
      <c r="O94" s="2225"/>
      <c r="P94" s="430"/>
      <c r="Q94" s="431"/>
      <c r="R94" s="431" t="s">
        <v>274</v>
      </c>
      <c r="S94" s="1959"/>
      <c r="T94" s="1959"/>
      <c r="U94" s="1959"/>
      <c r="V94" s="1959"/>
      <c r="W94" s="432"/>
      <c r="X94" s="3195"/>
      <c r="Y94" s="1372"/>
      <c r="Z94" s="1372"/>
      <c r="AA94" s="1372"/>
      <c r="AB94" s="1372"/>
      <c r="AC94" s="1372"/>
      <c r="AD94" s="1372"/>
      <c r="AE94" s="1372"/>
      <c r="AF94" s="1372"/>
      <c r="AG94" s="1372"/>
      <c r="AH94" s="1372"/>
      <c r="AI94" s="1372"/>
      <c r="AJ94" s="1372"/>
      <c r="AK94" s="1372"/>
      <c r="AL94" s="3195"/>
      <c r="AM94" s="3195"/>
      <c r="AN94" s="3195"/>
      <c r="AO94" s="3195"/>
      <c r="AP94" s="3195"/>
      <c r="AQ94" s="3195"/>
      <c r="AR94" s="3195"/>
    </row>
    <row customHeight="1" ht="17.25">
      <c r="A95" s="1953"/>
      <c r="B95" s="3195"/>
      <c r="C95" s="1955"/>
      <c r="D95" s="1943"/>
      <c r="E95" s="1960"/>
      <c r="F95" s="1897"/>
      <c r="G95" s="1961"/>
      <c r="H95" s="1943"/>
      <c r="I95" s="1943"/>
      <c r="J95" s="1962"/>
      <c r="K95" s="1873"/>
      <c r="L95" s="2221" t="s">
        <v>106</v>
      </c>
      <c r="M95" s="2221" t="s">
        <v>122</v>
      </c>
      <c r="N95" s="2617" t="str">
        <f>IF(Z95="","",INDEX(TERRITORY_MR_LIST,MATCH(Z95,TERRITORY_LIST_ID,0)))</f>
        <v>Территория 14</v>
      </c>
      <c r="O95" s="2298" t="s">
        <v>19</v>
      </c>
      <c r="P95" s="2221"/>
      <c r="Q95" s="2221" t="s">
        <v>155</v>
      </c>
      <c r="R95" s="3232" t="s">
        <v>28</v>
      </c>
      <c r="S95" s="2220" t="s">
        <v>19</v>
      </c>
      <c r="T95" s="1924"/>
      <c r="U95" s="1924" t="s">
        <v>155</v>
      </c>
      <c r="V95" s="3233" t="s">
        <v>28</v>
      </c>
      <c r="W95" s="1914" t="s">
        <v>264</v>
      </c>
      <c r="X95" s="3195"/>
      <c r="Y95" s="1380"/>
      <c r="Z95" s="1380" t="s">
        <v>162</v>
      </c>
      <c r="AA95" s="1380"/>
      <c r="AB95" s="1380"/>
      <c r="AC95" s="3206" t="s">
        <v>266</v>
      </c>
      <c r="AD95" s="3206" t="s">
        <v>267</v>
      </c>
      <c r="AE95" s="1380" t="s">
        <v>331</v>
      </c>
      <c r="AF95" s="1380" t="s">
        <v>332</v>
      </c>
      <c r="AG95" s="1380" t="s">
        <v>333</v>
      </c>
      <c r="AH95" s="1380" t="str">
        <f>IF($E$48=0,"",$E$48)</f>
        <v>Плата за услуги по поддержанию резервной тепловой мощности при отсутствии потребления тепловой энергии</v>
      </c>
      <c r="AI95" s="1380" t="str">
        <f>IF($G$48=0,"",$G$48)</f>
        <v>Поддержание резервной тепловой мощности при отсутствии потребления тепловой энергии</v>
      </c>
      <c r="AJ95" s="1380" t="str">
        <f>IF($J$48=0,"",$J$48)</f>
        <v>Плата за услуги по поддержанию резервной тепловой мощности при отсутствии потребления тепловой энергии </v>
      </c>
      <c r="AK95" s="1380" t="str">
        <f>IF($K$95="нет","без дифференциации",IF($N$95=0,"",$N$95))</f>
        <v>Территория 14</v>
      </c>
      <c r="AL95" s="1957" t="str">
        <f>IF($O$95="нет","без дифференциации",IF($R$95=0,"",$R$95))</f>
        <v>без дифференциации</v>
      </c>
      <c r="AM95" s="1957" t="str">
        <f>IF($S$95="нет","без дифференциации",IF($V$95=0,"",$V$95))</f>
        <v>без дифференциации</v>
      </c>
      <c r="AN95" s="1380">
        <f>$I$48</f>
        <v>1</v>
      </c>
      <c r="AO95" s="1380" t="str">
        <f>$I$48&amp;"."&amp;$M$95</f>
        <v>1.14</v>
      </c>
      <c r="AP95" s="1380" t="str">
        <f>$I$48&amp;"."&amp;$M$95&amp;"."&amp;$Q$95</f>
        <v>1.14.1</v>
      </c>
      <c r="AQ95" s="1380" t="str">
        <f>$I$48&amp;"."&amp;$M$95&amp;"."&amp;$Q$95&amp;"."&amp;$U$95</f>
        <v>1.14.1.1</v>
      </c>
      <c r="AR95" s="3195"/>
    </row>
    <row customHeight="1" ht="17.25">
      <c r="A96" s="1953"/>
      <c r="B96" s="3195"/>
      <c r="C96" s="1958"/>
      <c r="D96" s="1943"/>
      <c r="E96" s="1960"/>
      <c r="F96" s="1897"/>
      <c r="G96" s="1961"/>
      <c r="H96" s="1943"/>
      <c r="I96" s="1943"/>
      <c r="J96" s="1962"/>
      <c r="K96" s="1873"/>
      <c r="L96" s="2221"/>
      <c r="M96" s="2221"/>
      <c r="N96" s="2617"/>
      <c r="O96" s="2299"/>
      <c r="P96" s="2221"/>
      <c r="Q96" s="2221"/>
      <c r="R96" s="3232" t="s">
        <v>28</v>
      </c>
      <c r="S96" s="2220"/>
      <c r="T96" s="430"/>
      <c r="U96" s="431"/>
      <c r="V96" s="431" t="s">
        <v>273</v>
      </c>
      <c r="W96" s="432"/>
      <c r="X96" s="3195"/>
      <c r="Y96" s="1372"/>
      <c r="Z96" s="1372"/>
      <c r="AA96" s="1372"/>
      <c r="AB96" s="1372"/>
      <c r="AC96" s="1372"/>
      <c r="AD96" s="1372"/>
      <c r="AE96" s="1372"/>
      <c r="AF96" s="1372"/>
      <c r="AG96" s="1372"/>
      <c r="AH96" s="1372"/>
      <c r="AI96" s="1372"/>
      <c r="AJ96" s="1372"/>
      <c r="AK96" s="1372"/>
      <c r="AL96" s="3195"/>
      <c r="AM96" s="3195"/>
      <c r="AN96" s="3195"/>
      <c r="AO96" s="3195"/>
      <c r="AP96" s="3195"/>
      <c r="AQ96" s="3195"/>
      <c r="AR96" s="3195"/>
    </row>
    <row customHeight="1" ht="17.25">
      <c r="A97" s="1953"/>
      <c r="B97" s="3195"/>
      <c r="C97" s="1958"/>
      <c r="D97" s="1943"/>
      <c r="E97" s="1960"/>
      <c r="F97" s="1897"/>
      <c r="G97" s="1961"/>
      <c r="H97" s="1943"/>
      <c r="I97" s="1943"/>
      <c r="J97" s="1962"/>
      <c r="K97" s="1873"/>
      <c r="L97" s="2616"/>
      <c r="M97" s="2616"/>
      <c r="N97" s="2618"/>
      <c r="O97" s="2225"/>
      <c r="P97" s="430"/>
      <c r="Q97" s="431"/>
      <c r="R97" s="431" t="s">
        <v>274</v>
      </c>
      <c r="S97" s="1959"/>
      <c r="T97" s="1959"/>
      <c r="U97" s="1959"/>
      <c r="V97" s="1959"/>
      <c r="W97" s="432"/>
      <c r="X97" s="3195"/>
      <c r="Y97" s="1372"/>
      <c r="Z97" s="1372"/>
      <c r="AA97" s="1372"/>
      <c r="AB97" s="1372"/>
      <c r="AC97" s="1372"/>
      <c r="AD97" s="1372"/>
      <c r="AE97" s="1372"/>
      <c r="AF97" s="1372"/>
      <c r="AG97" s="1372"/>
      <c r="AH97" s="1372"/>
      <c r="AI97" s="1372"/>
      <c r="AJ97" s="1372"/>
      <c r="AK97" s="1372"/>
      <c r="AL97" s="3195"/>
      <c r="AM97" s="3195"/>
      <c r="AN97" s="3195"/>
      <c r="AO97" s="3195"/>
      <c r="AP97" s="3195"/>
      <c r="AQ97" s="3195"/>
      <c r="AR97" s="3195"/>
    </row>
    <row customHeight="1" ht="17.25">
      <c r="A98" s="1953"/>
      <c r="B98" s="3195"/>
      <c r="C98" s="1955"/>
      <c r="D98" s="1943"/>
      <c r="E98" s="1960"/>
      <c r="F98" s="1897"/>
      <c r="G98" s="1961"/>
      <c r="H98" s="1943"/>
      <c r="I98" s="1943"/>
      <c r="J98" s="1962"/>
      <c r="K98" s="1873"/>
      <c r="L98" s="2221" t="s">
        <v>106</v>
      </c>
      <c r="M98" s="2221" t="s">
        <v>126</v>
      </c>
      <c r="N98" s="2617" t="str">
        <f>IF(Z98="","",INDEX(TERRITORY_MR_LIST,MATCH(Z98,TERRITORY_LIST_ID,0)))</f>
        <v>Территория 15</v>
      </c>
      <c r="O98" s="2298" t="s">
        <v>19</v>
      </c>
      <c r="P98" s="2221"/>
      <c r="Q98" s="2221" t="s">
        <v>155</v>
      </c>
      <c r="R98" s="3232" t="s">
        <v>28</v>
      </c>
      <c r="S98" s="2220" t="s">
        <v>19</v>
      </c>
      <c r="T98" s="1924"/>
      <c r="U98" s="1924" t="s">
        <v>155</v>
      </c>
      <c r="V98" s="3233" t="s">
        <v>28</v>
      </c>
      <c r="W98" s="1914" t="s">
        <v>264</v>
      </c>
      <c r="X98" s="3195"/>
      <c r="Y98" s="1380"/>
      <c r="Z98" s="1380" t="s">
        <v>165</v>
      </c>
      <c r="AA98" s="1380"/>
      <c r="AB98" s="1380"/>
      <c r="AC98" s="3206" t="s">
        <v>266</v>
      </c>
      <c r="AD98" s="3206" t="s">
        <v>267</v>
      </c>
      <c r="AE98" s="1380" t="s">
        <v>334</v>
      </c>
      <c r="AF98" s="1380" t="s">
        <v>335</v>
      </c>
      <c r="AG98" s="1380" t="s">
        <v>336</v>
      </c>
      <c r="AH98" s="1380" t="str">
        <f>IF($E$48=0,"",$E$48)</f>
        <v>Плата за услуги по поддержанию резервной тепловой мощности при отсутствии потребления тепловой энергии</v>
      </c>
      <c r="AI98" s="1380" t="str">
        <f>IF($G$48=0,"",$G$48)</f>
        <v>Поддержание резервной тепловой мощности при отсутствии потребления тепловой энергии</v>
      </c>
      <c r="AJ98" s="1380" t="str">
        <f>IF($J$48=0,"",$J$48)</f>
        <v>Плата за услуги по поддержанию резервной тепловой мощности при отсутствии потребления тепловой энергии </v>
      </c>
      <c r="AK98" s="1380" t="str">
        <f>IF($K$98="нет","без дифференциации",IF($N$98=0,"",$N$98))</f>
        <v>Территория 15</v>
      </c>
      <c r="AL98" s="1957" t="str">
        <f>IF($O$98="нет","без дифференциации",IF($R$98=0,"",$R$98))</f>
        <v>без дифференциации</v>
      </c>
      <c r="AM98" s="1957" t="str">
        <f>IF($S$98="нет","без дифференциации",IF($V$98=0,"",$V$98))</f>
        <v>без дифференциации</v>
      </c>
      <c r="AN98" s="1380">
        <f>$I$48</f>
        <v>1</v>
      </c>
      <c r="AO98" s="1380" t="str">
        <f>$I$48&amp;"."&amp;$M$98</f>
        <v>1.15</v>
      </c>
      <c r="AP98" s="1380" t="str">
        <f>$I$48&amp;"."&amp;$M$98&amp;"."&amp;$Q$98</f>
        <v>1.15.1</v>
      </c>
      <c r="AQ98" s="1380" t="str">
        <f>$I$48&amp;"."&amp;$M$98&amp;"."&amp;$Q$98&amp;"."&amp;$U$98</f>
        <v>1.15.1.1</v>
      </c>
      <c r="AR98" s="3195"/>
    </row>
    <row customHeight="1" ht="17.25">
      <c r="A99" s="1953"/>
      <c r="B99" s="3195"/>
      <c r="C99" s="1958"/>
      <c r="D99" s="1943"/>
      <c r="E99" s="1960"/>
      <c r="F99" s="1897"/>
      <c r="G99" s="1961"/>
      <c r="H99" s="1943"/>
      <c r="I99" s="1943"/>
      <c r="J99" s="1962"/>
      <c r="K99" s="1873"/>
      <c r="L99" s="2221"/>
      <c r="M99" s="2221"/>
      <c r="N99" s="2617"/>
      <c r="O99" s="2299"/>
      <c r="P99" s="2221"/>
      <c r="Q99" s="2221"/>
      <c r="R99" s="3232" t="s">
        <v>28</v>
      </c>
      <c r="S99" s="2220"/>
      <c r="T99" s="430"/>
      <c r="U99" s="431"/>
      <c r="V99" s="431" t="s">
        <v>273</v>
      </c>
      <c r="W99" s="432"/>
      <c r="X99" s="3195"/>
      <c r="Y99" s="1372"/>
      <c r="Z99" s="1372"/>
      <c r="AA99" s="1372"/>
      <c r="AB99" s="1372"/>
      <c r="AC99" s="1372"/>
      <c r="AD99" s="1372"/>
      <c r="AE99" s="1372"/>
      <c r="AF99" s="1372"/>
      <c r="AG99" s="1372"/>
      <c r="AH99" s="1372"/>
      <c r="AI99" s="1372"/>
      <c r="AJ99" s="1372"/>
      <c r="AK99" s="1372"/>
      <c r="AL99" s="3195"/>
      <c r="AM99" s="3195"/>
      <c r="AN99" s="3195"/>
      <c r="AO99" s="3195"/>
      <c r="AP99" s="3195"/>
      <c r="AQ99" s="3195"/>
      <c r="AR99" s="3195"/>
    </row>
    <row customHeight="1" ht="17.25">
      <c r="A100" s="1953"/>
      <c r="B100" s="3195"/>
      <c r="C100" s="1958"/>
      <c r="D100" s="1943"/>
      <c r="E100" s="1960"/>
      <c r="F100" s="1897"/>
      <c r="G100" s="1961"/>
      <c r="H100" s="1943"/>
      <c r="I100" s="1943"/>
      <c r="J100" s="1962"/>
      <c r="K100" s="1873"/>
      <c r="L100" s="2616"/>
      <c r="M100" s="2616"/>
      <c r="N100" s="2618"/>
      <c r="O100" s="2225"/>
      <c r="P100" s="430"/>
      <c r="Q100" s="431"/>
      <c r="R100" s="431" t="s">
        <v>274</v>
      </c>
      <c r="S100" s="1959"/>
      <c r="T100" s="1959"/>
      <c r="U100" s="1959"/>
      <c r="V100" s="1959"/>
      <c r="W100" s="432"/>
      <c r="X100" s="3195"/>
      <c r="Y100" s="1372"/>
      <c r="Z100" s="1372"/>
      <c r="AA100" s="1372"/>
      <c r="AB100" s="1372"/>
      <c r="AC100" s="1372"/>
      <c r="AD100" s="1372"/>
      <c r="AE100" s="1372"/>
      <c r="AF100" s="1372"/>
      <c r="AG100" s="1372"/>
      <c r="AH100" s="1372"/>
      <c r="AI100" s="1372"/>
      <c r="AJ100" s="1372"/>
      <c r="AK100" s="1372"/>
      <c r="AL100" s="3195"/>
      <c r="AM100" s="3195"/>
      <c r="AN100" s="3195"/>
      <c r="AO100" s="3195"/>
      <c r="AP100" s="3195"/>
      <c r="AQ100" s="3195"/>
      <c r="AR100" s="3195"/>
    </row>
    <row customHeight="1" ht="17.25">
      <c r="A101" s="1953"/>
      <c r="B101" s="3195"/>
      <c r="C101" s="1955"/>
      <c r="D101" s="1943"/>
      <c r="E101" s="1960"/>
      <c r="F101" s="1897"/>
      <c r="G101" s="1961"/>
      <c r="H101" s="1943"/>
      <c r="I101" s="1943"/>
      <c r="J101" s="1962"/>
      <c r="K101" s="1873"/>
      <c r="L101" s="2221" t="s">
        <v>106</v>
      </c>
      <c r="M101" s="2221" t="s">
        <v>117</v>
      </c>
      <c r="N101" s="2617" t="str">
        <f>IF(Z101="","",INDEX(TERRITORY_MR_LIST,MATCH(Z101,TERRITORY_LIST_ID,0)))</f>
        <v>Территория 16</v>
      </c>
      <c r="O101" s="2298" t="s">
        <v>19</v>
      </c>
      <c r="P101" s="2221"/>
      <c r="Q101" s="2221" t="s">
        <v>155</v>
      </c>
      <c r="R101" s="3232" t="s">
        <v>28</v>
      </c>
      <c r="S101" s="2220" t="s">
        <v>19</v>
      </c>
      <c r="T101" s="1924"/>
      <c r="U101" s="1924" t="s">
        <v>155</v>
      </c>
      <c r="V101" s="3233" t="s">
        <v>28</v>
      </c>
      <c r="W101" s="1914" t="s">
        <v>264</v>
      </c>
      <c r="X101" s="3195"/>
      <c r="Y101" s="1380"/>
      <c r="Z101" s="1380" t="s">
        <v>169</v>
      </c>
      <c r="AA101" s="1380"/>
      <c r="AB101" s="1380"/>
      <c r="AC101" s="3206" t="s">
        <v>266</v>
      </c>
      <c r="AD101" s="3206" t="s">
        <v>267</v>
      </c>
      <c r="AE101" s="1380" t="s">
        <v>337</v>
      </c>
      <c r="AF101" s="1380" t="s">
        <v>338</v>
      </c>
      <c r="AG101" s="1380" t="s">
        <v>339</v>
      </c>
      <c r="AH101" s="1380" t="str">
        <f>IF($E$48=0,"",$E$48)</f>
        <v>Плата за услуги по поддержанию резервной тепловой мощности при отсутствии потребления тепловой энергии</v>
      </c>
      <c r="AI101" s="1380" t="str">
        <f>IF($G$48=0,"",$G$48)</f>
        <v>Поддержание резервной тепловой мощности при отсутствии потребления тепловой энергии</v>
      </c>
      <c r="AJ101" s="1380" t="str">
        <f>IF($J$48=0,"",$J$48)</f>
        <v>Плата за услуги по поддержанию резервной тепловой мощности при отсутствии потребления тепловой энергии </v>
      </c>
      <c r="AK101" s="1380" t="str">
        <f>IF($K$101="нет","без дифференциации",IF($N$101=0,"",$N$101))</f>
        <v>Территория 16</v>
      </c>
      <c r="AL101" s="1957" t="str">
        <f>IF($O$101="нет","без дифференциации",IF($R$101=0,"",$R$101))</f>
        <v>без дифференциации</v>
      </c>
      <c r="AM101" s="1957" t="str">
        <f>IF($S$101="нет","без дифференциации",IF($V$101=0,"",$V$101))</f>
        <v>без дифференциации</v>
      </c>
      <c r="AN101" s="1380">
        <f>$I$48</f>
        <v>1</v>
      </c>
      <c r="AO101" s="1380" t="str">
        <f>$I$48&amp;"."&amp;$M$101</f>
        <v>1.16</v>
      </c>
      <c r="AP101" s="1380" t="str">
        <f>$I$48&amp;"."&amp;$M$101&amp;"."&amp;$Q$101</f>
        <v>1.16.1</v>
      </c>
      <c r="AQ101" s="1380" t="str">
        <f>$I$48&amp;"."&amp;$M$101&amp;"."&amp;$Q$101&amp;"."&amp;$U$101</f>
        <v>1.16.1.1</v>
      </c>
      <c r="AR101" s="3195"/>
    </row>
    <row customHeight="1" ht="17.25">
      <c r="A102" s="1953"/>
      <c r="B102" s="3195"/>
      <c r="C102" s="1958"/>
      <c r="D102" s="1943"/>
      <c r="E102" s="1960"/>
      <c r="F102" s="1897"/>
      <c r="G102" s="1961"/>
      <c r="H102" s="1943"/>
      <c r="I102" s="1943"/>
      <c r="J102" s="1962"/>
      <c r="K102" s="1873"/>
      <c r="L102" s="2221"/>
      <c r="M102" s="2221"/>
      <c r="N102" s="2617"/>
      <c r="O102" s="2299"/>
      <c r="P102" s="2221"/>
      <c r="Q102" s="2221"/>
      <c r="R102" s="3232" t="s">
        <v>28</v>
      </c>
      <c r="S102" s="2220"/>
      <c r="T102" s="430"/>
      <c r="U102" s="431"/>
      <c r="V102" s="431" t="s">
        <v>273</v>
      </c>
      <c r="W102" s="432"/>
      <c r="X102" s="3195"/>
      <c r="Y102" s="1372"/>
      <c r="Z102" s="1372"/>
      <c r="AA102" s="1372"/>
      <c r="AB102" s="1372"/>
      <c r="AC102" s="1372"/>
      <c r="AD102" s="1372"/>
      <c r="AE102" s="1372"/>
      <c r="AF102" s="1372"/>
      <c r="AG102" s="1372"/>
      <c r="AH102" s="1372"/>
      <c r="AI102" s="1372"/>
      <c r="AJ102" s="1372"/>
      <c r="AK102" s="1372"/>
      <c r="AL102" s="3195"/>
      <c r="AM102" s="3195"/>
      <c r="AN102" s="3195"/>
      <c r="AO102" s="3195"/>
      <c r="AP102" s="3195"/>
      <c r="AQ102" s="3195"/>
      <c r="AR102" s="3195"/>
    </row>
    <row customHeight="1" ht="17.25">
      <c r="A103" s="1953"/>
      <c r="B103" s="3195"/>
      <c r="C103" s="1958"/>
      <c r="D103" s="1943"/>
      <c r="E103" s="1960"/>
      <c r="F103" s="1897"/>
      <c r="G103" s="1961"/>
      <c r="H103" s="1943"/>
      <c r="I103" s="1943"/>
      <c r="J103" s="1962"/>
      <c r="K103" s="1873"/>
      <c r="L103" s="2616"/>
      <c r="M103" s="2616"/>
      <c r="N103" s="2618"/>
      <c r="O103" s="2225"/>
      <c r="P103" s="430"/>
      <c r="Q103" s="431"/>
      <c r="R103" s="431" t="s">
        <v>274</v>
      </c>
      <c r="S103" s="1959"/>
      <c r="T103" s="1959"/>
      <c r="U103" s="1959"/>
      <c r="V103" s="1959"/>
      <c r="W103" s="432"/>
      <c r="X103" s="3195"/>
      <c r="Y103" s="1372"/>
      <c r="Z103" s="1372"/>
      <c r="AA103" s="1372"/>
      <c r="AB103" s="1372"/>
      <c r="AC103" s="1372"/>
      <c r="AD103" s="1372"/>
      <c r="AE103" s="1372"/>
      <c r="AF103" s="1372"/>
      <c r="AG103" s="1372"/>
      <c r="AH103" s="1372"/>
      <c r="AI103" s="1372"/>
      <c r="AJ103" s="1372"/>
      <c r="AK103" s="1372"/>
      <c r="AL103" s="3195"/>
      <c r="AM103" s="3195"/>
      <c r="AN103" s="3195"/>
      <c r="AO103" s="3195"/>
      <c r="AP103" s="3195"/>
      <c r="AQ103" s="3195"/>
      <c r="AR103" s="3195"/>
    </row>
    <row customHeight="1" ht="17.25">
      <c r="A104" s="1953"/>
      <c r="B104" s="3195"/>
      <c r="C104" s="1955"/>
      <c r="D104" s="1943"/>
      <c r="E104" s="1960"/>
      <c r="F104" s="1897"/>
      <c r="G104" s="1961"/>
      <c r="H104" s="1943"/>
      <c r="I104" s="1943"/>
      <c r="J104" s="1962"/>
      <c r="K104" s="1873"/>
      <c r="L104" s="2221" t="s">
        <v>106</v>
      </c>
      <c r="M104" s="2221" t="s">
        <v>173</v>
      </c>
      <c r="N104" s="2617" t="str">
        <f>IF(Z104="","",INDEX(TERRITORY_MR_LIST,MATCH(Z104,TERRITORY_LIST_ID,0)))</f>
        <v>Территория 17</v>
      </c>
      <c r="O104" s="2298" t="s">
        <v>19</v>
      </c>
      <c r="P104" s="2221"/>
      <c r="Q104" s="2221" t="s">
        <v>155</v>
      </c>
      <c r="R104" s="3232" t="s">
        <v>28</v>
      </c>
      <c r="S104" s="2220" t="s">
        <v>63</v>
      </c>
      <c r="T104" s="1924"/>
      <c r="U104" s="1924" t="s">
        <v>155</v>
      </c>
      <c r="V104" s="1956" t="s">
        <v>340</v>
      </c>
      <c r="W104" s="1914" t="s">
        <v>264</v>
      </c>
      <c r="X104" s="3195"/>
      <c r="Y104" s="1380"/>
      <c r="Z104" s="1380" t="s">
        <v>174</v>
      </c>
      <c r="AA104" s="1380"/>
      <c r="AB104" s="1380"/>
      <c r="AC104" s="3206" t="s">
        <v>266</v>
      </c>
      <c r="AD104" s="3206" t="s">
        <v>267</v>
      </c>
      <c r="AE104" s="1380" t="s">
        <v>341</v>
      </c>
      <c r="AF104" s="1380" t="s">
        <v>342</v>
      </c>
      <c r="AG104" s="1380" t="s">
        <v>343</v>
      </c>
      <c r="AH104" s="1380" t="str">
        <f>IF($E$48=0,"",$E$48)</f>
        <v>Плата за услуги по поддержанию резервной тепловой мощности при отсутствии потребления тепловой энергии</v>
      </c>
      <c r="AI104" s="1380" t="str">
        <f>IF($G$48=0,"",$G$48)</f>
        <v>Поддержание резервной тепловой мощности при отсутствии потребления тепловой энергии</v>
      </c>
      <c r="AJ104" s="1380" t="str">
        <f>IF($J$48=0,"",$J$48)</f>
        <v>Плата за услуги по поддержанию резервной тепловой мощности при отсутствии потребления тепловой энергии </v>
      </c>
      <c r="AK104" s="1380" t="str">
        <f>IF($K$104="нет","без дифференциации",IF($N$104=0,"",$N$104))</f>
        <v>Территория 17</v>
      </c>
      <c r="AL104" s="1957" t="str">
        <f>IF($O$104="нет","без дифференциации",IF($R$104=0,"",$R$104))</f>
        <v>без дифференциации</v>
      </c>
      <c r="AM104" s="1957" t="str">
        <f>IF($S$104="нет","без дифференциации",IF($V$104=0,"",$V$104))</f>
        <v>Сельское поселение Пушной Кольского муниципального района Мурманской области (ж. д. ст. Лопарская)</v>
      </c>
      <c r="AN104" s="1380">
        <f>$I$48</f>
        <v>1</v>
      </c>
      <c r="AO104" s="1380" t="str">
        <f>$I$48&amp;"."&amp;$M$104</f>
        <v>1.17</v>
      </c>
      <c r="AP104" s="1380" t="str">
        <f>$I$48&amp;"."&amp;$M$104&amp;"."&amp;$Q$104</f>
        <v>1.17.1</v>
      </c>
      <c r="AQ104" s="1380" t="str">
        <f>$I$48&amp;"."&amp;$M$104&amp;"."&amp;$Q$104&amp;"."&amp;$U$104</f>
        <v>1.17.1.1</v>
      </c>
      <c r="AR104" s="3195"/>
    </row>
    <row customHeight="1" ht="17.25">
      <c r="A105" s="1953"/>
      <c r="B105" s="3195"/>
      <c r="C105" s="1958"/>
      <c r="D105" s="1943"/>
      <c r="E105" s="1960"/>
      <c r="F105" s="1897"/>
      <c r="G105" s="1961"/>
      <c r="H105" s="1943"/>
      <c r="I105" s="1943"/>
      <c r="J105" s="1962"/>
      <c r="K105" s="1873"/>
      <c r="L105" s="2221"/>
      <c r="M105" s="2221"/>
      <c r="N105" s="2617"/>
      <c r="O105" s="2299"/>
      <c r="P105" s="2221"/>
      <c r="Q105" s="2221"/>
      <c r="R105" s="3232" t="s">
        <v>28</v>
      </c>
      <c r="S105" s="2220"/>
      <c r="T105" s="430"/>
      <c r="U105" s="431"/>
      <c r="V105" s="431" t="s">
        <v>273</v>
      </c>
      <c r="W105" s="432"/>
      <c r="X105" s="3195"/>
      <c r="Y105" s="1372"/>
      <c r="Z105" s="1372"/>
      <c r="AA105" s="1372"/>
      <c r="AB105" s="1372"/>
      <c r="AC105" s="1372"/>
      <c r="AD105" s="1372"/>
      <c r="AE105" s="1372"/>
      <c r="AF105" s="1372"/>
      <c r="AG105" s="1372"/>
      <c r="AH105" s="1372"/>
      <c r="AI105" s="1372"/>
      <c r="AJ105" s="1372"/>
      <c r="AK105" s="1372"/>
      <c r="AL105" s="3195"/>
      <c r="AM105" s="3195"/>
      <c r="AN105" s="3195"/>
      <c r="AO105" s="3195"/>
      <c r="AP105" s="3195"/>
      <c r="AQ105" s="3195"/>
      <c r="AR105" s="3195"/>
    </row>
    <row customHeight="1" ht="17.25">
      <c r="A106" s="1953"/>
      <c r="B106" s="3195"/>
      <c r="C106" s="1958"/>
      <c r="D106" s="1943"/>
      <c r="E106" s="1960"/>
      <c r="F106" s="1897"/>
      <c r="G106" s="1961"/>
      <c r="H106" s="1943"/>
      <c r="I106" s="1943"/>
      <c r="J106" s="1962"/>
      <c r="K106" s="1873"/>
      <c r="L106" s="2616"/>
      <c r="M106" s="2616"/>
      <c r="N106" s="2618"/>
      <c r="O106" s="2225"/>
      <c r="P106" s="430"/>
      <c r="Q106" s="431"/>
      <c r="R106" s="431" t="s">
        <v>274</v>
      </c>
      <c r="S106" s="1959"/>
      <c r="T106" s="1959"/>
      <c r="U106" s="1959"/>
      <c r="V106" s="1959"/>
      <c r="W106" s="432"/>
      <c r="X106" s="3195"/>
      <c r="Y106" s="1372"/>
      <c r="Z106" s="1372"/>
      <c r="AA106" s="1372"/>
      <c r="AB106" s="1372"/>
      <c r="AC106" s="1372"/>
      <c r="AD106" s="1372"/>
      <c r="AE106" s="1372"/>
      <c r="AF106" s="1372"/>
      <c r="AG106" s="1372"/>
      <c r="AH106" s="1372"/>
      <c r="AI106" s="1372"/>
      <c r="AJ106" s="1372"/>
      <c r="AK106" s="1372"/>
      <c r="AL106" s="3195"/>
      <c r="AM106" s="3195"/>
      <c r="AN106" s="3195"/>
      <c r="AO106" s="3195"/>
      <c r="AP106" s="3195"/>
      <c r="AQ106" s="3195"/>
      <c r="AR106" s="3195"/>
    </row>
    <row customHeight="1" ht="17.25">
      <c r="A107" s="1953"/>
      <c r="B107" s="3195"/>
      <c r="C107" s="1955"/>
      <c r="D107" s="1943"/>
      <c r="E107" s="1960"/>
      <c r="F107" s="1897"/>
      <c r="G107" s="1961"/>
      <c r="H107" s="1943"/>
      <c r="I107" s="1943"/>
      <c r="J107" s="1962"/>
      <c r="K107" s="1873"/>
      <c r="L107" s="2221" t="s">
        <v>106</v>
      </c>
      <c r="M107" s="2221" t="s">
        <v>175</v>
      </c>
      <c r="N107" s="2617" t="str">
        <f>IF(Z107="","",INDEX(TERRITORY_MR_LIST,MATCH(Z107,TERRITORY_LIST_ID,0)))</f>
        <v>Территория 18</v>
      </c>
      <c r="O107" s="2298" t="s">
        <v>19</v>
      </c>
      <c r="P107" s="2221"/>
      <c r="Q107" s="2221" t="s">
        <v>155</v>
      </c>
      <c r="R107" s="3232" t="s">
        <v>28</v>
      </c>
      <c r="S107" s="2220" t="s">
        <v>63</v>
      </c>
      <c r="T107" s="1924"/>
      <c r="U107" s="1924" t="s">
        <v>155</v>
      </c>
      <c r="V107" s="1956" t="s">
        <v>344</v>
      </c>
      <c r="W107" s="1914" t="s">
        <v>264</v>
      </c>
      <c r="X107" s="3195"/>
      <c r="Y107" s="1380"/>
      <c r="Z107" s="1380" t="s">
        <v>178</v>
      </c>
      <c r="AA107" s="1380"/>
      <c r="AB107" s="1380"/>
      <c r="AC107" s="3206" t="s">
        <v>266</v>
      </c>
      <c r="AD107" s="3206" t="s">
        <v>267</v>
      </c>
      <c r="AE107" s="1380" t="s">
        <v>345</v>
      </c>
      <c r="AF107" s="1380" t="s">
        <v>346</v>
      </c>
      <c r="AG107" s="1380" t="s">
        <v>347</v>
      </c>
      <c r="AH107" s="1380" t="str">
        <f>IF($E$48=0,"",$E$48)</f>
        <v>Плата за услуги по поддержанию резервной тепловой мощности при отсутствии потребления тепловой энергии</v>
      </c>
      <c r="AI107" s="1380" t="str">
        <f>IF($G$48=0,"",$G$48)</f>
        <v>Поддержание резервной тепловой мощности при отсутствии потребления тепловой энергии</v>
      </c>
      <c r="AJ107" s="1380" t="str">
        <f>IF($J$48=0,"",$J$48)</f>
        <v>Плата за услуги по поддержанию резервной тепловой мощности при отсутствии потребления тепловой энергии </v>
      </c>
      <c r="AK107" s="1380" t="str">
        <f>IF($K$107="нет","без дифференциации",IF($N$107=0,"",$N$107))</f>
        <v>Территория 18</v>
      </c>
      <c r="AL107" s="1957" t="str">
        <f>IF($O$107="нет","без дифференциации",IF($R$107=0,"",$R$107))</f>
        <v>без дифференциации</v>
      </c>
      <c r="AM107" s="1957" t="str">
        <f>IF($S$107="нет","без дифференциации",IF($V$107=0,"",$V$107))</f>
        <v>населенный пункт Лейпи</v>
      </c>
      <c r="AN107" s="1380">
        <f>$I$48</f>
        <v>1</v>
      </c>
      <c r="AO107" s="1380" t="str">
        <f>$I$48&amp;"."&amp;$M$107</f>
        <v>1.18</v>
      </c>
      <c r="AP107" s="1380" t="str">
        <f>$I$48&amp;"."&amp;$M$107&amp;"."&amp;$Q$107</f>
        <v>1.18.1</v>
      </c>
      <c r="AQ107" s="1380" t="str">
        <f>$I$48&amp;"."&amp;$M$107&amp;"."&amp;$Q$107&amp;"."&amp;$U$107</f>
        <v>1.18.1.1</v>
      </c>
      <c r="AR107" s="3195"/>
    </row>
    <row customHeight="1" ht="17.25">
      <c r="A108" s="1953"/>
      <c r="B108" s="3195"/>
      <c r="C108" s="1958"/>
      <c r="D108" s="1943"/>
      <c r="E108" s="1960"/>
      <c r="F108" s="1897"/>
      <c r="G108" s="1961"/>
      <c r="H108" s="1943"/>
      <c r="I108" s="1943"/>
      <c r="J108" s="1962"/>
      <c r="K108" s="1873"/>
      <c r="L108" s="2221"/>
      <c r="M108" s="2221"/>
      <c r="N108" s="2617"/>
      <c r="O108" s="2299"/>
      <c r="P108" s="2221"/>
      <c r="Q108" s="2221"/>
      <c r="R108" s="3232" t="s">
        <v>28</v>
      </c>
      <c r="S108" s="2220"/>
      <c r="T108" s="430"/>
      <c r="U108" s="431"/>
      <c r="V108" s="431" t="s">
        <v>273</v>
      </c>
      <c r="W108" s="432"/>
      <c r="X108" s="3195"/>
      <c r="Y108" s="1372"/>
      <c r="Z108" s="1372"/>
      <c r="AA108" s="1372"/>
      <c r="AB108" s="1372"/>
      <c r="AC108" s="1372"/>
      <c r="AD108" s="1372"/>
      <c r="AE108" s="1372"/>
      <c r="AF108" s="1372"/>
      <c r="AG108" s="1372"/>
      <c r="AH108" s="1372"/>
      <c r="AI108" s="1372"/>
      <c r="AJ108" s="1372"/>
      <c r="AK108" s="1372"/>
      <c r="AL108" s="3195"/>
      <c r="AM108" s="3195"/>
      <c r="AN108" s="3195"/>
      <c r="AO108" s="3195"/>
      <c r="AP108" s="3195"/>
      <c r="AQ108" s="3195"/>
      <c r="AR108" s="3195"/>
    </row>
    <row customHeight="1" ht="17.25">
      <c r="A109" s="1953"/>
      <c r="B109" s="3195"/>
      <c r="C109" s="1958"/>
      <c r="D109" s="1943"/>
      <c r="E109" s="1960"/>
      <c r="F109" s="1897"/>
      <c r="G109" s="1961"/>
      <c r="H109" s="1943"/>
      <c r="I109" s="1943"/>
      <c r="J109" s="1962"/>
      <c r="K109" s="1873"/>
      <c r="L109" s="2616"/>
      <c r="M109" s="2616"/>
      <c r="N109" s="2618"/>
      <c r="O109" s="2225"/>
      <c r="P109" s="430"/>
      <c r="Q109" s="431"/>
      <c r="R109" s="431" t="s">
        <v>274</v>
      </c>
      <c r="S109" s="1959"/>
      <c r="T109" s="1959"/>
      <c r="U109" s="1959"/>
      <c r="V109" s="1959"/>
      <c r="W109" s="432"/>
      <c r="X109" s="3195"/>
      <c r="Y109" s="1372"/>
      <c r="Z109" s="1372"/>
      <c r="AA109" s="1372"/>
      <c r="AB109" s="1372"/>
      <c r="AC109" s="1372"/>
      <c r="AD109" s="1372"/>
      <c r="AE109" s="1372"/>
      <c r="AF109" s="1372"/>
      <c r="AG109" s="1372"/>
      <c r="AH109" s="1372"/>
      <c r="AI109" s="1372"/>
      <c r="AJ109" s="1372"/>
      <c r="AK109" s="1372"/>
      <c r="AL109" s="3195"/>
      <c r="AM109" s="3195"/>
      <c r="AN109" s="3195"/>
      <c r="AO109" s="3195"/>
      <c r="AP109" s="3195"/>
      <c r="AQ109" s="3195"/>
      <c r="AR109" s="3195"/>
    </row>
    <row customHeight="1" ht="17.25">
      <c r="A110" s="1953"/>
      <c r="B110" s="3195"/>
      <c r="C110" s="1955"/>
      <c r="D110" s="1943"/>
      <c r="E110" s="1960"/>
      <c r="F110" s="1897"/>
      <c r="G110" s="1961"/>
      <c r="H110" s="1943"/>
      <c r="I110" s="1943"/>
      <c r="J110" s="1962"/>
      <c r="K110" s="1873"/>
      <c r="L110" s="2221" t="s">
        <v>106</v>
      </c>
      <c r="M110" s="2221" t="s">
        <v>166</v>
      </c>
      <c r="N110" s="2617" t="str">
        <f>IF(Z110="","",INDEX(TERRITORY_MR_LIST,MATCH(Z110,TERRITORY_LIST_ID,0)))</f>
        <v>Территория 19</v>
      </c>
      <c r="O110" s="2298" t="s">
        <v>19</v>
      </c>
      <c r="P110" s="2221"/>
      <c r="Q110" s="2221" t="s">
        <v>155</v>
      </c>
      <c r="R110" s="3232" t="s">
        <v>28</v>
      </c>
      <c r="S110" s="2220" t="s">
        <v>19</v>
      </c>
      <c r="T110" s="1924"/>
      <c r="U110" s="1924" t="s">
        <v>155</v>
      </c>
      <c r="V110" s="3233" t="s">
        <v>28</v>
      </c>
      <c r="W110" s="1914" t="s">
        <v>264</v>
      </c>
      <c r="X110" s="3195"/>
      <c r="Y110" s="1380"/>
      <c r="Z110" s="1380" t="s">
        <v>181</v>
      </c>
      <c r="AA110" s="1380"/>
      <c r="AB110" s="1380"/>
      <c r="AC110" s="3206" t="s">
        <v>266</v>
      </c>
      <c r="AD110" s="3206" t="s">
        <v>267</v>
      </c>
      <c r="AE110" s="1380" t="s">
        <v>348</v>
      </c>
      <c r="AF110" s="1380" t="s">
        <v>349</v>
      </c>
      <c r="AG110" s="1380" t="s">
        <v>350</v>
      </c>
      <c r="AH110" s="1380" t="str">
        <f>IF($E$48=0,"",$E$48)</f>
        <v>Плата за услуги по поддержанию резервной тепловой мощности при отсутствии потребления тепловой энергии</v>
      </c>
      <c r="AI110" s="1380" t="str">
        <f>IF($G$48=0,"",$G$48)</f>
        <v>Поддержание резервной тепловой мощности при отсутствии потребления тепловой энергии</v>
      </c>
      <c r="AJ110" s="1380" t="str">
        <f>IF($J$48=0,"",$J$48)</f>
        <v>Плата за услуги по поддержанию резервной тепловой мощности при отсутствии потребления тепловой энергии </v>
      </c>
      <c r="AK110" s="1380" t="str">
        <f>IF($K$110="нет","без дифференциации",IF($N$110=0,"",$N$110))</f>
        <v>Территория 19</v>
      </c>
      <c r="AL110" s="1957" t="str">
        <f>IF($O$110="нет","без дифференциации",IF($R$110=0,"",$R$110))</f>
        <v>без дифференциации</v>
      </c>
      <c r="AM110" s="1957" t="str">
        <f>IF($S$110="нет","без дифференциации",IF($V$110=0,"",$V$110))</f>
        <v>без дифференциации</v>
      </c>
      <c r="AN110" s="1380">
        <f>$I$48</f>
        <v>1</v>
      </c>
      <c r="AO110" s="1380" t="str">
        <f>$I$48&amp;"."&amp;$M$110</f>
        <v>1.19</v>
      </c>
      <c r="AP110" s="1380" t="str">
        <f>$I$48&amp;"."&amp;$M$110&amp;"."&amp;$Q$110</f>
        <v>1.19.1</v>
      </c>
      <c r="AQ110" s="1380" t="str">
        <f>$I$48&amp;"."&amp;$M$110&amp;"."&amp;$Q$110&amp;"."&amp;$U$110</f>
        <v>1.19.1.1</v>
      </c>
      <c r="AR110" s="3195"/>
    </row>
    <row customHeight="1" ht="17.25">
      <c r="A111" s="1953"/>
      <c r="B111" s="3195"/>
      <c r="C111" s="1958"/>
      <c r="D111" s="1943"/>
      <c r="E111" s="1960"/>
      <c r="F111" s="1897"/>
      <c r="G111" s="1961"/>
      <c r="H111" s="1943"/>
      <c r="I111" s="1943"/>
      <c r="J111" s="1962"/>
      <c r="K111" s="1873"/>
      <c r="L111" s="2221"/>
      <c r="M111" s="2221"/>
      <c r="N111" s="2617"/>
      <c r="O111" s="2299"/>
      <c r="P111" s="2221"/>
      <c r="Q111" s="2221"/>
      <c r="R111" s="3232" t="s">
        <v>28</v>
      </c>
      <c r="S111" s="2220"/>
      <c r="T111" s="430"/>
      <c r="U111" s="431"/>
      <c r="V111" s="431" t="s">
        <v>273</v>
      </c>
      <c r="W111" s="432"/>
      <c r="X111" s="3195"/>
      <c r="Y111" s="1372"/>
      <c r="Z111" s="1372"/>
      <c r="AA111" s="1372"/>
      <c r="AB111" s="1372"/>
      <c r="AC111" s="1372"/>
      <c r="AD111" s="1372"/>
      <c r="AE111" s="1372"/>
      <c r="AF111" s="1372"/>
      <c r="AG111" s="1372"/>
      <c r="AH111" s="1372"/>
      <c r="AI111" s="1372"/>
      <c r="AJ111" s="1372"/>
      <c r="AK111" s="1372"/>
      <c r="AL111" s="3195"/>
      <c r="AM111" s="3195"/>
      <c r="AN111" s="3195"/>
      <c r="AO111" s="3195"/>
      <c r="AP111" s="3195"/>
      <c r="AQ111" s="3195"/>
      <c r="AR111" s="3195"/>
    </row>
    <row customHeight="1" ht="17.25">
      <c r="A112" s="1953"/>
      <c r="B112" s="3195"/>
      <c r="C112" s="1958"/>
      <c r="D112" s="1943"/>
      <c r="E112" s="1960"/>
      <c r="F112" s="1897"/>
      <c r="G112" s="1961"/>
      <c r="H112" s="1943"/>
      <c r="I112" s="1943"/>
      <c r="J112" s="1962"/>
      <c r="K112" s="1873"/>
      <c r="L112" s="2616"/>
      <c r="M112" s="2616"/>
      <c r="N112" s="2618"/>
      <c r="O112" s="2225"/>
      <c r="P112" s="430"/>
      <c r="Q112" s="431"/>
      <c r="R112" s="431" t="s">
        <v>274</v>
      </c>
      <c r="S112" s="1959"/>
      <c r="T112" s="1959"/>
      <c r="U112" s="1959"/>
      <c r="V112" s="1959"/>
      <c r="W112" s="432"/>
      <c r="X112" s="3195"/>
      <c r="Y112" s="1372"/>
      <c r="Z112" s="1372"/>
      <c r="AA112" s="1372"/>
      <c r="AB112" s="1372"/>
      <c r="AC112" s="1372"/>
      <c r="AD112" s="1372"/>
      <c r="AE112" s="1372"/>
      <c r="AF112" s="1372"/>
      <c r="AG112" s="1372"/>
      <c r="AH112" s="1372"/>
      <c r="AI112" s="1372"/>
      <c r="AJ112" s="1372"/>
      <c r="AK112" s="1372"/>
      <c r="AL112" s="3195"/>
      <c r="AM112" s="3195"/>
      <c r="AN112" s="3195"/>
      <c r="AO112" s="3195"/>
      <c r="AP112" s="3195"/>
      <c r="AQ112" s="3195"/>
      <c r="AR112" s="3195"/>
    </row>
    <row s="8328" customFormat="1" customHeight="1" ht="17.25">
      <c r="A113" s="434"/>
      <c r="C113" s="322"/>
      <c r="D113" s="2280"/>
      <c r="E113" s="2283"/>
      <c r="F113" s="2259"/>
      <c r="G113" s="3210"/>
      <c r="H113" s="3216"/>
      <c r="I113" s="3216"/>
      <c r="J113" s="3217"/>
      <c r="K113" s="3219"/>
      <c r="L113" s="3242"/>
      <c r="M113" s="3243"/>
      <c r="N113" s="3244" t="s">
        <v>351</v>
      </c>
      <c r="O113" s="3245"/>
      <c r="P113" s="3246"/>
      <c r="Q113" s="3247"/>
      <c r="R113" s="3248"/>
      <c r="S113" s="3249"/>
      <c r="T113" s="3250"/>
      <c r="U113" s="3251"/>
      <c r="V113" s="3252"/>
      <c r="W113" s="3253"/>
      <c r="Y113" s="1380"/>
      <c r="Z113" s="1380"/>
      <c r="AA113" s="1380"/>
      <c r="AB113" s="1380"/>
      <c r="AC113" s="1380"/>
      <c r="AD113" s="1380"/>
      <c r="AE113" s="1380"/>
      <c r="AF113" s="1380"/>
      <c r="AG113" s="1380"/>
      <c r="AH113" s="1380"/>
      <c r="AI113" s="1380"/>
      <c r="AJ113" s="1380"/>
      <c r="AK113" s="1380"/>
      <c r="AL113" s="1380"/>
      <c r="AM113" s="1380"/>
      <c r="AN113" s="1380"/>
      <c r="AO113" s="1380"/>
      <c r="AP113" s="1380"/>
      <c r="AQ113" s="1380"/>
      <c r="AR113" s="1439">
        <v>0</v>
      </c>
    </row>
    <row s="8328" customFormat="1" customHeight="1" ht="17.25">
      <c r="A114" s="434"/>
      <c r="C114" s="433"/>
      <c r="D114" s="2281"/>
      <c r="E114" s="2284"/>
      <c r="F114" s="2260"/>
      <c r="G114" s="3256"/>
      <c r="H114" s="3257"/>
      <c r="I114" s="3258"/>
      <c r="J114" s="3259" t="s">
        <v>352</v>
      </c>
      <c r="K114" s="3260"/>
      <c r="L114" s="3261"/>
      <c r="M114" s="3262"/>
      <c r="N114" s="3263"/>
      <c r="O114" s="3264"/>
      <c r="P114" s="3265"/>
      <c r="Q114" s="3266"/>
      <c r="R114" s="3267"/>
      <c r="S114" s="3268"/>
      <c r="T114" s="3269"/>
      <c r="U114" s="3270"/>
      <c r="V114" s="3271"/>
      <c r="W114" s="3272"/>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421">
        <v>0</v>
      </c>
    </row>
    <row s="8328" customFormat="1" customHeight="1" ht="17.25">
      <c r="A115" s="434"/>
      <c r="C115" s="322"/>
      <c r="D115" s="2248">
        <v>8</v>
      </c>
      <c r="E115" s="2256" t="s">
        <v>353</v>
      </c>
      <c r="F115" s="2258" t="s">
        <v>19</v>
      </c>
      <c r="G115" s="2256"/>
      <c r="H115" s="2261"/>
      <c r="I115" s="2263"/>
      <c r="J115" s="2265"/>
      <c r="K115" s="2250"/>
      <c r="L115" s="2250"/>
      <c r="M115" s="2250"/>
      <c r="N115" s="2252"/>
      <c r="O115" s="2250"/>
      <c r="P115" s="2250"/>
      <c r="Q115" s="2250"/>
      <c r="R115" s="2255"/>
      <c r="S115" s="2250"/>
      <c r="T115" s="1583"/>
      <c r="U115" s="1583"/>
      <c r="V115" s="1585"/>
      <c r="W115" s="1409"/>
      <c r="X115" s="1380"/>
      <c r="Y115" s="1380"/>
      <c r="Z115" s="1380"/>
      <c r="AA115" s="1380"/>
      <c r="AB115" s="1380"/>
      <c r="AC115" s="1380" t="s">
        <v>354</v>
      </c>
      <c r="AD115" s="1380" t="s">
        <v>355</v>
      </c>
      <c r="AE115" s="1380" t="s">
        <v>356</v>
      </c>
      <c r="AF115" s="1380" t="s">
        <v>357</v>
      </c>
      <c r="AG115" s="1380" t="s">
        <v>358</v>
      </c>
      <c r="AH115" s="1380" t="str">
        <f>IF($E$115=0,"",$E$115)</f>
        <v>Плата за подключение (технологическое присоединение) к системе теплоснабжения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2" t="str">
        <f>$I$115&amp;"."&amp;$M$115&amp;"."&amp;$Q$115</f>
        <v>..</v>
      </c>
      <c r="AQ115" s="1372" t="str">
        <f>$I$115&amp;"."&amp;$M$115&amp;"."&amp;$Q$115&amp;"."&amp;$U$115</f>
        <v>...</v>
      </c>
      <c r="AR115" s="1421">
        <v>0</v>
      </c>
    </row>
    <row s="8328"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1410"/>
      <c r="U116" s="1410"/>
      <c r="V116" s="1410"/>
      <c r="W116" s="1411"/>
      <c r="X116" s="1372"/>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421">
        <v>0</v>
      </c>
    </row>
    <row s="8328" customFormat="1" customHeight="1" ht="17.25">
      <c r="A117" s="434"/>
      <c r="C117" s="433"/>
      <c r="D117" s="2249"/>
      <c r="E117" s="2257"/>
      <c r="F117" s="2259"/>
      <c r="G117" s="2257"/>
      <c r="H117" s="2262"/>
      <c r="I117" s="2264"/>
      <c r="J117" s="2267"/>
      <c r="K117" s="2251"/>
      <c r="L117" s="2251"/>
      <c r="M117" s="2251"/>
      <c r="N117" s="2254"/>
      <c r="O117" s="2251"/>
      <c r="P117" s="1584"/>
      <c r="Q117" s="1410"/>
      <c r="R117" s="1410"/>
      <c r="S117" s="442"/>
      <c r="T117" s="442"/>
      <c r="U117" s="442"/>
      <c r="V117" s="442"/>
      <c r="W117" s="1411"/>
      <c r="X117" s="1372"/>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421">
        <v>0</v>
      </c>
    </row>
    <row s="8328" customFormat="1" customHeight="1" ht="17.25">
      <c r="A118" s="434"/>
      <c r="C118" s="322"/>
      <c r="D118" s="2249"/>
      <c r="E118" s="2257"/>
      <c r="F118" s="2259"/>
      <c r="G118" s="2257"/>
      <c r="H118" s="2262"/>
      <c r="I118" s="2264"/>
      <c r="J118" s="2267"/>
      <c r="K118" s="2251"/>
      <c r="L118" s="1410"/>
      <c r="M118" s="1410"/>
      <c r="N118" s="1410"/>
      <c r="O118" s="1410"/>
      <c r="P118" s="1410"/>
      <c r="Q118" s="1410"/>
      <c r="R118" s="1410"/>
      <c r="S118" s="442"/>
      <c r="T118" s="442"/>
      <c r="U118" s="442"/>
      <c r="V118" s="442"/>
      <c r="W118" s="1411"/>
      <c r="Y118" s="1380"/>
      <c r="Z118" s="1380"/>
      <c r="AA118" s="1380"/>
      <c r="AB118" s="1380"/>
      <c r="AC118" s="1380"/>
      <c r="AD118" s="1380"/>
      <c r="AE118" s="1380"/>
      <c r="AF118" s="1380"/>
      <c r="AG118" s="1380"/>
      <c r="AH118" s="1380"/>
      <c r="AI118" s="1380"/>
      <c r="AJ118" s="1380"/>
      <c r="AK118" s="1380"/>
      <c r="AL118" s="1380"/>
      <c r="AM118" s="1380"/>
      <c r="AN118" s="1380"/>
      <c r="AO118" s="1380"/>
      <c r="AP118" s="1380"/>
      <c r="AQ118" s="1380"/>
      <c r="AR118" s="1439">
        <v>0</v>
      </c>
    </row>
    <row s="8328" customFormat="1" customHeight="1" ht="17.25">
      <c r="A119" s="434"/>
      <c r="C119" s="433"/>
      <c r="D119" s="2249"/>
      <c r="E119" s="2257"/>
      <c r="F119" s="2260"/>
      <c r="G119" s="2257"/>
      <c r="H119" s="1412"/>
      <c r="I119" s="1413"/>
      <c r="J119" s="1413"/>
      <c r="K119" s="1413"/>
      <c r="L119" s="1413"/>
      <c r="M119" s="1413"/>
      <c r="N119" s="1413"/>
      <c r="O119" s="1413"/>
      <c r="P119" s="1413"/>
      <c r="Q119" s="1413"/>
      <c r="R119" s="1413"/>
      <c r="S119" s="1414"/>
      <c r="T119" s="1414"/>
      <c r="U119" s="1414"/>
      <c r="V119" s="1414"/>
      <c r="W119" s="1415"/>
      <c r="X119" s="1372"/>
      <c r="Y119" s="1372"/>
      <c r="Z119" s="1372"/>
      <c r="AA119" s="1372"/>
      <c r="AB119" s="1372"/>
      <c r="AC119" s="1372"/>
      <c r="AD119" s="1372"/>
      <c r="AE119" s="1372"/>
      <c r="AF119" s="1372"/>
      <c r="AG119" s="1372"/>
      <c r="AH119" s="1372"/>
      <c r="AI119" s="1372"/>
      <c r="AJ119" s="1372"/>
      <c r="AK119" s="1372"/>
      <c r="AL119" s="1372"/>
      <c r="AM119" s="1372"/>
      <c r="AN119" s="1372"/>
      <c r="AO119" s="1372"/>
      <c r="AP119" s="1372"/>
      <c r="AQ119" s="1372"/>
      <c r="AR119" s="1421">
        <v>0</v>
      </c>
    </row>
    <row s="8328" customFormat="1" customHeight="1" ht="17.25">
      <c r="A120" s="434"/>
      <c r="C120" s="322"/>
      <c r="D120" s="2248">
        <v>9</v>
      </c>
      <c r="E120" s="2256" t="s">
        <v>359</v>
      </c>
      <c r="F120" s="2258" t="s">
        <v>19</v>
      </c>
      <c r="G120" s="2256"/>
      <c r="H120" s="2261"/>
      <c r="I120" s="2263"/>
      <c r="J120" s="2265"/>
      <c r="K120" s="2250"/>
      <c r="L120" s="2250"/>
      <c r="M120" s="2250"/>
      <c r="N120" s="2252"/>
      <c r="O120" s="2250"/>
      <c r="P120" s="2250"/>
      <c r="Q120" s="2250"/>
      <c r="R120" s="2255"/>
      <c r="S120" s="2250"/>
      <c r="T120" s="2044"/>
      <c r="U120" s="2044"/>
      <c r="V120" s="2046"/>
      <c r="W120" s="1409"/>
      <c r="X120" s="1380"/>
      <c r="Y120" s="1380"/>
      <c r="Z120" s="1380"/>
      <c r="AA120" s="1380"/>
      <c r="AB120" s="1380"/>
      <c r="AC120" s="1380" t="s">
        <v>360</v>
      </c>
      <c r="AD120" s="1380" t="s">
        <v>361</v>
      </c>
      <c r="AE120" s="1380" t="s">
        <v>362</v>
      </c>
      <c r="AF120" s="1380" t="s">
        <v>363</v>
      </c>
      <c r="AG120" s="1380" t="s">
        <v>364</v>
      </c>
      <c r="AH120" s="1380" t="str">
        <f>IF($E$120=0,"",$E$120)</f>
        <v>Плата за подключение (технологическое присоединение) к системе теплоснабжения (индивидуальная)</v>
      </c>
      <c r="AI120" s="1380" t="str">
        <f>IF($G$120=0,"",$G$120)</f>
        <v/>
      </c>
      <c r="AJ120" s="1380" t="str">
        <f>IF($J$120=0,"",$J$120)</f>
        <v/>
      </c>
      <c r="AK120" s="1380" t="str">
        <f>IF($K$120="нет","без дифференциации",IF($N$120=0,"",$N$120))</f>
        <v/>
      </c>
      <c r="AL120" s="1380" t="str">
        <f>IF($O$120="нет","без дифференциации",IF($R$120=0,"",$R$120))</f>
        <v/>
      </c>
      <c r="AM120" s="1380" t="str">
        <f>IF($S$120="нет","без дифференциации",IF($V$120=0,"",$V$120))</f>
        <v/>
      </c>
      <c r="AN120" s="1885">
        <f>$I$120</f>
        <v>0</v>
      </c>
      <c r="AO120" s="1380" t="str">
        <f>$I$120&amp;"."&amp;$M$120</f>
        <v>.</v>
      </c>
      <c r="AP120" s="1379" t="str">
        <f>$I$120&amp;"."&amp;$M$120&amp;"."&amp;$Q$120</f>
        <v>..</v>
      </c>
      <c r="AQ120" s="1379" t="str">
        <f>$I$120&amp;"."&amp;$M$120&amp;"."&amp;$Q$120&amp;"."&amp;$U$120</f>
        <v>...</v>
      </c>
      <c r="AR120" s="1580">
        <v>0</v>
      </c>
    </row>
    <row s="8328" customFormat="1" customHeight="1" ht="17.25">
      <c r="A121" s="434"/>
      <c r="C121" s="433"/>
      <c r="D121" s="2248"/>
      <c r="E121" s="2256"/>
      <c r="F121" s="2259"/>
      <c r="G121" s="2256"/>
      <c r="H121" s="2262"/>
      <c r="I121" s="2264"/>
      <c r="J121" s="2266"/>
      <c r="K121" s="2251"/>
      <c r="L121" s="2251"/>
      <c r="M121" s="2251"/>
      <c r="N121" s="2253"/>
      <c r="O121" s="2251"/>
      <c r="P121" s="2251"/>
      <c r="Q121" s="2251"/>
      <c r="R121" s="2254"/>
      <c r="S121" s="2251"/>
      <c r="T121" s="2047"/>
      <c r="U121" s="2047"/>
      <c r="V121" s="2047"/>
      <c r="W121" s="2048"/>
      <c r="X121" s="1379"/>
      <c r="Y121" s="1379"/>
      <c r="Z121" s="1379"/>
      <c r="AA121" s="1379"/>
      <c r="AB121" s="1379"/>
      <c r="AC121" s="1379"/>
      <c r="AD121" s="1379"/>
      <c r="AE121" s="1379"/>
      <c r="AF121" s="1379"/>
      <c r="AG121" s="1379"/>
      <c r="AH121" s="1379"/>
      <c r="AI121" s="1379"/>
      <c r="AJ121" s="1379"/>
      <c r="AK121" s="1379"/>
      <c r="AL121" s="1379"/>
      <c r="AM121" s="1379"/>
      <c r="AN121" s="1379"/>
      <c r="AO121" s="1379"/>
      <c r="AP121" s="1379"/>
      <c r="AQ121" s="1379"/>
      <c r="AR121" s="1580">
        <v>0</v>
      </c>
    </row>
    <row s="8328" customFormat="1" customHeight="1" ht="17.25">
      <c r="A122" s="434"/>
      <c r="C122" s="433"/>
      <c r="D122" s="2249"/>
      <c r="E122" s="2257"/>
      <c r="F122" s="2259"/>
      <c r="G122" s="2257"/>
      <c r="H122" s="2262"/>
      <c r="I122" s="2264"/>
      <c r="J122" s="2267"/>
      <c r="K122" s="2251"/>
      <c r="L122" s="2251"/>
      <c r="M122" s="2251"/>
      <c r="N122" s="2254"/>
      <c r="O122" s="2251"/>
      <c r="P122" s="2045"/>
      <c r="Q122" s="2047"/>
      <c r="R122" s="2047"/>
      <c r="S122" s="442"/>
      <c r="T122" s="442"/>
      <c r="U122" s="442"/>
      <c r="V122" s="442"/>
      <c r="W122" s="2048"/>
      <c r="X122" s="1379"/>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0">
        <v>0</v>
      </c>
    </row>
    <row s="8328" customFormat="1" customHeight="1" ht="17.25">
      <c r="A123" s="434"/>
      <c r="C123" s="322"/>
      <c r="D123" s="2249"/>
      <c r="E123" s="2257"/>
      <c r="F123" s="2259"/>
      <c r="G123" s="2257"/>
      <c r="H123" s="2262"/>
      <c r="I123" s="2264"/>
      <c r="J123" s="2267"/>
      <c r="K123" s="2251"/>
      <c r="L123" s="2047"/>
      <c r="M123" s="2047"/>
      <c r="N123" s="2047"/>
      <c r="O123" s="2047"/>
      <c r="P123" s="2047"/>
      <c r="Q123" s="2047"/>
      <c r="R123" s="2047"/>
      <c r="S123" s="442"/>
      <c r="T123" s="442"/>
      <c r="U123" s="442"/>
      <c r="V123" s="442"/>
      <c r="W123" s="2048"/>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8328" customFormat="1" customHeight="1" ht="17.25">
      <c r="A124" s="434"/>
      <c r="C124" s="433"/>
      <c r="D124" s="2249"/>
      <c r="E124" s="2257"/>
      <c r="F124" s="2260"/>
      <c r="G124" s="2257"/>
      <c r="H124" s="1412"/>
      <c r="I124" s="2049"/>
      <c r="J124" s="2049"/>
      <c r="K124" s="2049"/>
      <c r="L124" s="2049"/>
      <c r="M124" s="2049"/>
      <c r="N124" s="2049"/>
      <c r="O124" s="2049"/>
      <c r="P124" s="2049"/>
      <c r="Q124" s="2049"/>
      <c r="R124" s="2049"/>
      <c r="S124" s="1414"/>
      <c r="T124" s="1414"/>
      <c r="U124" s="1414"/>
      <c r="V124" s="1414"/>
      <c r="W124" s="2050"/>
      <c r="X124" s="1379"/>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0">
        <v>0</v>
      </c>
    </row>
    <row s="8328" customFormat="1" customHeight="1" ht="17.25" hidden="1">
      <c r="A125" s="434"/>
      <c r="C125" s="322"/>
      <c r="D125" s="2248">
        <v>10</v>
      </c>
      <c r="E125" s="2256" t="s">
        <v>365</v>
      </c>
      <c r="F125" s="2258" t="s">
        <v>19</v>
      </c>
      <c r="G125" s="2256"/>
      <c r="H125" s="2261"/>
      <c r="I125" s="2263"/>
      <c r="J125" s="2265"/>
      <c r="K125" s="2250"/>
      <c r="L125" s="2250"/>
      <c r="M125" s="2250"/>
      <c r="N125" s="2252"/>
      <c r="O125" s="2250"/>
      <c r="P125" s="2250"/>
      <c r="Q125" s="2250"/>
      <c r="R125" s="2255"/>
      <c r="S125" s="2250"/>
      <c r="T125" s="2044"/>
      <c r="U125" s="2044"/>
      <c r="V125" s="2046"/>
      <c r="W125" s="1409"/>
      <c r="X125" s="1380"/>
      <c r="Y125" s="1380"/>
      <c r="Z125" s="1380"/>
      <c r="AA125" s="1380"/>
      <c r="AB125" s="1380"/>
      <c r="AC125" s="1380" t="s">
        <v>366</v>
      </c>
      <c r="AD125" s="1380" t="s">
        <v>367</v>
      </c>
      <c r="AE125" s="1380" t="s">
        <v>368</v>
      </c>
      <c r="AF125" s="1380" t="s">
        <v>369</v>
      </c>
      <c r="AG125" s="1380" t="s">
        <v>370</v>
      </c>
      <c r="AH125" s="1380" t="str">
        <f>IF($E$125=0,"",$E$125)</f>
        <v>Предельный уровень цены на тепловую энергию (мощность), поставляемую теплоснабжающими организациями потребителям</v>
      </c>
      <c r="AI125" s="1380" t="str">
        <f>IF($G$125=0,"",$G$125)</f>
        <v/>
      </c>
      <c r="AJ125" s="1380" t="str">
        <f>IF($J$125=0,"",$J$125)</f>
        <v/>
      </c>
      <c r="AK125" s="1380" t="str">
        <f>IF($K$125="нет","без дифференциации",IF($N$125=0,"",$N$125))</f>
        <v/>
      </c>
      <c r="AL125" s="1380" t="str">
        <f>IF($O$125="нет","без дифференциации",IF($R$125=0,"",$R$125))</f>
        <v/>
      </c>
      <c r="AM125" s="1380" t="str">
        <f>IF($S$125="нет","без дифференциации",IF($V$125=0,"",$V$125))</f>
        <v/>
      </c>
      <c r="AN125" s="1885">
        <f>$I$125</f>
        <v>0</v>
      </c>
      <c r="AO125" s="1380" t="str">
        <f>$I$125&amp;"."&amp;$M$125</f>
        <v>.</v>
      </c>
      <c r="AP125" s="1379" t="str">
        <f>$I$125&amp;"."&amp;$M$125&amp;"."&amp;$Q$125</f>
        <v>..</v>
      </c>
      <c r="AQ125" s="1379" t="str">
        <f>$I$125&amp;"."&amp;$M$125&amp;"."&amp;$Q$125&amp;"."&amp;$U$125</f>
        <v>...</v>
      </c>
      <c r="AR125" s="1580">
        <v>0</v>
      </c>
    </row>
    <row s="8328" customFormat="1" customHeight="1" ht="17.25" hidden="1">
      <c r="A126" s="434"/>
      <c r="C126" s="433"/>
      <c r="D126" s="2248"/>
      <c r="E126" s="2256"/>
      <c r="F126" s="2259"/>
      <c r="G126" s="2256"/>
      <c r="H126" s="2262"/>
      <c r="I126" s="2264"/>
      <c r="J126" s="2266"/>
      <c r="K126" s="2251"/>
      <c r="L126" s="2251"/>
      <c r="M126" s="2251"/>
      <c r="N126" s="2253"/>
      <c r="O126" s="2251"/>
      <c r="P126" s="2251"/>
      <c r="Q126" s="2251"/>
      <c r="R126" s="2254"/>
      <c r="S126" s="2251"/>
      <c r="T126" s="2047"/>
      <c r="U126" s="2047"/>
      <c r="V126" s="2047"/>
      <c r="W126" s="2048"/>
      <c r="X126" s="1379"/>
      <c r="Y126" s="1379"/>
      <c r="Z126" s="1379"/>
      <c r="AA126" s="1379"/>
      <c r="AB126" s="1379"/>
      <c r="AC126" s="1379"/>
      <c r="AD126" s="1379"/>
      <c r="AE126" s="1379"/>
      <c r="AF126" s="1379"/>
      <c r="AG126" s="1379"/>
      <c r="AH126" s="1379"/>
      <c r="AI126" s="1379"/>
      <c r="AJ126" s="1379"/>
      <c r="AK126" s="1379"/>
      <c r="AL126" s="1379"/>
      <c r="AM126" s="1379"/>
      <c r="AN126" s="1379"/>
      <c r="AO126" s="1379"/>
      <c r="AP126" s="1379"/>
      <c r="AQ126" s="1379"/>
      <c r="AR126" s="1580">
        <v>0</v>
      </c>
    </row>
    <row s="8328" customFormat="1" customHeight="1" ht="17.25" hidden="1">
      <c r="A127" s="434"/>
      <c r="C127" s="433"/>
      <c r="D127" s="2249"/>
      <c r="E127" s="2257"/>
      <c r="F127" s="2259"/>
      <c r="G127" s="2257"/>
      <c r="H127" s="2262"/>
      <c r="I127" s="2264"/>
      <c r="J127" s="2267"/>
      <c r="K127" s="2251"/>
      <c r="L127" s="2251"/>
      <c r="M127" s="2251"/>
      <c r="N127" s="2254"/>
      <c r="O127" s="2251"/>
      <c r="P127" s="2045"/>
      <c r="Q127" s="2047"/>
      <c r="R127" s="2047"/>
      <c r="S127" s="442"/>
      <c r="T127" s="442"/>
      <c r="U127" s="442"/>
      <c r="V127" s="442"/>
      <c r="W127" s="204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0">
        <v>0</v>
      </c>
    </row>
    <row s="8328" customFormat="1" customHeight="1" ht="17.25" hidden="1">
      <c r="A128" s="434"/>
      <c r="C128" s="322"/>
      <c r="D128" s="2249"/>
      <c r="E128" s="2257"/>
      <c r="F128" s="2259"/>
      <c r="G128" s="2257"/>
      <c r="H128" s="2262"/>
      <c r="I128" s="2264"/>
      <c r="J128" s="2267"/>
      <c r="K128" s="2251"/>
      <c r="L128" s="2047"/>
      <c r="M128" s="2047"/>
      <c r="N128" s="2047"/>
      <c r="O128" s="2047"/>
      <c r="P128" s="2047"/>
      <c r="Q128" s="2047"/>
      <c r="R128" s="2047"/>
      <c r="S128" s="442"/>
      <c r="T128" s="442"/>
      <c r="U128" s="442"/>
      <c r="V128" s="442"/>
      <c r="W128" s="2048"/>
      <c r="Y128" s="1380"/>
      <c r="Z128" s="1380"/>
      <c r="AA128" s="1380"/>
      <c r="AB128" s="1380"/>
      <c r="AC128" s="1380"/>
      <c r="AD128" s="1380"/>
      <c r="AE128" s="1380"/>
      <c r="AF128" s="1380"/>
      <c r="AG128" s="1380"/>
      <c r="AH128" s="1380"/>
      <c r="AI128" s="1380"/>
      <c r="AJ128" s="1380"/>
      <c r="AK128" s="1380"/>
      <c r="AL128" s="1380"/>
      <c r="AM128" s="1380"/>
      <c r="AN128" s="1380"/>
      <c r="AO128" s="1380"/>
      <c r="AP128" s="1380"/>
      <c r="AQ128" s="1380"/>
      <c r="AR128" s="1580">
        <v>0</v>
      </c>
    </row>
    <row s="8328" customFormat="1" customHeight="1" ht="17.25" hidden="1">
      <c r="A129" s="434"/>
      <c r="C129" s="433"/>
      <c r="D129" s="2249"/>
      <c r="E129" s="2257"/>
      <c r="F129" s="2260"/>
      <c r="G129" s="2257"/>
      <c r="H129" s="1412"/>
      <c r="I129" s="2049"/>
      <c r="J129" s="2049"/>
      <c r="K129" s="2049"/>
      <c r="L129" s="2049"/>
      <c r="M129" s="2049"/>
      <c r="N129" s="2049"/>
      <c r="O129" s="2049"/>
      <c r="P129" s="2049"/>
      <c r="Q129" s="2049"/>
      <c r="R129" s="2049"/>
      <c r="S129" s="1414"/>
      <c r="T129" s="1414"/>
      <c r="U129" s="1414"/>
      <c r="V129" s="1414"/>
      <c r="W129" s="2050"/>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0">
        <v>0</v>
      </c>
    </row>
    <row customHeight="1" ht="11.25">
      <c r="AR130" s="217">
        <v>0</v>
      </c>
    </row>
    <row customHeight="1" ht="11.25">
      <c r="E131" s="2287" t="s">
        <v>371</v>
      </c>
      <c r="F131" s="2287"/>
      <c r="G131" s="2287"/>
      <c r="H131" s="2287"/>
      <c r="I131" s="2287"/>
      <c r="J131" s="2287"/>
      <c r="K131" s="2287"/>
      <c r="L131" s="2287"/>
      <c r="M131" s="2287"/>
      <c r="N131" s="2287"/>
      <c r="O131" s="2287"/>
      <c r="P131" s="2287"/>
      <c r="Q131" s="2287"/>
      <c r="R131" s="2287"/>
      <c r="S131" s="2287"/>
      <c r="T131" s="2287"/>
      <c r="U131" s="2287"/>
      <c r="V131" s="2287"/>
      <c r="W131" s="2287"/>
      <c r="AR131" s="217">
        <v>0</v>
      </c>
    </row>
    <row customHeight="1" ht="36.75">
      <c r="E132" s="2285" t="s">
        <v>372</v>
      </c>
      <c r="F132" s="2285"/>
      <c r="G132" s="2286"/>
      <c r="H132" s="2286"/>
      <c r="I132" s="2286"/>
      <c r="J132" s="2286"/>
      <c r="K132" s="2286"/>
      <c r="L132" s="2286"/>
      <c r="M132" s="2286"/>
      <c r="N132" s="2286"/>
      <c r="O132" s="2286"/>
      <c r="P132" s="2286"/>
      <c r="Q132" s="2286"/>
      <c r="R132" s="2286"/>
      <c r="S132" s="2286"/>
      <c r="T132" s="2286"/>
      <c r="U132" s="2286"/>
      <c r="V132" s="2286"/>
      <c r="W132" s="2286"/>
      <c r="AR132" s="217">
        <v>0</v>
      </c>
    </row>
    <row customHeight="1" ht="28.5">
      <c r="E133" s="2285" t="s">
        <v>373</v>
      </c>
      <c r="F133" s="2285"/>
      <c r="G133" s="2286"/>
      <c r="H133" s="2286"/>
      <c r="I133" s="2286"/>
      <c r="J133" s="2286"/>
      <c r="K133" s="2286"/>
      <c r="L133" s="2286"/>
      <c r="M133" s="2286"/>
      <c r="N133" s="2286"/>
      <c r="O133" s="2286"/>
      <c r="P133" s="2286"/>
      <c r="Q133" s="2286"/>
      <c r="R133" s="2286"/>
      <c r="S133" s="2286"/>
      <c r="T133" s="2286"/>
      <c r="U133" s="2286"/>
      <c r="V133" s="2286"/>
      <c r="W133" s="2286"/>
      <c r="AR133" s="217">
        <v>0</v>
      </c>
    </row>
    <row customHeight="1" ht="27">
      <c r="E134" s="2285" t="s">
        <v>374</v>
      </c>
      <c r="F134" s="2285"/>
      <c r="G134" s="2286"/>
      <c r="H134" s="2286"/>
      <c r="I134" s="2286"/>
      <c r="J134" s="2286"/>
      <c r="K134" s="2286"/>
      <c r="L134" s="2286"/>
      <c r="M134" s="2286"/>
      <c r="N134" s="2286"/>
      <c r="O134" s="2286"/>
      <c r="P134" s="2286"/>
      <c r="Q134" s="2286"/>
      <c r="R134" s="2286"/>
      <c r="S134" s="2286"/>
      <c r="T134" s="2286"/>
      <c r="U134" s="2286"/>
      <c r="V134" s="2286"/>
      <c r="W134" s="2286"/>
      <c r="AR134" s="217">
        <v>0</v>
      </c>
    </row>
    <row customHeight="1" ht="17.25">
      <c r="E135" s="2285" t="s">
        <v>375</v>
      </c>
      <c r="F135" s="2285"/>
      <c r="G135" s="2286"/>
      <c r="H135" s="2286"/>
      <c r="I135" s="2286"/>
      <c r="J135" s="2286"/>
      <c r="K135" s="2286"/>
      <c r="L135" s="2286"/>
      <c r="M135" s="2286"/>
      <c r="N135" s="2286"/>
      <c r="O135" s="2286"/>
      <c r="P135" s="2286"/>
      <c r="Q135" s="2286"/>
      <c r="R135" s="2286"/>
      <c r="S135" s="2286"/>
      <c r="T135" s="2286"/>
      <c r="U135" s="2286"/>
      <c r="V135" s="2286"/>
      <c r="W135" s="2286"/>
      <c r="AR135" s="217">
        <v>0</v>
      </c>
    </row>
    <row customHeight="1" ht="15">
      <c r="E136" s="453"/>
      <c r="F136" s="1398"/>
      <c r="G136" s="270"/>
      <c r="H136" s="270"/>
      <c r="I136" s="270"/>
      <c r="J136" s="270"/>
      <c r="K136" s="270"/>
      <c r="L136" s="270"/>
      <c r="M136" s="270"/>
      <c r="N136" s="270"/>
      <c r="O136" s="270"/>
      <c r="P136" s="270"/>
      <c r="Q136" s="270"/>
      <c r="R136" s="270"/>
      <c r="S136" s="270"/>
      <c r="T136" s="270"/>
      <c r="U136" s="270"/>
      <c r="V136" s="270"/>
      <c r="W136" s="270"/>
      <c r="AR136" s="217">
        <v>0</v>
      </c>
    </row>
    <row customHeight="1" ht="15">
      <c r="E137" s="2287" t="s">
        <v>376</v>
      </c>
      <c r="F137" s="2287"/>
      <c r="G137" s="2287"/>
      <c r="H137" s="2287"/>
      <c r="I137" s="2287"/>
      <c r="J137" s="2287"/>
      <c r="K137" s="2287"/>
      <c r="L137" s="2287"/>
      <c r="M137" s="2287"/>
      <c r="N137" s="2287"/>
      <c r="O137" s="2287"/>
      <c r="P137" s="2287"/>
      <c r="Q137" s="2287"/>
      <c r="R137" s="2287"/>
      <c r="S137" s="2287"/>
      <c r="T137" s="2287"/>
      <c r="U137" s="2287"/>
      <c r="V137" s="2287"/>
      <c r="W137" s="2287"/>
      <c r="AR137" s="217">
        <v>0</v>
      </c>
    </row>
    <row customHeight="1" ht="17.25">
      <c r="E138" s="2285" t="s">
        <v>377</v>
      </c>
      <c r="F138" s="2285"/>
      <c r="G138" s="2286"/>
      <c r="H138" s="2286"/>
      <c r="I138" s="2286"/>
      <c r="J138" s="2286"/>
      <c r="K138" s="2286"/>
      <c r="L138" s="2286"/>
      <c r="M138" s="2286"/>
      <c r="N138" s="2286"/>
      <c r="O138" s="2286"/>
      <c r="P138" s="2286"/>
      <c r="Q138" s="2286"/>
      <c r="R138" s="2286"/>
      <c r="S138" s="2286"/>
      <c r="T138" s="2286"/>
      <c r="U138" s="2286"/>
      <c r="V138" s="2286"/>
      <c r="W138" s="2286"/>
      <c r="AR138" s="217">
        <v>0</v>
      </c>
    </row>
    <row customHeight="1" ht="17.25">
      <c r="E139" s="2285" t="s">
        <v>378</v>
      </c>
      <c r="F139" s="2285"/>
      <c r="G139" s="2286"/>
      <c r="H139" s="2286"/>
      <c r="I139" s="2286"/>
      <c r="J139" s="2286"/>
      <c r="K139" s="2286"/>
      <c r="L139" s="2286"/>
      <c r="M139" s="2286"/>
      <c r="N139" s="2286"/>
      <c r="O139" s="2286"/>
      <c r="P139" s="2286"/>
      <c r="Q139" s="2286"/>
      <c r="R139" s="2286"/>
      <c r="S139" s="2286"/>
      <c r="T139" s="2286"/>
      <c r="U139" s="2286"/>
      <c r="V139" s="2286"/>
      <c r="W139" s="2286"/>
      <c r="AR139" s="217">
        <v>0</v>
      </c>
    </row>
    <row s="8328" customFormat="1" customHeight="1" ht="11.25" hidden="1">
      <c r="A140" s="390"/>
      <c r="B140" s="390"/>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463">
        <v>0</v>
      </c>
    </row>
    <row s="8328" customFormat="1" customHeight="1" ht="17.25" hidden="1">
      <c r="A141" s="434"/>
      <c r="C141" s="322"/>
      <c r="D141" s="2248">
        <v>1</v>
      </c>
      <c r="E141" s="2256" t="s">
        <v>379</v>
      </c>
      <c r="F141" s="2258" t="s">
        <v>19</v>
      </c>
      <c r="G141" s="2256"/>
      <c r="H141" s="2261"/>
      <c r="I141" s="2263"/>
      <c r="J141" s="2265"/>
      <c r="K141" s="2250"/>
      <c r="L141" s="2250"/>
      <c r="M141" s="2250"/>
      <c r="N141" s="2252"/>
      <c r="O141" s="2250"/>
      <c r="P141" s="2250"/>
      <c r="Q141" s="2250"/>
      <c r="R141" s="2255"/>
      <c r="S141" s="2250"/>
      <c r="T141" s="1583"/>
      <c r="U141" s="1583"/>
      <c r="V141" s="1585"/>
      <c r="W141" s="1409"/>
      <c r="Y141" s="1380"/>
      <c r="Z141" s="1380"/>
      <c r="AA141" s="1380"/>
      <c r="AB141" s="1380"/>
      <c r="AC141" s="1380" t="s">
        <v>380</v>
      </c>
      <c r="AD141" s="1380" t="s">
        <v>381</v>
      </c>
      <c r="AE141" s="1380" t="s">
        <v>382</v>
      </c>
      <c r="AF141" s="1380" t="s">
        <v>383</v>
      </c>
      <c r="AG141" s="1380"/>
      <c r="AH141" s="1380" t="str">
        <f>IF($E$141=0,"",$E$141)</f>
        <v>Тариф на питьевую воду (питьевое водоснабжение)</v>
      </c>
      <c r="AI141" s="1380" t="str">
        <f>IF($G$141=0,"",$G$141)</f>
        <v/>
      </c>
      <c r="AJ141" s="1380" t="str">
        <f>IF($J$141=0,"",$J$141)</f>
        <v/>
      </c>
      <c r="AK141" s="1380" t="str">
        <f>IF($K$141="нет","без дифференциации",IF($N$141=0,"",$N$141))</f>
        <v/>
      </c>
      <c r="AL141" s="1380" t="str">
        <f>IF($O$141="нет","без дифференциации",IF($R$141=0,"",$R$141))</f>
        <v/>
      </c>
      <c r="AM141" s="1380" t="str">
        <f>IF($S$141="нет","без дифференциации",IF($V$141=0,"",$V$141))</f>
        <v/>
      </c>
      <c r="AN141" s="1380">
        <f>$I$141</f>
        <v>0</v>
      </c>
      <c r="AO141" s="1380" t="str">
        <f>$I$141&amp;"."&amp;$M$141</f>
        <v>.</v>
      </c>
      <c r="AP141" s="1380" t="str">
        <f>$I$141&amp;"."&amp;$M$141&amp;"."&amp;$Q$141</f>
        <v>..</v>
      </c>
      <c r="AQ141" s="1380" t="str">
        <f>$I$141&amp;"."&amp;$M$141&amp;"."&amp;$Q$141&amp;"."&amp;$U$141</f>
        <v>...</v>
      </c>
      <c r="AR141" s="1463">
        <v>0</v>
      </c>
    </row>
    <row s="8328" customFormat="1" customHeight="1" ht="17.25" hidden="1">
      <c r="A142" s="434"/>
      <c r="C142" s="433"/>
      <c r="D142" s="2248"/>
      <c r="E142" s="2256"/>
      <c r="F142" s="2259"/>
      <c r="G142" s="2256"/>
      <c r="H142" s="2262"/>
      <c r="I142" s="2264"/>
      <c r="J142" s="2266"/>
      <c r="K142" s="2251"/>
      <c r="L142" s="2251"/>
      <c r="M142" s="2251"/>
      <c r="N142" s="2253"/>
      <c r="O142" s="2251"/>
      <c r="P142" s="2251"/>
      <c r="Q142" s="2251"/>
      <c r="R142" s="2254"/>
      <c r="S142" s="2251"/>
      <c r="T142" s="1410"/>
      <c r="U142" s="1410"/>
      <c r="V142" s="1410"/>
      <c r="W142" s="1411"/>
      <c r="Y142" s="1372"/>
      <c r="Z142" s="1372"/>
      <c r="AA142" s="1372"/>
      <c r="AB142" s="1372"/>
      <c r="AC142" s="1372"/>
      <c r="AD142" s="1372"/>
      <c r="AE142" s="1372"/>
      <c r="AF142" s="1372"/>
      <c r="AG142" s="1372"/>
      <c r="AH142" s="1372"/>
      <c r="AI142" s="1372"/>
      <c r="AJ142" s="1372"/>
      <c r="AK142" s="1372"/>
      <c r="AL142" s="1372"/>
      <c r="AM142" s="1372"/>
      <c r="AN142" s="1372"/>
      <c r="AO142" s="1372"/>
      <c r="AP142" s="1372"/>
      <c r="AQ142" s="1372"/>
      <c r="AR142" s="1463">
        <v>0</v>
      </c>
    </row>
    <row s="8328" customFormat="1" customHeight="1" ht="17.25" hidden="1">
      <c r="A143" s="434"/>
      <c r="C143" s="322"/>
      <c r="D143" s="2248"/>
      <c r="E143" s="2256"/>
      <c r="F143" s="2259"/>
      <c r="G143" s="2256"/>
      <c r="H143" s="2262"/>
      <c r="I143" s="2264"/>
      <c r="J143" s="2267"/>
      <c r="K143" s="2251"/>
      <c r="L143" s="2251"/>
      <c r="M143" s="2251"/>
      <c r="N143" s="2254"/>
      <c r="O143" s="2251"/>
      <c r="P143" s="1584"/>
      <c r="Q143" s="1410"/>
      <c r="R143" s="1410"/>
      <c r="S143" s="442"/>
      <c r="T143" s="442"/>
      <c r="U143" s="442"/>
      <c r="V143" s="442"/>
      <c r="W143" s="1411"/>
      <c r="Y143" s="1380"/>
      <c r="Z143" s="1380"/>
      <c r="AA143" s="1380"/>
      <c r="AB143" s="1380"/>
      <c r="AC143" s="1380"/>
      <c r="AD143" s="1380"/>
      <c r="AE143" s="1380"/>
      <c r="AF143" s="1380"/>
      <c r="AG143" s="1380"/>
      <c r="AH143" s="1380"/>
      <c r="AI143" s="1380"/>
      <c r="AJ143" s="1380"/>
      <c r="AK143" s="1380"/>
      <c r="AL143" s="1380"/>
      <c r="AM143" s="1380"/>
      <c r="AN143" s="1380"/>
      <c r="AO143" s="1380"/>
      <c r="AP143" s="1380"/>
      <c r="AQ143" s="1380"/>
      <c r="AR143" s="1554">
        <v>0</v>
      </c>
    </row>
    <row s="8328" customFormat="1" customHeight="1" ht="17.25" hidden="1">
      <c r="A144" s="434"/>
      <c r="C144" s="433"/>
      <c r="D144" s="2248"/>
      <c r="E144" s="2256"/>
      <c r="F144" s="2259"/>
      <c r="G144" s="2256"/>
      <c r="H144" s="2262"/>
      <c r="I144" s="2264"/>
      <c r="J144" s="2267"/>
      <c r="K144" s="2251"/>
      <c r="L144" s="1410"/>
      <c r="M144" s="1410"/>
      <c r="N144" s="1410"/>
      <c r="O144" s="1410"/>
      <c r="P144" s="1410"/>
      <c r="Q144" s="1410"/>
      <c r="R144" s="1410"/>
      <c r="S144" s="442"/>
      <c r="T144" s="442"/>
      <c r="U144" s="442"/>
      <c r="V144" s="442"/>
      <c r="W144" s="1411"/>
      <c r="Y144" s="1372"/>
      <c r="Z144" s="1372"/>
      <c r="AA144" s="1372"/>
      <c r="AB144" s="1372"/>
      <c r="AC144" s="1372"/>
      <c r="AD144" s="1372"/>
      <c r="AE144" s="1372"/>
      <c r="AF144" s="1372"/>
      <c r="AG144" s="1372"/>
      <c r="AH144" s="1372"/>
      <c r="AI144" s="1372"/>
      <c r="AJ144" s="1372"/>
      <c r="AK144" s="1372"/>
      <c r="AL144" s="1372"/>
      <c r="AM144" s="1372"/>
      <c r="AN144" s="1372"/>
      <c r="AO144" s="1372"/>
      <c r="AP144" s="1372"/>
      <c r="AQ144" s="1372"/>
      <c r="AR144" s="1554">
        <v>0</v>
      </c>
    </row>
    <row s="8328" customFormat="1" customHeight="1" ht="17.25" hidden="1">
      <c r="A145" s="434"/>
      <c r="C145" s="433"/>
      <c r="D145" s="2249"/>
      <c r="E145" s="2257"/>
      <c r="F145" s="2260"/>
      <c r="G145" s="2257"/>
      <c r="H145" s="1412"/>
      <c r="I145" s="1413"/>
      <c r="J145" s="1413"/>
      <c r="K145" s="1413"/>
      <c r="L145" s="1413"/>
      <c r="M145" s="1413"/>
      <c r="N145" s="1413"/>
      <c r="O145" s="1413"/>
      <c r="P145" s="1413"/>
      <c r="Q145" s="1413"/>
      <c r="R145" s="1413"/>
      <c r="S145" s="1414"/>
      <c r="T145" s="1414"/>
      <c r="U145" s="1414"/>
      <c r="V145" s="1414"/>
      <c r="W145" s="1415"/>
      <c r="Y145" s="1372"/>
      <c r="Z145" s="1372"/>
      <c r="AA145" s="1372"/>
      <c r="AB145" s="1372"/>
      <c r="AC145" s="1372"/>
      <c r="AD145" s="1372"/>
      <c r="AE145" s="1372"/>
      <c r="AF145" s="1372"/>
      <c r="AG145" s="1372"/>
      <c r="AH145" s="1372"/>
      <c r="AI145" s="1372"/>
      <c r="AJ145" s="1372"/>
      <c r="AK145" s="1372"/>
      <c r="AL145" s="1372"/>
      <c r="AM145" s="1372"/>
      <c r="AN145" s="1372"/>
      <c r="AO145" s="1372"/>
      <c r="AP145" s="1372"/>
      <c r="AQ145" s="1372"/>
      <c r="AR145" s="1463">
        <v>0</v>
      </c>
    </row>
    <row s="8328" customFormat="1" customHeight="1" ht="17.25" hidden="1">
      <c r="A146" s="434"/>
      <c r="C146" s="322"/>
      <c r="D146" s="2248">
        <v>2</v>
      </c>
      <c r="E146" s="2256" t="s">
        <v>384</v>
      </c>
      <c r="F146" s="2258" t="s">
        <v>19</v>
      </c>
      <c r="G146" s="2256"/>
      <c r="H146" s="2261"/>
      <c r="I146" s="2263"/>
      <c r="J146" s="2265"/>
      <c r="K146" s="2250"/>
      <c r="L146" s="2250"/>
      <c r="M146" s="2250"/>
      <c r="N146" s="2252"/>
      <c r="O146" s="2250"/>
      <c r="P146" s="2250"/>
      <c r="Q146" s="2250"/>
      <c r="R146" s="2255"/>
      <c r="S146" s="2250"/>
      <c r="T146" s="1556"/>
      <c r="U146" s="1556"/>
      <c r="V146" s="1558"/>
      <c r="W146" s="1409"/>
      <c r="X146" s="1380"/>
      <c r="Y146" s="1380"/>
      <c r="Z146" s="1380"/>
      <c r="AA146" s="1380"/>
      <c r="AB146" s="1380"/>
      <c r="AC146" s="1380" t="s">
        <v>385</v>
      </c>
      <c r="AD146" s="1380" t="s">
        <v>386</v>
      </c>
      <c r="AE146" s="1380" t="s">
        <v>387</v>
      </c>
      <c r="AF146" s="1380" t="s">
        <v>388</v>
      </c>
      <c r="AG146" s="1380"/>
      <c r="AH146" s="1380" t="str">
        <f>IF($E$146=0,"",$E$146)</f>
        <v>Тариф на техническую воду</v>
      </c>
      <c r="AI146" s="1380" t="str">
        <f>IF($G$146=0,"",$G$146)</f>
        <v/>
      </c>
      <c r="AJ146" s="1380" t="str">
        <f>IF($J$146=0,"",$J$146)</f>
        <v/>
      </c>
      <c r="AK146" s="1380" t="str">
        <f>IF($K$146="нет","без дифференциации",IF($N$146=0,"",$N$146))</f>
        <v/>
      </c>
      <c r="AL146" s="1380" t="str">
        <f>IF($O$146="нет","без дифференциации",IF($R$146=0,"",$R$146))</f>
        <v/>
      </c>
      <c r="AM146" s="1380" t="str">
        <f>IF($S$146="нет","без дифференциации",IF($V$146=0,"",$V$146))</f>
        <v/>
      </c>
      <c r="AN146" s="1885">
        <f>$I$146</f>
        <v>0</v>
      </c>
      <c r="AO146" s="1380" t="str">
        <f>$I$146&amp;"."&amp;$M$146</f>
        <v>.</v>
      </c>
      <c r="AP146" s="1372" t="str">
        <f>$I$146&amp;"."&amp;$M$146&amp;"."&amp;$Q$146</f>
        <v>..</v>
      </c>
      <c r="AQ146" s="1372" t="str">
        <f>$I$146&amp;"."&amp;$M$146&amp;"."&amp;$Q$146&amp;"."&amp;$U$146</f>
        <v>...</v>
      </c>
      <c r="AR146" s="1463">
        <v>0</v>
      </c>
    </row>
    <row s="8328" customFormat="1" customHeight="1" ht="17.25" hidden="1">
      <c r="A147" s="434"/>
      <c r="C147" s="433"/>
      <c r="D147" s="2248"/>
      <c r="E147" s="2256"/>
      <c r="F147" s="2259"/>
      <c r="G147" s="2256"/>
      <c r="H147" s="2262"/>
      <c r="I147" s="2264"/>
      <c r="J147" s="2266"/>
      <c r="K147" s="2251"/>
      <c r="L147" s="2251"/>
      <c r="M147" s="2251"/>
      <c r="N147" s="2253"/>
      <c r="O147" s="2251"/>
      <c r="P147" s="2251"/>
      <c r="Q147" s="2251"/>
      <c r="R147" s="2254"/>
      <c r="S147" s="2251"/>
      <c r="T147" s="1410"/>
      <c r="U147" s="1410"/>
      <c r="V147" s="1410"/>
      <c r="W147" s="1411"/>
      <c r="X147" s="1372"/>
      <c r="Y147" s="1372"/>
      <c r="Z147" s="1372"/>
      <c r="AA147" s="1372"/>
      <c r="AB147" s="1372"/>
      <c r="AC147" s="1372"/>
      <c r="AD147" s="1372"/>
      <c r="AE147" s="1372"/>
      <c r="AF147" s="1372"/>
      <c r="AG147" s="1372"/>
      <c r="AH147" s="1372"/>
      <c r="AI147" s="1372"/>
      <c r="AJ147" s="1372"/>
      <c r="AK147" s="1372"/>
      <c r="AL147" s="1372"/>
      <c r="AM147" s="1372"/>
      <c r="AN147" s="1372"/>
      <c r="AO147" s="1372"/>
      <c r="AP147" s="1372"/>
      <c r="AQ147" s="1372"/>
      <c r="AR147" s="1463">
        <v>0</v>
      </c>
    </row>
    <row s="8328" customFormat="1" customHeight="1" ht="17.25" hidden="1">
      <c r="A148" s="434"/>
      <c r="C148" s="433"/>
      <c r="D148" s="2249"/>
      <c r="E148" s="2257"/>
      <c r="F148" s="2259"/>
      <c r="G148" s="2257"/>
      <c r="H148" s="2262"/>
      <c r="I148" s="2264"/>
      <c r="J148" s="2267"/>
      <c r="K148" s="2251"/>
      <c r="L148" s="2251"/>
      <c r="M148" s="2251"/>
      <c r="N148" s="2254"/>
      <c r="O148" s="2251"/>
      <c r="P148" s="1557"/>
      <c r="Q148" s="1410"/>
      <c r="R148" s="1410"/>
      <c r="S148" s="442"/>
      <c r="T148" s="442"/>
      <c r="U148" s="442"/>
      <c r="V148" s="442"/>
      <c r="W148" s="1411"/>
      <c r="X148" s="1372"/>
      <c r="Y148" s="1372"/>
      <c r="Z148" s="1372"/>
      <c r="AA148" s="1372"/>
      <c r="AB148" s="1372"/>
      <c r="AC148" s="1372"/>
      <c r="AD148" s="1372"/>
      <c r="AE148" s="1372"/>
      <c r="AF148" s="1372"/>
      <c r="AG148" s="1372"/>
      <c r="AH148" s="1372"/>
      <c r="AI148" s="1372"/>
      <c r="AJ148" s="1372"/>
      <c r="AK148" s="1372"/>
      <c r="AL148" s="1372"/>
      <c r="AM148" s="1372"/>
      <c r="AN148" s="1372"/>
      <c r="AO148" s="1372"/>
      <c r="AP148" s="1372"/>
      <c r="AQ148" s="1372"/>
      <c r="AR148" s="1463">
        <v>0</v>
      </c>
    </row>
    <row s="8328" customFormat="1" customHeight="1" ht="17.25" hidden="1">
      <c r="A149" s="434"/>
      <c r="C149" s="433"/>
      <c r="D149" s="2249"/>
      <c r="E149" s="2257"/>
      <c r="F149" s="2259"/>
      <c r="G149" s="2257"/>
      <c r="H149" s="2262"/>
      <c r="I149" s="2264"/>
      <c r="J149" s="2267"/>
      <c r="K149" s="2251"/>
      <c r="L149" s="1410"/>
      <c r="M149" s="1410"/>
      <c r="N149" s="1410"/>
      <c r="O149" s="1410"/>
      <c r="P149" s="1410"/>
      <c r="Q149" s="1410"/>
      <c r="R149" s="1410"/>
      <c r="S149" s="442"/>
      <c r="T149" s="442"/>
      <c r="U149" s="442"/>
      <c r="V149" s="442"/>
      <c r="W149" s="1411"/>
      <c r="X149" s="1372"/>
      <c r="Y149" s="1372"/>
      <c r="Z149" s="1372"/>
      <c r="AA149" s="1372"/>
      <c r="AB149" s="1372"/>
      <c r="AC149" s="1372"/>
      <c r="AD149" s="1372"/>
      <c r="AE149" s="1372"/>
      <c r="AF149" s="1372"/>
      <c r="AG149" s="1372"/>
      <c r="AH149" s="1372"/>
      <c r="AI149" s="1372"/>
      <c r="AJ149" s="1372"/>
      <c r="AK149" s="1372"/>
      <c r="AL149" s="1372"/>
      <c r="AM149" s="1372"/>
      <c r="AN149" s="1372"/>
      <c r="AO149" s="1372"/>
      <c r="AP149" s="1372"/>
      <c r="AQ149" s="1372"/>
      <c r="AR149" s="1463">
        <v>0</v>
      </c>
    </row>
    <row s="8328" customFormat="1" customHeight="1" ht="17.25" hidden="1">
      <c r="A150" s="434"/>
      <c r="C150" s="433"/>
      <c r="D150" s="2249"/>
      <c r="E150" s="2257"/>
      <c r="F150" s="2260"/>
      <c r="G150" s="2257"/>
      <c r="H150" s="1412"/>
      <c r="I150" s="1413"/>
      <c r="J150" s="1413"/>
      <c r="K150" s="1413"/>
      <c r="L150" s="1413"/>
      <c r="M150" s="1413"/>
      <c r="N150" s="1413"/>
      <c r="O150" s="1413"/>
      <c r="P150" s="1413"/>
      <c r="Q150" s="1413"/>
      <c r="R150" s="1413"/>
      <c r="S150" s="1414"/>
      <c r="T150" s="1414"/>
      <c r="U150" s="1414"/>
      <c r="V150" s="1414"/>
      <c r="W150" s="1415"/>
      <c r="X150" s="1372"/>
      <c r="Y150" s="1372"/>
      <c r="Z150" s="1372"/>
      <c r="AA150" s="1372"/>
      <c r="AB150" s="1372"/>
      <c r="AC150" s="1372"/>
      <c r="AD150" s="1372"/>
      <c r="AE150" s="1372"/>
      <c r="AF150" s="1372"/>
      <c r="AG150" s="1372"/>
      <c r="AH150" s="1372"/>
      <c r="AI150" s="1372"/>
      <c r="AJ150" s="1372"/>
      <c r="AK150" s="1372"/>
      <c r="AL150" s="1372"/>
      <c r="AM150" s="1372"/>
      <c r="AN150" s="1372"/>
      <c r="AO150" s="1372"/>
      <c r="AP150" s="1372"/>
      <c r="AQ150" s="1372"/>
      <c r="AR150" s="1463">
        <v>0</v>
      </c>
    </row>
    <row s="8328" customFormat="1" customHeight="1" ht="17.25" hidden="1">
      <c r="A151" s="434"/>
      <c r="C151" s="322"/>
      <c r="D151" s="2248">
        <v>3</v>
      </c>
      <c r="E151" s="2256" t="s">
        <v>389</v>
      </c>
      <c r="F151" s="2258" t="s">
        <v>19</v>
      </c>
      <c r="G151" s="2256"/>
      <c r="H151" s="2261"/>
      <c r="I151" s="2263"/>
      <c r="J151" s="2265"/>
      <c r="K151" s="2250"/>
      <c r="L151" s="2250"/>
      <c r="M151" s="2250"/>
      <c r="N151" s="2252"/>
      <c r="O151" s="2250"/>
      <c r="P151" s="2250"/>
      <c r="Q151" s="2250"/>
      <c r="R151" s="2255"/>
      <c r="S151" s="2250"/>
      <c r="T151" s="1556"/>
      <c r="U151" s="1556"/>
      <c r="V151" s="1558"/>
      <c r="W151" s="1409"/>
      <c r="X151" s="1380"/>
      <c r="Y151" s="1380"/>
      <c r="Z151" s="1380"/>
      <c r="AA151" s="1380"/>
      <c r="AB151" s="1380"/>
      <c r="AC151" s="1380" t="s">
        <v>390</v>
      </c>
      <c r="AD151" s="1380" t="s">
        <v>391</v>
      </c>
      <c r="AE151" s="1380" t="s">
        <v>392</v>
      </c>
      <c r="AF151" s="1380" t="s">
        <v>393</v>
      </c>
      <c r="AG151" s="1380"/>
      <c r="AH151" s="1380" t="str">
        <f>IF($E$151=0,"",$E$151)</f>
        <v>Тариф на транспортировку воды</v>
      </c>
      <c r="AI151" s="1380" t="str">
        <f>IF($G$151=0,"",$G$151)</f>
        <v/>
      </c>
      <c r="AJ151" s="1380" t="str">
        <f>IF($J$151=0,"",$J$151)</f>
        <v/>
      </c>
      <c r="AK151" s="1380" t="str">
        <f>IF($K$151="нет","без дифференциации",IF($N$151=0,"",$N$151))</f>
        <v/>
      </c>
      <c r="AL151" s="1380" t="str">
        <f>IF($O$151="нет","без дифференциации",IF($R$151=0,"",$R$151))</f>
        <v/>
      </c>
      <c r="AM151" s="1380" t="str">
        <f>IF($S$151="нет","без дифференциации",IF($V$151=0,"",$V$151))</f>
        <v/>
      </c>
      <c r="AN151" s="1885">
        <f>$I$151</f>
        <v>0</v>
      </c>
      <c r="AO151" s="1380" t="str">
        <f>$I$151&amp;"."&amp;$M$151</f>
        <v>.</v>
      </c>
      <c r="AP151" s="1372" t="str">
        <f>$I$151&amp;"."&amp;$M$151&amp;"."&amp;$Q$151</f>
        <v>..</v>
      </c>
      <c r="AQ151" s="1372" t="str">
        <f>$I$151&amp;"."&amp;$M$151&amp;"."&amp;$Q$151&amp;"."&amp;$U$151</f>
        <v>...</v>
      </c>
      <c r="AR151" s="1463">
        <v>0</v>
      </c>
    </row>
    <row s="8328" customFormat="1" customHeight="1" ht="17.25" hidden="1">
      <c r="A152" s="434"/>
      <c r="C152" s="433"/>
      <c r="D152" s="2248"/>
      <c r="E152" s="2256"/>
      <c r="F152" s="2259"/>
      <c r="G152" s="2256"/>
      <c r="H152" s="2262"/>
      <c r="I152" s="2264"/>
      <c r="J152" s="2266"/>
      <c r="K152" s="2251"/>
      <c r="L152" s="2251"/>
      <c r="M152" s="2251"/>
      <c r="N152" s="2253"/>
      <c r="O152" s="2251"/>
      <c r="P152" s="2251"/>
      <c r="Q152" s="2251"/>
      <c r="R152" s="2254"/>
      <c r="S152" s="2251"/>
      <c r="T152" s="1410"/>
      <c r="U152" s="1410"/>
      <c r="V152" s="1410"/>
      <c r="W152" s="1411"/>
      <c r="X152" s="1372"/>
      <c r="Y152" s="1372"/>
      <c r="Z152" s="1372"/>
      <c r="AA152" s="1372"/>
      <c r="AB152" s="1372"/>
      <c r="AC152" s="1372"/>
      <c r="AD152" s="1372"/>
      <c r="AE152" s="1372"/>
      <c r="AF152" s="1372"/>
      <c r="AG152" s="1372"/>
      <c r="AH152" s="1372"/>
      <c r="AI152" s="1372"/>
      <c r="AJ152" s="1372"/>
      <c r="AK152" s="1372"/>
      <c r="AL152" s="1372"/>
      <c r="AM152" s="1372"/>
      <c r="AN152" s="1372"/>
      <c r="AO152" s="1372"/>
      <c r="AP152" s="1372"/>
      <c r="AQ152" s="1372"/>
      <c r="AR152" s="1463">
        <v>0</v>
      </c>
    </row>
    <row s="8328" customFormat="1" customHeight="1" ht="17.25" hidden="1">
      <c r="A153" s="434"/>
      <c r="C153" s="433"/>
      <c r="D153" s="2249"/>
      <c r="E153" s="2257"/>
      <c r="F153" s="2259"/>
      <c r="G153" s="2257"/>
      <c r="H153" s="2262"/>
      <c r="I153" s="2264"/>
      <c r="J153" s="2267"/>
      <c r="K153" s="2251"/>
      <c r="L153" s="2251"/>
      <c r="M153" s="2251"/>
      <c r="N153" s="2254"/>
      <c r="O153" s="2251"/>
      <c r="P153" s="1557"/>
      <c r="Q153" s="1410"/>
      <c r="R153" s="1410"/>
      <c r="S153" s="442"/>
      <c r="T153" s="442"/>
      <c r="U153" s="442"/>
      <c r="V153" s="442"/>
      <c r="W153" s="1411"/>
      <c r="X153" s="1372"/>
      <c r="Y153" s="1372"/>
      <c r="Z153" s="1372"/>
      <c r="AA153" s="1372"/>
      <c r="AB153" s="1372"/>
      <c r="AC153" s="1372"/>
      <c r="AD153" s="1372"/>
      <c r="AE153" s="1372"/>
      <c r="AF153" s="1372"/>
      <c r="AG153" s="1372"/>
      <c r="AH153" s="1372"/>
      <c r="AI153" s="1372"/>
      <c r="AJ153" s="1372"/>
      <c r="AK153" s="1372"/>
      <c r="AL153" s="1372"/>
      <c r="AM153" s="1372"/>
      <c r="AN153" s="1372"/>
      <c r="AO153" s="1372"/>
      <c r="AP153" s="1372"/>
      <c r="AQ153" s="1372"/>
      <c r="AR153" s="1463">
        <v>0</v>
      </c>
    </row>
    <row s="8328" customFormat="1" customHeight="1" ht="17.25" hidden="1">
      <c r="A154" s="434"/>
      <c r="C154" s="433"/>
      <c r="D154" s="2249"/>
      <c r="E154" s="2257"/>
      <c r="F154" s="2259"/>
      <c r="G154" s="2257"/>
      <c r="H154" s="2262"/>
      <c r="I154" s="2264"/>
      <c r="J154" s="2267"/>
      <c r="K154" s="2251"/>
      <c r="L154" s="1410"/>
      <c r="M154" s="1410"/>
      <c r="N154" s="1410"/>
      <c r="O154" s="1410"/>
      <c r="P154" s="1410"/>
      <c r="Q154" s="1410"/>
      <c r="R154" s="1410"/>
      <c r="S154" s="442"/>
      <c r="T154" s="442"/>
      <c r="U154" s="442"/>
      <c r="V154" s="442"/>
      <c r="W154" s="1411"/>
      <c r="X154" s="1372"/>
      <c r="Y154" s="1372"/>
      <c r="Z154" s="1372"/>
      <c r="AA154" s="1372"/>
      <c r="AB154" s="1372"/>
      <c r="AC154" s="1372"/>
      <c r="AD154" s="1372"/>
      <c r="AE154" s="1372"/>
      <c r="AF154" s="1372"/>
      <c r="AG154" s="1372"/>
      <c r="AH154" s="1372"/>
      <c r="AI154" s="1372"/>
      <c r="AJ154" s="1372"/>
      <c r="AK154" s="1372"/>
      <c r="AL154" s="1372"/>
      <c r="AM154" s="1372"/>
      <c r="AN154" s="1372"/>
      <c r="AO154" s="1372"/>
      <c r="AP154" s="1372"/>
      <c r="AQ154" s="1372"/>
      <c r="AR154" s="1463">
        <v>0</v>
      </c>
    </row>
    <row s="8328" customFormat="1" customHeight="1" ht="17.25" hidden="1">
      <c r="A155" s="434"/>
      <c r="C155" s="433"/>
      <c r="D155" s="2249"/>
      <c r="E155" s="2257"/>
      <c r="F155" s="2260"/>
      <c r="G155" s="2257"/>
      <c r="H155" s="1412"/>
      <c r="I155" s="1413"/>
      <c r="J155" s="1413"/>
      <c r="K155" s="1413"/>
      <c r="L155" s="1413"/>
      <c r="M155" s="1413"/>
      <c r="N155" s="1413"/>
      <c r="O155" s="1413"/>
      <c r="P155" s="1413"/>
      <c r="Q155" s="1413"/>
      <c r="R155" s="1413"/>
      <c r="S155" s="1414"/>
      <c r="T155" s="1414"/>
      <c r="U155" s="1414"/>
      <c r="V155" s="1414"/>
      <c r="W155" s="1415"/>
      <c r="X155" s="1372"/>
      <c r="Y155" s="1372"/>
      <c r="Z155" s="1372"/>
      <c r="AA155" s="1372"/>
      <c r="AB155" s="1372"/>
      <c r="AC155" s="1372"/>
      <c r="AD155" s="1372"/>
      <c r="AE155" s="1372"/>
      <c r="AF155" s="1372"/>
      <c r="AG155" s="1372"/>
      <c r="AH155" s="1372"/>
      <c r="AI155" s="1372"/>
      <c r="AJ155" s="1372"/>
      <c r="AK155" s="1372"/>
      <c r="AL155" s="1372"/>
      <c r="AM155" s="1372"/>
      <c r="AN155" s="1372"/>
      <c r="AO155" s="1372"/>
      <c r="AP155" s="1372"/>
      <c r="AQ155" s="1372"/>
      <c r="AR155" s="1463">
        <v>0</v>
      </c>
    </row>
    <row s="8328" customFormat="1" customHeight="1" ht="17.25" hidden="1">
      <c r="A156" s="434"/>
      <c r="C156" s="322"/>
      <c r="D156" s="2248">
        <v>4</v>
      </c>
      <c r="E156" s="2256" t="s">
        <v>394</v>
      </c>
      <c r="F156" s="2258" t="s">
        <v>19</v>
      </c>
      <c r="G156" s="2256"/>
      <c r="H156" s="2261"/>
      <c r="I156" s="2263"/>
      <c r="J156" s="2265"/>
      <c r="K156" s="2250"/>
      <c r="L156" s="2250"/>
      <c r="M156" s="2250"/>
      <c r="N156" s="2252"/>
      <c r="O156" s="2250"/>
      <c r="P156" s="2250"/>
      <c r="Q156" s="2250"/>
      <c r="R156" s="2255"/>
      <c r="S156" s="2250"/>
      <c r="T156" s="1556"/>
      <c r="U156" s="1556"/>
      <c r="V156" s="1558"/>
      <c r="W156" s="1409"/>
      <c r="X156" s="1380"/>
      <c r="Y156" s="1380"/>
      <c r="Z156" s="1380"/>
      <c r="AA156" s="1380"/>
      <c r="AB156" s="1380"/>
      <c r="AC156" s="1380" t="s">
        <v>395</v>
      </c>
      <c r="AD156" s="1380" t="s">
        <v>396</v>
      </c>
      <c r="AE156" s="1380" t="s">
        <v>397</v>
      </c>
      <c r="AF156" s="1380" t="s">
        <v>398</v>
      </c>
      <c r="AG156" s="1380"/>
      <c r="AH156" s="1380" t="str">
        <f>IF($E$156=0,"",$E$156)</f>
        <v>Тариф на подвоз воды</v>
      </c>
      <c r="AI156" s="1380" t="str">
        <f>IF($G$156=0,"",$G$156)</f>
        <v/>
      </c>
      <c r="AJ156" s="1380" t="str">
        <f>IF($J$156=0,"",$J$156)</f>
        <v/>
      </c>
      <c r="AK156" s="1380" t="str">
        <f>IF($K$156="нет","без дифференциации",IF($N$156=0,"",$N$156))</f>
        <v/>
      </c>
      <c r="AL156" s="1380" t="str">
        <f>IF($O$156="нет","без дифференциации",IF($R$156=0,"",$R$156))</f>
        <v/>
      </c>
      <c r="AM156" s="1380" t="str">
        <f>IF($S$156="нет","без дифференциации",IF($V$156=0,"",$V$156))</f>
        <v/>
      </c>
      <c r="AN156" s="1885">
        <f>$I$156</f>
        <v>0</v>
      </c>
      <c r="AO156" s="1380" t="str">
        <f>$I$156&amp;"."&amp;$M$156</f>
        <v>.</v>
      </c>
      <c r="AP156" s="1372" t="str">
        <f>$I$156&amp;"."&amp;$M$156&amp;"."&amp;$Q$156</f>
        <v>..</v>
      </c>
      <c r="AQ156" s="1372" t="str">
        <f>$I$156&amp;"."&amp;$M$156&amp;"."&amp;$Q$156&amp;"."&amp;$U$156</f>
        <v>...</v>
      </c>
      <c r="AR156" s="1463">
        <v>0</v>
      </c>
    </row>
    <row s="8328" customFormat="1" customHeight="1" ht="17.25" hidden="1">
      <c r="A157" s="434"/>
      <c r="C157" s="433"/>
      <c r="D157" s="2248"/>
      <c r="E157" s="2256"/>
      <c r="F157" s="2259"/>
      <c r="G157" s="2256"/>
      <c r="H157" s="2262"/>
      <c r="I157" s="2264"/>
      <c r="J157" s="2266"/>
      <c r="K157" s="2251"/>
      <c r="L157" s="2251"/>
      <c r="M157" s="2251"/>
      <c r="N157" s="2253"/>
      <c r="O157" s="2251"/>
      <c r="P157" s="2251"/>
      <c r="Q157" s="2251"/>
      <c r="R157" s="2254"/>
      <c r="S157" s="2251"/>
      <c r="T157" s="1410"/>
      <c r="U157" s="1410"/>
      <c r="V157" s="1410"/>
      <c r="W157" s="1411"/>
      <c r="X157" s="1372"/>
      <c r="Y157" s="1372"/>
      <c r="Z157" s="1372"/>
      <c r="AA157" s="1372"/>
      <c r="AB157" s="1372"/>
      <c r="AC157" s="1372"/>
      <c r="AD157" s="1372"/>
      <c r="AE157" s="1372"/>
      <c r="AF157" s="1372"/>
      <c r="AG157" s="1372"/>
      <c r="AH157" s="1372"/>
      <c r="AI157" s="1372"/>
      <c r="AJ157" s="1372"/>
      <c r="AK157" s="1372"/>
      <c r="AL157" s="1372"/>
      <c r="AM157" s="1372"/>
      <c r="AN157" s="1372"/>
      <c r="AO157" s="1372"/>
      <c r="AP157" s="1372"/>
      <c r="AQ157" s="1372"/>
      <c r="AR157" s="1463">
        <v>0</v>
      </c>
    </row>
    <row s="8328" customFormat="1" customHeight="1" ht="17.25" hidden="1">
      <c r="A158" s="434"/>
      <c r="C158" s="433"/>
      <c r="D158" s="2249"/>
      <c r="E158" s="2257"/>
      <c r="F158" s="2259"/>
      <c r="G158" s="2257"/>
      <c r="H158" s="2262"/>
      <c r="I158" s="2264"/>
      <c r="J158" s="2267"/>
      <c r="K158" s="2251"/>
      <c r="L158" s="2251"/>
      <c r="M158" s="2251"/>
      <c r="N158" s="2254"/>
      <c r="O158" s="2251"/>
      <c r="P158" s="1557"/>
      <c r="Q158" s="1410"/>
      <c r="R158" s="1410"/>
      <c r="S158" s="442"/>
      <c r="T158" s="442"/>
      <c r="U158" s="442"/>
      <c r="V158" s="442"/>
      <c r="W158" s="1411"/>
      <c r="X158" s="1372"/>
      <c r="Y158" s="1372"/>
      <c r="Z158" s="1372"/>
      <c r="AA158" s="1372"/>
      <c r="AB158" s="1372"/>
      <c r="AC158" s="1372"/>
      <c r="AD158" s="1372"/>
      <c r="AE158" s="1372"/>
      <c r="AF158" s="1372"/>
      <c r="AG158" s="1372"/>
      <c r="AH158" s="1372"/>
      <c r="AI158" s="1372"/>
      <c r="AJ158" s="1372"/>
      <c r="AK158" s="1372"/>
      <c r="AL158" s="1372"/>
      <c r="AM158" s="1372"/>
      <c r="AN158" s="1372"/>
      <c r="AO158" s="1372"/>
      <c r="AP158" s="1372"/>
      <c r="AQ158" s="1372"/>
      <c r="AR158" s="1463">
        <v>0</v>
      </c>
    </row>
    <row s="8328" customFormat="1" customHeight="1" ht="17.25" hidden="1">
      <c r="A159" s="434"/>
      <c r="C159" s="433"/>
      <c r="D159" s="2249"/>
      <c r="E159" s="2257"/>
      <c r="F159" s="2259"/>
      <c r="G159" s="2257"/>
      <c r="H159" s="2262"/>
      <c r="I159" s="2264"/>
      <c r="J159" s="2267"/>
      <c r="K159" s="2251"/>
      <c r="L159" s="1410"/>
      <c r="M159" s="1410"/>
      <c r="N159" s="1410"/>
      <c r="O159" s="1410"/>
      <c r="P159" s="1410"/>
      <c r="Q159" s="1410"/>
      <c r="R159" s="1410"/>
      <c r="S159" s="442"/>
      <c r="T159" s="442"/>
      <c r="U159" s="442"/>
      <c r="V159" s="442"/>
      <c r="W159" s="1411"/>
      <c r="X159" s="1372"/>
      <c r="Y159" s="1372"/>
      <c r="Z159" s="1372"/>
      <c r="AA159" s="1372"/>
      <c r="AB159" s="1372"/>
      <c r="AC159" s="1372"/>
      <c r="AD159" s="1372"/>
      <c r="AE159" s="1372"/>
      <c r="AF159" s="1372"/>
      <c r="AG159" s="1372"/>
      <c r="AH159" s="1372"/>
      <c r="AI159" s="1372"/>
      <c r="AJ159" s="1372"/>
      <c r="AK159" s="1372"/>
      <c r="AL159" s="1372"/>
      <c r="AM159" s="1372"/>
      <c r="AN159" s="1372"/>
      <c r="AO159" s="1372"/>
      <c r="AP159" s="1372"/>
      <c r="AQ159" s="1372"/>
      <c r="AR159" s="1463">
        <v>0</v>
      </c>
    </row>
    <row s="8328" customFormat="1" customHeight="1" ht="17.25" hidden="1">
      <c r="A160" s="434"/>
      <c r="C160" s="433"/>
      <c r="D160" s="2249"/>
      <c r="E160" s="2257"/>
      <c r="F160" s="2260"/>
      <c r="G160" s="2257"/>
      <c r="H160" s="1412"/>
      <c r="I160" s="1413"/>
      <c r="J160" s="1413"/>
      <c r="K160" s="1413"/>
      <c r="L160" s="1413"/>
      <c r="M160" s="1413"/>
      <c r="N160" s="1413"/>
      <c r="O160" s="1413"/>
      <c r="P160" s="1413"/>
      <c r="Q160" s="1413"/>
      <c r="R160" s="1413"/>
      <c r="S160" s="1414"/>
      <c r="T160" s="1414"/>
      <c r="U160" s="1414"/>
      <c r="V160" s="1414"/>
      <c r="W160" s="1415"/>
      <c r="X160" s="1372"/>
      <c r="Y160" s="1372"/>
      <c r="Z160" s="1372"/>
      <c r="AA160" s="1372"/>
      <c r="AB160" s="1372"/>
      <c r="AC160" s="1372"/>
      <c r="AD160" s="1372"/>
      <c r="AE160" s="1372"/>
      <c r="AF160" s="1372"/>
      <c r="AG160" s="1372"/>
      <c r="AH160" s="1372"/>
      <c r="AI160" s="1372"/>
      <c r="AJ160" s="1372"/>
      <c r="AK160" s="1372"/>
      <c r="AL160" s="1372"/>
      <c r="AM160" s="1372"/>
      <c r="AN160" s="1372"/>
      <c r="AO160" s="1372"/>
      <c r="AP160" s="1372"/>
      <c r="AQ160" s="1372"/>
      <c r="AR160" s="1463">
        <v>0</v>
      </c>
    </row>
    <row s="8328" customFormat="1" customHeight="1" ht="17.25" hidden="1">
      <c r="A161" s="434"/>
      <c r="C161" s="322"/>
      <c r="D161" s="2248">
        <v>5</v>
      </c>
      <c r="E161" s="2256" t="s">
        <v>399</v>
      </c>
      <c r="F161" s="2258" t="s">
        <v>19</v>
      </c>
      <c r="G161" s="2256"/>
      <c r="H161" s="2261"/>
      <c r="I161" s="2263"/>
      <c r="J161" s="2265"/>
      <c r="K161" s="2250"/>
      <c r="L161" s="2250"/>
      <c r="M161" s="2250"/>
      <c r="N161" s="2252"/>
      <c r="O161" s="2250"/>
      <c r="P161" s="2250"/>
      <c r="Q161" s="2250"/>
      <c r="R161" s="2255"/>
      <c r="S161" s="2250"/>
      <c r="T161" s="2056"/>
      <c r="U161" s="2056"/>
      <c r="V161" s="2058"/>
      <c r="W161" s="1409"/>
      <c r="X161" s="1380"/>
      <c r="Y161" s="1380"/>
      <c r="Z161" s="1380"/>
      <c r="AA161" s="1380"/>
      <c r="AB161" s="1380"/>
      <c r="AC161" s="1380" t="s">
        <v>400</v>
      </c>
      <c r="AD161" s="1380" t="s">
        <v>401</v>
      </c>
      <c r="AE161" s="1380" t="s">
        <v>402</v>
      </c>
      <c r="AF161" s="1380" t="s">
        <v>403</v>
      </c>
      <c r="AG161" s="1380"/>
      <c r="AH161" s="1380" t="str">
        <f>IF($E$161=0,"",$E$161)</f>
        <v>Тариф на подключение (технологическое присоединение) к централизованной системе холодного водоснабжения</v>
      </c>
      <c r="AI161" s="1380" t="str">
        <f>IF($G$161=0,"",$G$161)</f>
        <v/>
      </c>
      <c r="AJ161" s="1380" t="str">
        <f>IF($J$161=0,"",$J$161)</f>
        <v/>
      </c>
      <c r="AK161" s="1380" t="str">
        <f>IF($K$161="нет","без дифференциации",IF($N$161=0,"",$N$161))</f>
        <v/>
      </c>
      <c r="AL161" s="1380" t="str">
        <f>IF($O$161="нет","без дифференциации",IF($R$161=0,"",$R$161))</f>
        <v/>
      </c>
      <c r="AM161" s="1380" t="str">
        <f>IF($S$161="нет","без дифференциации",IF($V$161=0,"",$V$161))</f>
        <v/>
      </c>
      <c r="AN161" s="1885">
        <f>$I$161</f>
        <v>0</v>
      </c>
      <c r="AO161" s="1380" t="str">
        <f>$I$161&amp;"."&amp;$M$161</f>
        <v>.</v>
      </c>
      <c r="AP161" s="1379" t="str">
        <f>$I$161&amp;"."&amp;$M$161&amp;"."&amp;$Q$161</f>
        <v>..</v>
      </c>
      <c r="AQ161" s="1379" t="str">
        <f>$I$161&amp;"."&amp;$M$161&amp;"."&amp;$Q$161&amp;"."&amp;$U$161</f>
        <v>...</v>
      </c>
      <c r="AR161" s="1580">
        <v>0</v>
      </c>
    </row>
    <row s="8328" customFormat="1" customHeight="1" ht="17.25" hidden="1">
      <c r="A162" s="434"/>
      <c r="C162" s="433"/>
      <c r="D162" s="2248"/>
      <c r="E162" s="2256"/>
      <c r="F162" s="2259"/>
      <c r="G162" s="2256"/>
      <c r="H162" s="2262"/>
      <c r="I162" s="2264"/>
      <c r="J162" s="2266"/>
      <c r="K162" s="2251"/>
      <c r="L162" s="2251"/>
      <c r="M162" s="2251"/>
      <c r="N162" s="2253"/>
      <c r="O162" s="2251"/>
      <c r="P162" s="2251"/>
      <c r="Q162" s="2251"/>
      <c r="R162" s="2254"/>
      <c r="S162" s="2251"/>
      <c r="T162" s="2061"/>
      <c r="U162" s="2061"/>
      <c r="V162" s="2061"/>
      <c r="W162" s="2062"/>
      <c r="X162" s="1379"/>
      <c r="Y162" s="1379"/>
      <c r="Z162" s="1379"/>
      <c r="AA162" s="1379"/>
      <c r="AB162" s="1379"/>
      <c r="AC162" s="1379"/>
      <c r="AD162" s="1379"/>
      <c r="AE162" s="1379"/>
      <c r="AF162" s="1379"/>
      <c r="AG162" s="1379"/>
      <c r="AH162" s="1379"/>
      <c r="AI162" s="1379"/>
      <c r="AJ162" s="1379"/>
      <c r="AK162" s="1379"/>
      <c r="AL162" s="1379"/>
      <c r="AM162" s="1379"/>
      <c r="AN162" s="1379"/>
      <c r="AO162" s="1379"/>
      <c r="AP162" s="1379"/>
      <c r="AQ162" s="1379"/>
      <c r="AR162" s="1580">
        <v>0</v>
      </c>
    </row>
    <row s="8328" customFormat="1" customHeight="1" ht="17.25" hidden="1">
      <c r="A163" s="434"/>
      <c r="C163" s="433"/>
      <c r="D163" s="2249"/>
      <c r="E163" s="2257"/>
      <c r="F163" s="2259"/>
      <c r="G163" s="2257"/>
      <c r="H163" s="2262"/>
      <c r="I163" s="2264"/>
      <c r="J163" s="2267"/>
      <c r="K163" s="2251"/>
      <c r="L163" s="2251"/>
      <c r="M163" s="2251"/>
      <c r="N163" s="2254"/>
      <c r="O163" s="2251"/>
      <c r="P163" s="2057"/>
      <c r="Q163" s="2061"/>
      <c r="R163" s="2061"/>
      <c r="S163" s="442"/>
      <c r="T163" s="442"/>
      <c r="U163" s="442"/>
      <c r="V163" s="442"/>
      <c r="W163" s="2062"/>
      <c r="X163" s="1379"/>
      <c r="Y163" s="1379"/>
      <c r="Z163" s="1379"/>
      <c r="AA163" s="1379"/>
      <c r="AB163" s="1379"/>
      <c r="AC163" s="1379"/>
      <c r="AD163" s="1379"/>
      <c r="AE163" s="1379"/>
      <c r="AF163" s="1379"/>
      <c r="AG163" s="1379"/>
      <c r="AH163" s="1379"/>
      <c r="AI163" s="1379"/>
      <c r="AJ163" s="1379"/>
      <c r="AK163" s="1379"/>
      <c r="AL163" s="1379"/>
      <c r="AM163" s="1379"/>
      <c r="AN163" s="1379"/>
      <c r="AO163" s="1379"/>
      <c r="AP163" s="1379"/>
      <c r="AQ163" s="1379"/>
      <c r="AR163" s="1580">
        <v>0</v>
      </c>
    </row>
    <row s="8328" customFormat="1" customHeight="1" ht="17.25" hidden="1">
      <c r="A164" s="434"/>
      <c r="C164" s="433"/>
      <c r="D164" s="2249"/>
      <c r="E164" s="2257"/>
      <c r="F164" s="2259"/>
      <c r="G164" s="2257"/>
      <c r="H164" s="2262"/>
      <c r="I164" s="2264"/>
      <c r="J164" s="2267"/>
      <c r="K164" s="2251"/>
      <c r="L164" s="2061"/>
      <c r="M164" s="2061"/>
      <c r="N164" s="2061"/>
      <c r="O164" s="2061"/>
      <c r="P164" s="2061"/>
      <c r="Q164" s="2061"/>
      <c r="R164" s="2061"/>
      <c r="S164" s="442"/>
      <c r="T164" s="442"/>
      <c r="U164" s="442"/>
      <c r="V164" s="442"/>
      <c r="W164" s="2062"/>
      <c r="X164" s="1379"/>
      <c r="Y164" s="1379"/>
      <c r="Z164" s="1379"/>
      <c r="AA164" s="1379"/>
      <c r="AB164" s="1379"/>
      <c r="AC164" s="1379"/>
      <c r="AD164" s="1379"/>
      <c r="AE164" s="1379"/>
      <c r="AF164" s="1379"/>
      <c r="AG164" s="1379"/>
      <c r="AH164" s="1379"/>
      <c r="AI164" s="1379"/>
      <c r="AJ164" s="1379"/>
      <c r="AK164" s="1379"/>
      <c r="AL164" s="1379"/>
      <c r="AM164" s="1379"/>
      <c r="AN164" s="1379"/>
      <c r="AO164" s="1379"/>
      <c r="AP164" s="1379"/>
      <c r="AQ164" s="1379"/>
      <c r="AR164" s="1580">
        <v>0</v>
      </c>
    </row>
    <row s="8328" customFormat="1" customHeight="1" ht="17.25" hidden="1">
      <c r="A165" s="434"/>
      <c r="C165" s="433"/>
      <c r="D165" s="2249"/>
      <c r="E165" s="2257"/>
      <c r="F165" s="2260"/>
      <c r="G165" s="2257"/>
      <c r="H165" s="1412"/>
      <c r="I165" s="2059"/>
      <c r="J165" s="2059"/>
      <c r="K165" s="2059"/>
      <c r="L165" s="2059"/>
      <c r="M165" s="2059"/>
      <c r="N165" s="2059"/>
      <c r="O165" s="2059"/>
      <c r="P165" s="2059"/>
      <c r="Q165" s="2059"/>
      <c r="R165" s="2059"/>
      <c r="S165" s="1414"/>
      <c r="T165" s="1414"/>
      <c r="U165" s="1414"/>
      <c r="V165" s="1414"/>
      <c r="W165" s="2060"/>
      <c r="X165" s="1379"/>
      <c r="Y165" s="1379"/>
      <c r="Z165" s="1379"/>
      <c r="AA165" s="1379"/>
      <c r="AB165" s="1379"/>
      <c r="AC165" s="1379"/>
      <c r="AD165" s="1379"/>
      <c r="AE165" s="1379"/>
      <c r="AF165" s="1379"/>
      <c r="AG165" s="1379"/>
      <c r="AH165" s="1379"/>
      <c r="AI165" s="1379"/>
      <c r="AJ165" s="1379"/>
      <c r="AK165" s="1379"/>
      <c r="AL165" s="1379"/>
      <c r="AM165" s="1379"/>
      <c r="AN165" s="1379"/>
      <c r="AO165" s="1379"/>
      <c r="AP165" s="1379"/>
      <c r="AQ165" s="1379"/>
      <c r="AR165" s="1580">
        <v>0</v>
      </c>
    </row>
    <row s="8328" customFormat="1" customHeight="1" ht="11.25" hidden="1">
      <c r="A166" s="390"/>
      <c r="B166" s="390"/>
      <c r="Y166" s="1372"/>
      <c r="Z166" s="1372"/>
      <c r="AA166" s="1372"/>
      <c r="AB166" s="1372"/>
      <c r="AC166" s="1372"/>
      <c r="AD166" s="1372"/>
      <c r="AE166" s="1372"/>
      <c r="AF166" s="1372"/>
      <c r="AG166" s="1372"/>
      <c r="AH166" s="1372"/>
      <c r="AI166" s="1372"/>
      <c r="AJ166" s="1372"/>
      <c r="AK166" s="1372"/>
      <c r="AL166" s="1372"/>
      <c r="AM166" s="1372"/>
      <c r="AN166" s="1372"/>
      <c r="AO166" s="1372"/>
      <c r="AP166" s="1372"/>
      <c r="AQ166" s="1372"/>
      <c r="AR166" s="1580">
        <v>0</v>
      </c>
    </row>
    <row s="8328" customFormat="1" customHeight="1" ht="17.25" hidden="1">
      <c r="A167" s="434"/>
      <c r="C167" s="322"/>
      <c r="D167" s="2248">
        <v>1</v>
      </c>
      <c r="E167" s="2256" t="s">
        <v>404</v>
      </c>
      <c r="F167" s="2258" t="s">
        <v>19</v>
      </c>
      <c r="G167" s="2256"/>
      <c r="H167" s="2261"/>
      <c r="I167" s="2263"/>
      <c r="J167" s="2265"/>
      <c r="K167" s="2250"/>
      <c r="L167" s="2250"/>
      <c r="M167" s="2250"/>
      <c r="N167" s="2252"/>
      <c r="O167" s="2250"/>
      <c r="P167" s="2250"/>
      <c r="Q167" s="2250"/>
      <c r="R167" s="2255"/>
      <c r="S167" s="2250"/>
      <c r="T167" s="1583"/>
      <c r="U167" s="1583"/>
      <c r="V167" s="1585"/>
      <c r="W167" s="1409"/>
      <c r="Y167" s="1380"/>
      <c r="Z167" s="1380"/>
      <c r="AA167" s="1380"/>
      <c r="AB167" s="1380"/>
      <c r="AC167" s="1380" t="s">
        <v>405</v>
      </c>
      <c r="AD167" s="1380" t="s">
        <v>406</v>
      </c>
      <c r="AE167" s="1380" t="s">
        <v>407</v>
      </c>
      <c r="AF167" s="1380" t="s">
        <v>408</v>
      </c>
      <c r="AG167" s="1380"/>
      <c r="AH167" s="1380" t="str">
        <f>IF($E$167=0,"",$E$167)</f>
        <v>Тариф на горячую воду (горячее водоснабжение)</v>
      </c>
      <c r="AI167" s="1380" t="str">
        <f>IF($G$167=0,"",$G$167)</f>
        <v/>
      </c>
      <c r="AJ167" s="1380" t="str">
        <f>IF($J$167=0,"",$J$167)</f>
        <v/>
      </c>
      <c r="AK167" s="1380" t="str">
        <f>IF($K$167="нет","без дифференциации",IF($N$167=0,"",$N$167))</f>
        <v/>
      </c>
      <c r="AL167" s="1380" t="str">
        <f>IF($O$167="нет","без дифференциации",IF($R$167=0,"",$R$167))</f>
        <v/>
      </c>
      <c r="AM167" s="1380" t="str">
        <f>IF($S$167="нет","без дифференциации",IF($V$167=0,"",$V$167))</f>
        <v/>
      </c>
      <c r="AN167" s="1380">
        <f>$I$167</f>
        <v>0</v>
      </c>
      <c r="AO167" s="1380" t="str">
        <f>$I$167&amp;"."&amp;$M$167</f>
        <v>.</v>
      </c>
      <c r="AP167" s="1380" t="str">
        <f>$I$167&amp;"."&amp;$M$167&amp;"."&amp;$Q$167</f>
        <v>..</v>
      </c>
      <c r="AQ167" s="1380" t="str">
        <f>$I$167&amp;"."&amp;$M$167&amp;"."&amp;$Q$167&amp;"."&amp;$U$167</f>
        <v>...</v>
      </c>
      <c r="AR167" s="1580">
        <v>0</v>
      </c>
    </row>
    <row s="8328" customFormat="1" customHeight="1" ht="17.25" hidden="1">
      <c r="A168" s="434"/>
      <c r="C168" s="433"/>
      <c r="D168" s="2248"/>
      <c r="E168" s="2256"/>
      <c r="F168" s="2259"/>
      <c r="G168" s="2256"/>
      <c r="H168" s="2262"/>
      <c r="I168" s="2264"/>
      <c r="J168" s="2266"/>
      <c r="K168" s="2251"/>
      <c r="L168" s="2251"/>
      <c r="M168" s="2251"/>
      <c r="N168" s="2253"/>
      <c r="O168" s="2251"/>
      <c r="P168" s="2251"/>
      <c r="Q168" s="2251"/>
      <c r="R168" s="2254"/>
      <c r="S168" s="2251"/>
      <c r="T168" s="1410"/>
      <c r="U168" s="1410"/>
      <c r="V168" s="1410"/>
      <c r="W168" s="1411"/>
      <c r="Y168" s="1372"/>
      <c r="Z168" s="1372"/>
      <c r="AA168" s="1372"/>
      <c r="AB168" s="1372"/>
      <c r="AC168" s="1372"/>
      <c r="AD168" s="1372"/>
      <c r="AE168" s="1372"/>
      <c r="AF168" s="1372"/>
      <c r="AG168" s="1372"/>
      <c r="AH168" s="1372"/>
      <c r="AI168" s="1372"/>
      <c r="AJ168" s="1372"/>
      <c r="AK168" s="1372"/>
      <c r="AL168" s="1372"/>
      <c r="AM168" s="1372"/>
      <c r="AN168" s="1372"/>
      <c r="AO168" s="1372"/>
      <c r="AP168" s="1372"/>
      <c r="AQ168" s="1372"/>
      <c r="AR168" s="1580">
        <v>0</v>
      </c>
    </row>
    <row s="8328" customFormat="1" customHeight="1" ht="17.25" hidden="1">
      <c r="A169" s="434"/>
      <c r="C169" s="322"/>
      <c r="D169" s="2248"/>
      <c r="E169" s="2256"/>
      <c r="F169" s="2259"/>
      <c r="G169" s="2256"/>
      <c r="H169" s="2262"/>
      <c r="I169" s="2264"/>
      <c r="J169" s="2267"/>
      <c r="K169" s="2251"/>
      <c r="L169" s="2251"/>
      <c r="M169" s="2251"/>
      <c r="N169" s="2254"/>
      <c r="O169" s="2251"/>
      <c r="P169" s="1584"/>
      <c r="Q169" s="1410"/>
      <c r="R169" s="1410"/>
      <c r="S169" s="442"/>
      <c r="T169" s="442"/>
      <c r="U169" s="442"/>
      <c r="V169" s="442"/>
      <c r="W169" s="1411"/>
      <c r="Y169" s="1380"/>
      <c r="Z169" s="1380"/>
      <c r="AA169" s="1380"/>
      <c r="AB169" s="1380"/>
      <c r="AC169" s="1380"/>
      <c r="AD169" s="1380"/>
      <c r="AE169" s="1380"/>
      <c r="AF169" s="1380"/>
      <c r="AG169" s="1380"/>
      <c r="AH169" s="1380"/>
      <c r="AI169" s="1380"/>
      <c r="AJ169" s="1380"/>
      <c r="AK169" s="1380"/>
      <c r="AL169" s="1380"/>
      <c r="AM169" s="1380"/>
      <c r="AN169" s="1380"/>
      <c r="AO169" s="1380"/>
      <c r="AP169" s="1380"/>
      <c r="AQ169" s="1380"/>
      <c r="AR169" s="1580">
        <v>0</v>
      </c>
    </row>
    <row s="8328" customFormat="1" customHeight="1" ht="17.25" hidden="1">
      <c r="A170" s="434"/>
      <c r="C170" s="433"/>
      <c r="D170" s="2248"/>
      <c r="E170" s="2256"/>
      <c r="F170" s="2259"/>
      <c r="G170" s="2256"/>
      <c r="H170" s="2262"/>
      <c r="I170" s="2264"/>
      <c r="J170" s="2267"/>
      <c r="K170" s="2251"/>
      <c r="L170" s="1410"/>
      <c r="M170" s="1410"/>
      <c r="N170" s="1410"/>
      <c r="O170" s="1410"/>
      <c r="P170" s="1410"/>
      <c r="Q170" s="1410"/>
      <c r="R170" s="1410"/>
      <c r="S170" s="442"/>
      <c r="T170" s="442"/>
      <c r="U170" s="442"/>
      <c r="V170" s="442"/>
      <c r="W170" s="1411"/>
      <c r="Y170" s="1372"/>
      <c r="Z170" s="1372"/>
      <c r="AA170" s="1372"/>
      <c r="AB170" s="1372"/>
      <c r="AC170" s="1372"/>
      <c r="AD170" s="1372"/>
      <c r="AE170" s="1372"/>
      <c r="AF170" s="1372"/>
      <c r="AG170" s="1372"/>
      <c r="AH170" s="1372"/>
      <c r="AI170" s="1372"/>
      <c r="AJ170" s="1372"/>
      <c r="AK170" s="1372"/>
      <c r="AL170" s="1372"/>
      <c r="AM170" s="1372"/>
      <c r="AN170" s="1372"/>
      <c r="AO170" s="1372"/>
      <c r="AP170" s="1372"/>
      <c r="AQ170" s="1372"/>
      <c r="AR170" s="1580">
        <v>0</v>
      </c>
    </row>
    <row s="8328" customFormat="1" customHeight="1" ht="17.25" hidden="1">
      <c r="A171" s="434"/>
      <c r="C171" s="433"/>
      <c r="D171" s="2249"/>
      <c r="E171" s="2257"/>
      <c r="F171" s="2260"/>
      <c r="G171" s="2257"/>
      <c r="H171" s="1412"/>
      <c r="I171" s="1413"/>
      <c r="J171" s="1413"/>
      <c r="K171" s="1413"/>
      <c r="L171" s="1413"/>
      <c r="M171" s="1413"/>
      <c r="N171" s="1413"/>
      <c r="O171" s="1413"/>
      <c r="P171" s="1413"/>
      <c r="Q171" s="1413"/>
      <c r="R171" s="1413"/>
      <c r="S171" s="1414"/>
      <c r="T171" s="1414"/>
      <c r="U171" s="1414"/>
      <c r="V171" s="1414"/>
      <c r="W171" s="1415"/>
      <c r="Y171" s="1372"/>
      <c r="Z171" s="1372"/>
      <c r="AA171" s="1372"/>
      <c r="AB171" s="1372"/>
      <c r="AC171" s="1372"/>
      <c r="AD171" s="1372"/>
      <c r="AE171" s="1372"/>
      <c r="AF171" s="1372"/>
      <c r="AG171" s="1372"/>
      <c r="AH171" s="1372"/>
      <c r="AI171" s="1372"/>
      <c r="AJ171" s="1372"/>
      <c r="AK171" s="1372"/>
      <c r="AL171" s="1372"/>
      <c r="AM171" s="1372"/>
      <c r="AN171" s="1372"/>
      <c r="AO171" s="1372"/>
      <c r="AP171" s="1372"/>
      <c r="AQ171" s="1372"/>
      <c r="AR171" s="1580">
        <v>0</v>
      </c>
    </row>
    <row s="8328" customFormat="1" customHeight="1" ht="17.25" hidden="1">
      <c r="A172" s="434"/>
      <c r="C172" s="322"/>
      <c r="D172" s="2248">
        <v>2</v>
      </c>
      <c r="E172" s="2256" t="s">
        <v>409</v>
      </c>
      <c r="F172" s="2258" t="s">
        <v>19</v>
      </c>
      <c r="G172" s="2256"/>
      <c r="H172" s="2261"/>
      <c r="I172" s="2263"/>
      <c r="J172" s="2265"/>
      <c r="K172" s="2250"/>
      <c r="L172" s="2250"/>
      <c r="M172" s="2250"/>
      <c r="N172" s="2252"/>
      <c r="O172" s="2250"/>
      <c r="P172" s="2250"/>
      <c r="Q172" s="2250"/>
      <c r="R172" s="2255"/>
      <c r="S172" s="2250"/>
      <c r="T172" s="1583"/>
      <c r="U172" s="1583"/>
      <c r="V172" s="1585"/>
      <c r="W172" s="1409"/>
      <c r="X172" s="1380"/>
      <c r="Y172" s="1380"/>
      <c r="Z172" s="1380"/>
      <c r="AA172" s="1380"/>
      <c r="AB172" s="1380"/>
      <c r="AC172" s="1380" t="s">
        <v>410</v>
      </c>
      <c r="AD172" s="1380" t="s">
        <v>411</v>
      </c>
      <c r="AE172" s="1380" t="s">
        <v>412</v>
      </c>
      <c r="AF172" s="1380" t="s">
        <v>413</v>
      </c>
      <c r="AG172" s="1380"/>
      <c r="AH172" s="1380" t="str">
        <f>IF($E$172=0,"",$E$172)</f>
        <v>Тариф на транспортировку горячей воды</v>
      </c>
      <c r="AI172" s="1380" t="str">
        <f>IF($G$172=0,"",$G$172)</f>
        <v/>
      </c>
      <c r="AJ172" s="1380" t="str">
        <f>IF($J$172=0,"",$J$172)</f>
        <v/>
      </c>
      <c r="AK172" s="1380" t="str">
        <f>IF($K$172="нет","без дифференциации",IF($N$172=0,"",$N$172))</f>
        <v/>
      </c>
      <c r="AL172" s="1380" t="str">
        <f>IF($O$172="нет","без дифференциации",IF($R$172=0,"",$R$172))</f>
        <v/>
      </c>
      <c r="AM172" s="1380" t="str">
        <f>IF($S$172="нет","без дифференциации",IF($V$172=0,"",$V$172))</f>
        <v/>
      </c>
      <c r="AN172" s="1885">
        <f>$I$172</f>
        <v>0</v>
      </c>
      <c r="AO172" s="1380" t="str">
        <f>$I$172&amp;"."&amp;$M$172</f>
        <v>.</v>
      </c>
      <c r="AP172" s="1372" t="str">
        <f>$I$172&amp;"."&amp;$M$172&amp;"."&amp;$Q$172</f>
        <v>..</v>
      </c>
      <c r="AQ172" s="1372" t="str">
        <f>$I$172&amp;"."&amp;$M$172&amp;"."&amp;$Q$172&amp;"."&amp;$U$172</f>
        <v>...</v>
      </c>
      <c r="AR172" s="1580">
        <v>0</v>
      </c>
    </row>
    <row s="8328" customFormat="1" customHeight="1" ht="17.25" hidden="1">
      <c r="A173" s="434"/>
      <c r="C173" s="433"/>
      <c r="D173" s="2248"/>
      <c r="E173" s="2256"/>
      <c r="F173" s="2259"/>
      <c r="G173" s="2256"/>
      <c r="H173" s="2262"/>
      <c r="I173" s="2264"/>
      <c r="J173" s="2266"/>
      <c r="K173" s="2251"/>
      <c r="L173" s="2251"/>
      <c r="M173" s="2251"/>
      <c r="N173" s="2253"/>
      <c r="O173" s="2251"/>
      <c r="P173" s="2251"/>
      <c r="Q173" s="2251"/>
      <c r="R173" s="2254"/>
      <c r="S173" s="2251"/>
      <c r="T173" s="1410"/>
      <c r="U173" s="1410"/>
      <c r="V173" s="1410"/>
      <c r="W173" s="1411"/>
      <c r="X173" s="1372"/>
      <c r="Y173" s="1372"/>
      <c r="Z173" s="1372"/>
      <c r="AA173" s="1372"/>
      <c r="AB173" s="1372"/>
      <c r="AC173" s="1372"/>
      <c r="AD173" s="1372"/>
      <c r="AE173" s="1372"/>
      <c r="AF173" s="1372"/>
      <c r="AG173" s="1372"/>
      <c r="AH173" s="1372"/>
      <c r="AI173" s="1372"/>
      <c r="AJ173" s="1372"/>
      <c r="AK173" s="1372"/>
      <c r="AL173" s="1372"/>
      <c r="AM173" s="1372"/>
      <c r="AN173" s="1372"/>
      <c r="AO173" s="1372"/>
      <c r="AP173" s="1372"/>
      <c r="AQ173" s="1372"/>
      <c r="AR173" s="1580">
        <v>0</v>
      </c>
    </row>
    <row s="8328" customFormat="1" customHeight="1" ht="17.25" hidden="1">
      <c r="A174" s="434"/>
      <c r="C174" s="433"/>
      <c r="D174" s="2249"/>
      <c r="E174" s="2257"/>
      <c r="F174" s="2259"/>
      <c r="G174" s="2257"/>
      <c r="H174" s="2262"/>
      <c r="I174" s="2264"/>
      <c r="J174" s="2267"/>
      <c r="K174" s="2251"/>
      <c r="L174" s="2251"/>
      <c r="M174" s="2251"/>
      <c r="N174" s="2254"/>
      <c r="O174" s="2251"/>
      <c r="P174" s="1584"/>
      <c r="Q174" s="1410"/>
      <c r="R174" s="1410"/>
      <c r="S174" s="442"/>
      <c r="T174" s="442"/>
      <c r="U174" s="442"/>
      <c r="V174" s="442"/>
      <c r="W174" s="1411"/>
      <c r="X174" s="1372"/>
      <c r="Y174" s="1372"/>
      <c r="Z174" s="1372"/>
      <c r="AA174" s="1372"/>
      <c r="AB174" s="1372"/>
      <c r="AC174" s="1372"/>
      <c r="AD174" s="1372"/>
      <c r="AE174" s="1372"/>
      <c r="AF174" s="1372"/>
      <c r="AG174" s="1372"/>
      <c r="AH174" s="1372"/>
      <c r="AI174" s="1372"/>
      <c r="AJ174" s="1372"/>
      <c r="AK174" s="1372"/>
      <c r="AL174" s="1372"/>
      <c r="AM174" s="1372"/>
      <c r="AN174" s="1372"/>
      <c r="AO174" s="1372"/>
      <c r="AP174" s="1372"/>
      <c r="AQ174" s="1372"/>
      <c r="AR174" s="1580">
        <v>0</v>
      </c>
    </row>
    <row s="8328" customFormat="1" customHeight="1" ht="17.25" hidden="1">
      <c r="A175" s="434"/>
      <c r="C175" s="433"/>
      <c r="D175" s="2249"/>
      <c r="E175" s="2257"/>
      <c r="F175" s="2259"/>
      <c r="G175" s="2257"/>
      <c r="H175" s="2262"/>
      <c r="I175" s="2264"/>
      <c r="J175" s="2267"/>
      <c r="K175" s="2251"/>
      <c r="L175" s="1410"/>
      <c r="M175" s="1410"/>
      <c r="N175" s="1410"/>
      <c r="O175" s="1410"/>
      <c r="P175" s="1410"/>
      <c r="Q175" s="1410"/>
      <c r="R175" s="1410"/>
      <c r="S175" s="442"/>
      <c r="T175" s="442"/>
      <c r="U175" s="442"/>
      <c r="V175" s="442"/>
      <c r="W175" s="1411"/>
      <c r="X175" s="1372"/>
      <c r="Y175" s="1372"/>
      <c r="Z175" s="1372"/>
      <c r="AA175" s="1372"/>
      <c r="AB175" s="1372"/>
      <c r="AC175" s="1372"/>
      <c r="AD175" s="1372"/>
      <c r="AE175" s="1372"/>
      <c r="AF175" s="1372"/>
      <c r="AG175" s="1372"/>
      <c r="AH175" s="1372"/>
      <c r="AI175" s="1372"/>
      <c r="AJ175" s="1372"/>
      <c r="AK175" s="1372"/>
      <c r="AL175" s="1372"/>
      <c r="AM175" s="1372"/>
      <c r="AN175" s="1372"/>
      <c r="AO175" s="1372"/>
      <c r="AP175" s="1372"/>
      <c r="AQ175" s="1372"/>
      <c r="AR175" s="1580">
        <v>0</v>
      </c>
    </row>
    <row s="8328" customFormat="1" customHeight="1" ht="17.25" hidden="1">
      <c r="A176" s="434"/>
      <c r="C176" s="433"/>
      <c r="D176" s="2249"/>
      <c r="E176" s="2257"/>
      <c r="F176" s="2260"/>
      <c r="G176" s="2257"/>
      <c r="H176" s="1412"/>
      <c r="I176" s="1413"/>
      <c r="J176" s="1413"/>
      <c r="K176" s="1413"/>
      <c r="L176" s="1413"/>
      <c r="M176" s="1413"/>
      <c r="N176" s="1413"/>
      <c r="O176" s="1413"/>
      <c r="P176" s="1413"/>
      <c r="Q176" s="1413"/>
      <c r="R176" s="1413"/>
      <c r="S176" s="1414"/>
      <c r="T176" s="1414"/>
      <c r="U176" s="1414"/>
      <c r="V176" s="1414"/>
      <c r="W176" s="1415"/>
      <c r="X176" s="1372"/>
      <c r="Y176" s="1372"/>
      <c r="Z176" s="1372"/>
      <c r="AA176" s="1372"/>
      <c r="AB176" s="1372"/>
      <c r="AC176" s="1372"/>
      <c r="AD176" s="1372"/>
      <c r="AE176" s="1372"/>
      <c r="AF176" s="1372"/>
      <c r="AG176" s="1372"/>
      <c r="AH176" s="1372"/>
      <c r="AI176" s="1372"/>
      <c r="AJ176" s="1372"/>
      <c r="AK176" s="1372"/>
      <c r="AL176" s="1372"/>
      <c r="AM176" s="1372"/>
      <c r="AN176" s="1372"/>
      <c r="AO176" s="1372"/>
      <c r="AP176" s="1372"/>
      <c r="AQ176" s="1372"/>
      <c r="AR176" s="1580">
        <v>0</v>
      </c>
    </row>
    <row s="8328" customFormat="1" customHeight="1" ht="17.25" hidden="1">
      <c r="A177" s="434"/>
      <c r="C177" s="322"/>
      <c r="D177" s="2248">
        <v>3</v>
      </c>
      <c r="E177" s="2256" t="s">
        <v>414</v>
      </c>
      <c r="F177" s="2258" t="s">
        <v>19</v>
      </c>
      <c r="G177" s="2256"/>
      <c r="H177" s="2261"/>
      <c r="I177" s="2263"/>
      <c r="J177" s="2265"/>
      <c r="K177" s="2250"/>
      <c r="L177" s="2250"/>
      <c r="M177" s="2250"/>
      <c r="N177" s="2252"/>
      <c r="O177" s="2250"/>
      <c r="P177" s="2250"/>
      <c r="Q177" s="2250"/>
      <c r="R177" s="2255"/>
      <c r="S177" s="2250"/>
      <c r="T177" s="2056"/>
      <c r="U177" s="2056"/>
      <c r="V177" s="2058"/>
      <c r="W177" s="1409"/>
      <c r="X177" s="1380"/>
      <c r="Y177" s="1380"/>
      <c r="Z177" s="1380"/>
      <c r="AA177" s="1380"/>
      <c r="AB177" s="1380"/>
      <c r="AC177" s="1380" t="s">
        <v>415</v>
      </c>
      <c r="AD177" s="1380" t="s">
        <v>416</v>
      </c>
      <c r="AE177" s="1380" t="s">
        <v>417</v>
      </c>
      <c r="AF177" s="1380" t="s">
        <v>418</v>
      </c>
      <c r="AG177" s="1380"/>
      <c r="AH177" s="1380" t="str">
        <f>IF($E$177=0,"",$E$177)</f>
        <v>Тариф на подключение (технологическое присоединение) к централизованной системе горячего водоснабжения</v>
      </c>
      <c r="AI177" s="1380" t="str">
        <f>IF($G$177=0,"",$G$177)</f>
        <v/>
      </c>
      <c r="AJ177" s="1380" t="str">
        <f>IF($J$177=0,"",$J$177)</f>
        <v/>
      </c>
      <c r="AK177" s="1380" t="str">
        <f>IF($K$177="нет","без дифференциации",IF($N$177=0,"",$N$177))</f>
        <v/>
      </c>
      <c r="AL177" s="1380" t="str">
        <f>IF($O$177="нет","без дифференциации",IF($R$177=0,"",$R$177))</f>
        <v/>
      </c>
      <c r="AM177" s="1380" t="str">
        <f>IF($S$177="нет","без дифференциации",IF($V$177=0,"",$V$177))</f>
        <v/>
      </c>
      <c r="AN177" s="1885">
        <f>$I$177</f>
        <v>0</v>
      </c>
      <c r="AO177" s="1380" t="str">
        <f>$I$177&amp;"."&amp;$M$177</f>
        <v>.</v>
      </c>
      <c r="AP177" s="1379" t="str">
        <f>$I$177&amp;"."&amp;$M$177&amp;"."&amp;$Q$177</f>
        <v>..</v>
      </c>
      <c r="AQ177" s="1379" t="str">
        <f>$I$177&amp;"."&amp;$M$177&amp;"."&amp;$Q$177&amp;"."&amp;$U$177</f>
        <v>...</v>
      </c>
      <c r="AR177" s="1580">
        <v>0</v>
      </c>
    </row>
    <row s="8328" customFormat="1" customHeight="1" ht="17.25" hidden="1">
      <c r="A178" s="434"/>
      <c r="C178" s="433"/>
      <c r="D178" s="2248"/>
      <c r="E178" s="2256"/>
      <c r="F178" s="2259"/>
      <c r="G178" s="2256"/>
      <c r="H178" s="2262"/>
      <c r="I178" s="2264"/>
      <c r="J178" s="2266"/>
      <c r="K178" s="2251"/>
      <c r="L178" s="2251"/>
      <c r="M178" s="2251"/>
      <c r="N178" s="2253"/>
      <c r="O178" s="2251"/>
      <c r="P178" s="2251"/>
      <c r="Q178" s="2251"/>
      <c r="R178" s="2254"/>
      <c r="S178" s="2251"/>
      <c r="T178" s="2061"/>
      <c r="U178" s="2061"/>
      <c r="V178" s="2061"/>
      <c r="W178" s="2062"/>
      <c r="X178" s="1379"/>
      <c r="Y178" s="1379"/>
      <c r="Z178" s="1379"/>
      <c r="AA178" s="1379"/>
      <c r="AB178" s="1379"/>
      <c r="AC178" s="1379"/>
      <c r="AD178" s="1379"/>
      <c r="AE178" s="1379"/>
      <c r="AF178" s="1379"/>
      <c r="AG178" s="1379"/>
      <c r="AH178" s="1379"/>
      <c r="AI178" s="1379"/>
      <c r="AJ178" s="1379"/>
      <c r="AK178" s="1379"/>
      <c r="AL178" s="1379"/>
      <c r="AM178" s="1379"/>
      <c r="AN178" s="1379"/>
      <c r="AO178" s="1379"/>
      <c r="AP178" s="1379"/>
      <c r="AQ178" s="1379"/>
      <c r="AR178" s="1580">
        <v>0</v>
      </c>
    </row>
    <row s="8328" customFormat="1" customHeight="1" ht="17.25" hidden="1">
      <c r="A179" s="434"/>
      <c r="C179" s="433"/>
      <c r="D179" s="2249"/>
      <c r="E179" s="2257"/>
      <c r="F179" s="2259"/>
      <c r="G179" s="2257"/>
      <c r="H179" s="2262"/>
      <c r="I179" s="2264"/>
      <c r="J179" s="2267"/>
      <c r="K179" s="2251"/>
      <c r="L179" s="2251"/>
      <c r="M179" s="2251"/>
      <c r="N179" s="2254"/>
      <c r="O179" s="2251"/>
      <c r="P179" s="2057"/>
      <c r="Q179" s="2061"/>
      <c r="R179" s="2061"/>
      <c r="S179" s="442"/>
      <c r="T179" s="442"/>
      <c r="U179" s="442"/>
      <c r="V179" s="442"/>
      <c r="W179" s="2062"/>
      <c r="X179" s="1379"/>
      <c r="Y179" s="1379"/>
      <c r="Z179" s="1379"/>
      <c r="AA179" s="1379"/>
      <c r="AB179" s="1379"/>
      <c r="AC179" s="1379"/>
      <c r="AD179" s="1379"/>
      <c r="AE179" s="1379"/>
      <c r="AF179" s="1379"/>
      <c r="AG179" s="1379"/>
      <c r="AH179" s="1379"/>
      <c r="AI179" s="1379"/>
      <c r="AJ179" s="1379"/>
      <c r="AK179" s="1379"/>
      <c r="AL179" s="1379"/>
      <c r="AM179" s="1379"/>
      <c r="AN179" s="1379"/>
      <c r="AO179" s="1379"/>
      <c r="AP179" s="1379"/>
      <c r="AQ179" s="1379"/>
      <c r="AR179" s="1580">
        <v>0</v>
      </c>
    </row>
    <row s="8328" customFormat="1" customHeight="1" ht="17.25" hidden="1">
      <c r="A180" s="434"/>
      <c r="C180" s="433"/>
      <c r="D180" s="2249"/>
      <c r="E180" s="2257"/>
      <c r="F180" s="2259"/>
      <c r="G180" s="2257"/>
      <c r="H180" s="2262"/>
      <c r="I180" s="2264"/>
      <c r="J180" s="2267"/>
      <c r="K180" s="2251"/>
      <c r="L180" s="2061"/>
      <c r="M180" s="2061"/>
      <c r="N180" s="2061"/>
      <c r="O180" s="2061"/>
      <c r="P180" s="2061"/>
      <c r="Q180" s="2061"/>
      <c r="R180" s="2061"/>
      <c r="S180" s="442"/>
      <c r="T180" s="442"/>
      <c r="U180" s="442"/>
      <c r="V180" s="442"/>
      <c r="W180" s="2062"/>
      <c r="X180" s="1379"/>
      <c r="Y180" s="1379"/>
      <c r="Z180" s="1379"/>
      <c r="AA180" s="1379"/>
      <c r="AB180" s="1379"/>
      <c r="AC180" s="1379"/>
      <c r="AD180" s="1379"/>
      <c r="AE180" s="1379"/>
      <c r="AF180" s="1379"/>
      <c r="AG180" s="1379"/>
      <c r="AH180" s="1379"/>
      <c r="AI180" s="1379"/>
      <c r="AJ180" s="1379"/>
      <c r="AK180" s="1379"/>
      <c r="AL180" s="1379"/>
      <c r="AM180" s="1379"/>
      <c r="AN180" s="1379"/>
      <c r="AO180" s="1379"/>
      <c r="AP180" s="1379"/>
      <c r="AQ180" s="1379"/>
      <c r="AR180" s="1580">
        <v>0</v>
      </c>
    </row>
    <row s="8328" customFormat="1" customHeight="1" ht="17.25" hidden="1">
      <c r="A181" s="434"/>
      <c r="C181" s="433"/>
      <c r="D181" s="2249"/>
      <c r="E181" s="2257"/>
      <c r="F181" s="2260"/>
      <c r="G181" s="2257"/>
      <c r="H181" s="1412"/>
      <c r="I181" s="2059"/>
      <c r="J181" s="2059"/>
      <c r="K181" s="2059"/>
      <c r="L181" s="2059"/>
      <c r="M181" s="2059"/>
      <c r="N181" s="2059"/>
      <c r="O181" s="2059"/>
      <c r="P181" s="2059"/>
      <c r="Q181" s="2059"/>
      <c r="R181" s="2059"/>
      <c r="S181" s="1414"/>
      <c r="T181" s="1414"/>
      <c r="U181" s="1414"/>
      <c r="V181" s="1414"/>
      <c r="W181" s="2060"/>
      <c r="X181" s="1379"/>
      <c r="Y181" s="1379"/>
      <c r="Z181" s="1379"/>
      <c r="AA181" s="1379"/>
      <c r="AB181" s="1379"/>
      <c r="AC181" s="1379"/>
      <c r="AD181" s="1379"/>
      <c r="AE181" s="1379"/>
      <c r="AF181" s="1379"/>
      <c r="AG181" s="1379"/>
      <c r="AH181" s="1379"/>
      <c r="AI181" s="1379"/>
      <c r="AJ181" s="1379"/>
      <c r="AK181" s="1379"/>
      <c r="AL181" s="1379"/>
      <c r="AM181" s="1379"/>
      <c r="AN181" s="1379"/>
      <c r="AO181" s="1379"/>
      <c r="AP181" s="1379"/>
      <c r="AQ181" s="1379"/>
      <c r="AR181" s="1580">
        <v>0</v>
      </c>
    </row>
    <row s="8328" customFormat="1" customHeight="1" ht="11.25" hidden="1">
      <c r="A182" s="390"/>
      <c r="B182" s="390"/>
      <c r="Y182" s="1372"/>
      <c r="Z182" s="1372"/>
      <c r="AA182" s="1372"/>
      <c r="AB182" s="1372"/>
      <c r="AC182" s="1372"/>
      <c r="AD182" s="1372"/>
      <c r="AE182" s="1372"/>
      <c r="AF182" s="1372"/>
      <c r="AG182" s="1372"/>
      <c r="AH182" s="1372"/>
      <c r="AI182" s="1372"/>
      <c r="AJ182" s="1372"/>
      <c r="AK182" s="1372"/>
      <c r="AL182" s="1372"/>
      <c r="AM182" s="1372"/>
      <c r="AN182" s="1372"/>
      <c r="AO182" s="1372"/>
      <c r="AP182" s="1372"/>
      <c r="AQ182" s="1372"/>
      <c r="AR182" s="1580">
        <v>0</v>
      </c>
    </row>
    <row s="8328" customFormat="1" customHeight="1" ht="17.25" hidden="1">
      <c r="A183" s="434"/>
      <c r="C183" s="322"/>
      <c r="D183" s="2248">
        <v>1</v>
      </c>
      <c r="E183" s="2256" t="s">
        <v>419</v>
      </c>
      <c r="F183" s="2258" t="s">
        <v>19</v>
      </c>
      <c r="G183" s="2256"/>
      <c r="H183" s="2261"/>
      <c r="I183" s="2263"/>
      <c r="J183" s="2265"/>
      <c r="K183" s="2250"/>
      <c r="L183" s="2250"/>
      <c r="M183" s="2250"/>
      <c r="N183" s="2252"/>
      <c r="O183" s="2250"/>
      <c r="P183" s="2250"/>
      <c r="Q183" s="2250"/>
      <c r="R183" s="2255"/>
      <c r="S183" s="2250"/>
      <c r="T183" s="1583"/>
      <c r="U183" s="1583"/>
      <c r="V183" s="1585"/>
      <c r="W183" s="1409"/>
      <c r="Y183" s="1380"/>
      <c r="Z183" s="1380"/>
      <c r="AA183" s="1380"/>
      <c r="AB183" s="1380"/>
      <c r="AC183" s="1380" t="s">
        <v>420</v>
      </c>
      <c r="AD183" s="1380" t="s">
        <v>421</v>
      </c>
      <c r="AE183" s="1380" t="s">
        <v>422</v>
      </c>
      <c r="AF183" s="1380" t="s">
        <v>423</v>
      </c>
      <c r="AG183" s="1380"/>
      <c r="AH183" s="1380" t="str">
        <f>IF($E$183=0,"",$E$183)</f>
        <v>Тариф на водоотведение</v>
      </c>
      <c r="AI183" s="1380" t="str">
        <f>IF($G$183=0,"",$G$183)</f>
        <v/>
      </c>
      <c r="AJ183" s="1380" t="str">
        <f>IF($J$183=0,"",$J$183)</f>
        <v/>
      </c>
      <c r="AK183" s="1380" t="str">
        <f>IF($K$183="нет","без дифференциации",IF($N$183=0,"",$N$183))</f>
        <v/>
      </c>
      <c r="AL183" s="1380" t="str">
        <f>IF($O$183="нет","без дифференциации",IF($R$183=0,"",$R$183))</f>
        <v/>
      </c>
      <c r="AM183" s="1380" t="str">
        <f>IF($S$183="нет","без дифференциации",IF($V$183=0,"",$V$183))</f>
        <v/>
      </c>
      <c r="AN183" s="1380">
        <f>$I$183</f>
        <v>0</v>
      </c>
      <c r="AO183" s="1380" t="str">
        <f>$I$183&amp;"."&amp;$M$183</f>
        <v>.</v>
      </c>
      <c r="AP183" s="1380" t="str">
        <f>$I$183&amp;"."&amp;$M$183&amp;"."&amp;$Q$183</f>
        <v>..</v>
      </c>
      <c r="AQ183" s="1380" t="str">
        <f>$I$183&amp;"."&amp;$M$183&amp;"."&amp;$Q$183&amp;"."&amp;$U$183</f>
        <v>...</v>
      </c>
      <c r="AR183" s="1580">
        <v>0</v>
      </c>
    </row>
    <row s="8328" customFormat="1" customHeight="1" ht="17.25" hidden="1">
      <c r="A184" s="434"/>
      <c r="C184" s="433"/>
      <c r="D184" s="2248"/>
      <c r="E184" s="2256"/>
      <c r="F184" s="2259"/>
      <c r="G184" s="2256"/>
      <c r="H184" s="2262"/>
      <c r="I184" s="2264"/>
      <c r="J184" s="2266"/>
      <c r="K184" s="2251"/>
      <c r="L184" s="2251"/>
      <c r="M184" s="2251"/>
      <c r="N184" s="2253"/>
      <c r="O184" s="2251"/>
      <c r="P184" s="2251"/>
      <c r="Q184" s="2251"/>
      <c r="R184" s="2254"/>
      <c r="S184" s="2251"/>
      <c r="T184" s="1410"/>
      <c r="U184" s="1410"/>
      <c r="V184" s="1410"/>
      <c r="W184" s="1411"/>
      <c r="Y184" s="1372"/>
      <c r="Z184" s="1372"/>
      <c r="AA184" s="1372"/>
      <c r="AB184" s="1372"/>
      <c r="AC184" s="1372"/>
      <c r="AD184" s="1372"/>
      <c r="AE184" s="1372"/>
      <c r="AF184" s="1372"/>
      <c r="AG184" s="1372"/>
      <c r="AH184" s="1372"/>
      <c r="AI184" s="1372"/>
      <c r="AJ184" s="1372"/>
      <c r="AK184" s="1372"/>
      <c r="AL184" s="1372"/>
      <c r="AM184" s="1372"/>
      <c r="AN184" s="1372"/>
      <c r="AO184" s="1372"/>
      <c r="AP184" s="1372"/>
      <c r="AQ184" s="1372"/>
      <c r="AR184" s="1580">
        <v>0</v>
      </c>
    </row>
    <row s="8328" customFormat="1" customHeight="1" ht="17.25" hidden="1">
      <c r="A185" s="434"/>
      <c r="C185" s="322"/>
      <c r="D185" s="2248"/>
      <c r="E185" s="2256"/>
      <c r="F185" s="2259"/>
      <c r="G185" s="2256"/>
      <c r="H185" s="2262"/>
      <c r="I185" s="2264"/>
      <c r="J185" s="2267"/>
      <c r="K185" s="2251"/>
      <c r="L185" s="2251"/>
      <c r="M185" s="2251"/>
      <c r="N185" s="2254"/>
      <c r="O185" s="2251"/>
      <c r="P185" s="1584"/>
      <c r="Q185" s="1410"/>
      <c r="R185" s="1410"/>
      <c r="S185" s="442"/>
      <c r="T185" s="442"/>
      <c r="U185" s="442"/>
      <c r="V185" s="442"/>
      <c r="W185" s="1411"/>
      <c r="Y185" s="1380"/>
      <c r="Z185" s="1380"/>
      <c r="AA185" s="1380"/>
      <c r="AB185" s="1380"/>
      <c r="AC185" s="1380"/>
      <c r="AD185" s="1380"/>
      <c r="AE185" s="1380"/>
      <c r="AF185" s="1380"/>
      <c r="AG185" s="1380"/>
      <c r="AH185" s="1380"/>
      <c r="AI185" s="1380"/>
      <c r="AJ185" s="1380"/>
      <c r="AK185" s="1380"/>
      <c r="AL185" s="1380"/>
      <c r="AM185" s="1380"/>
      <c r="AN185" s="1380"/>
      <c r="AO185" s="1380"/>
      <c r="AP185" s="1380"/>
      <c r="AQ185" s="1380"/>
      <c r="AR185" s="1580">
        <v>0</v>
      </c>
    </row>
    <row s="8328" customFormat="1" customHeight="1" ht="17.25" hidden="1">
      <c r="A186" s="434"/>
      <c r="C186" s="433"/>
      <c r="D186" s="2248"/>
      <c r="E186" s="2256"/>
      <c r="F186" s="2259"/>
      <c r="G186" s="2256"/>
      <c r="H186" s="2262"/>
      <c r="I186" s="2264"/>
      <c r="J186" s="2267"/>
      <c r="K186" s="2251"/>
      <c r="L186" s="1410"/>
      <c r="M186" s="1410"/>
      <c r="N186" s="1410"/>
      <c r="O186" s="1410"/>
      <c r="P186" s="1410"/>
      <c r="Q186" s="1410"/>
      <c r="R186" s="1410"/>
      <c r="S186" s="442"/>
      <c r="T186" s="442"/>
      <c r="U186" s="442"/>
      <c r="V186" s="442"/>
      <c r="W186" s="1411"/>
      <c r="Y186" s="1372"/>
      <c r="Z186" s="1372"/>
      <c r="AA186" s="1372"/>
      <c r="AB186" s="1372"/>
      <c r="AC186" s="1372"/>
      <c r="AD186" s="1372"/>
      <c r="AE186" s="1372"/>
      <c r="AF186" s="1372"/>
      <c r="AG186" s="1372"/>
      <c r="AH186" s="1372"/>
      <c r="AI186" s="1372"/>
      <c r="AJ186" s="1372"/>
      <c r="AK186" s="1372"/>
      <c r="AL186" s="1372"/>
      <c r="AM186" s="1372"/>
      <c r="AN186" s="1372"/>
      <c r="AO186" s="1372"/>
      <c r="AP186" s="1372"/>
      <c r="AQ186" s="1372"/>
      <c r="AR186" s="1580">
        <v>0</v>
      </c>
    </row>
    <row s="8328" customFormat="1" customHeight="1" ht="17.25" hidden="1">
      <c r="A187" s="434"/>
      <c r="C187" s="433"/>
      <c r="D187" s="2249"/>
      <c r="E187" s="2257"/>
      <c r="F187" s="2260"/>
      <c r="G187" s="2257"/>
      <c r="H187" s="1412"/>
      <c r="I187" s="1413"/>
      <c r="J187" s="1413"/>
      <c r="K187" s="1413"/>
      <c r="L187" s="1413"/>
      <c r="M187" s="1413"/>
      <c r="N187" s="1413"/>
      <c r="O187" s="1413"/>
      <c r="P187" s="1413"/>
      <c r="Q187" s="1413"/>
      <c r="R187" s="1413"/>
      <c r="S187" s="1414"/>
      <c r="T187" s="1414"/>
      <c r="U187" s="1414"/>
      <c r="V187" s="1414"/>
      <c r="W187" s="1415"/>
      <c r="Y187" s="1372"/>
      <c r="Z187" s="1372"/>
      <c r="AA187" s="1372"/>
      <c r="AB187" s="1372"/>
      <c r="AC187" s="1372"/>
      <c r="AD187" s="1372"/>
      <c r="AE187" s="1372"/>
      <c r="AF187" s="1372"/>
      <c r="AG187" s="1372"/>
      <c r="AH187" s="1372"/>
      <c r="AI187" s="1372"/>
      <c r="AJ187" s="1372"/>
      <c r="AK187" s="1372"/>
      <c r="AL187" s="1372"/>
      <c r="AM187" s="1372"/>
      <c r="AN187" s="1372"/>
      <c r="AO187" s="1372"/>
      <c r="AP187" s="1372"/>
      <c r="AQ187" s="1372"/>
      <c r="AR187" s="1580">
        <v>0</v>
      </c>
    </row>
    <row s="8328" customFormat="1" customHeight="1" ht="17.25" hidden="1">
      <c r="A188" s="434"/>
      <c r="C188" s="322"/>
      <c r="D188" s="2248">
        <v>2</v>
      </c>
      <c r="E188" s="2256" t="s">
        <v>424</v>
      </c>
      <c r="F188" s="2258" t="s">
        <v>19</v>
      </c>
      <c r="G188" s="2256"/>
      <c r="H188" s="2261"/>
      <c r="I188" s="2263"/>
      <c r="J188" s="2265"/>
      <c r="K188" s="2250"/>
      <c r="L188" s="2250"/>
      <c r="M188" s="2250"/>
      <c r="N188" s="2252"/>
      <c r="O188" s="2250"/>
      <c r="P188" s="2250"/>
      <c r="Q188" s="2250"/>
      <c r="R188" s="2255"/>
      <c r="S188" s="2250"/>
      <c r="T188" s="1583"/>
      <c r="U188" s="1583"/>
      <c r="V188" s="1585"/>
      <c r="W188" s="1409"/>
      <c r="X188" s="1380"/>
      <c r="Y188" s="1380"/>
      <c r="Z188" s="1380"/>
      <c r="AA188" s="1380"/>
      <c r="AB188" s="1380"/>
      <c r="AC188" s="1380" t="s">
        <v>425</v>
      </c>
      <c r="AD188" s="1380" t="s">
        <v>426</v>
      </c>
      <c r="AE188" s="1380" t="s">
        <v>427</v>
      </c>
      <c r="AF188" s="1380" t="s">
        <v>428</v>
      </c>
      <c r="AG188" s="1380"/>
      <c r="AH188" s="1380" t="str">
        <f>IF($E$188=0,"",$E$188)</f>
        <v>Тариф на транспортировку сточных вод</v>
      </c>
      <c r="AI188" s="1380" t="str">
        <f>IF($G$188=0,"",$G$188)</f>
        <v/>
      </c>
      <c r="AJ188" s="1380" t="str">
        <f>IF($J$188=0,"",$J$188)</f>
        <v/>
      </c>
      <c r="AK188" s="1380" t="str">
        <f>IF($K$188="нет","без дифференциации",IF($N$188=0,"",$N$188))</f>
        <v/>
      </c>
      <c r="AL188" s="1380" t="str">
        <f>IF($O$188="нет","без дифференциации",IF($R$188=0,"",$R$188))</f>
        <v/>
      </c>
      <c r="AM188" s="1380" t="str">
        <f>IF($S$188="нет","без дифференциации",IF($V$188=0,"",$V$188))</f>
        <v/>
      </c>
      <c r="AN188" s="1885">
        <f>$I$188</f>
        <v>0</v>
      </c>
      <c r="AO188" s="1380" t="str">
        <f>$I$188&amp;"."&amp;$M$188</f>
        <v>.</v>
      </c>
      <c r="AP188" s="1372" t="str">
        <f>$I$188&amp;"."&amp;$M$188&amp;"."&amp;$Q$188</f>
        <v>..</v>
      </c>
      <c r="AQ188" s="1372" t="str">
        <f>$I$188&amp;"."&amp;$M$188&amp;"."&amp;$Q$188&amp;"."&amp;$U$188</f>
        <v>...</v>
      </c>
      <c r="AR188" s="1580">
        <v>0</v>
      </c>
    </row>
    <row s="8328" customFormat="1" customHeight="1" ht="17.25" hidden="1">
      <c r="A189" s="434"/>
      <c r="C189" s="433"/>
      <c r="D189" s="2248"/>
      <c r="E189" s="2256"/>
      <c r="F189" s="2259"/>
      <c r="G189" s="2256"/>
      <c r="H189" s="2262"/>
      <c r="I189" s="2264"/>
      <c r="J189" s="2266"/>
      <c r="K189" s="2251"/>
      <c r="L189" s="2251"/>
      <c r="M189" s="2251"/>
      <c r="N189" s="2253"/>
      <c r="O189" s="2251"/>
      <c r="P189" s="2251"/>
      <c r="Q189" s="2251"/>
      <c r="R189" s="2254"/>
      <c r="S189" s="2251"/>
      <c r="T189" s="1410"/>
      <c r="U189" s="1410"/>
      <c r="V189" s="1410"/>
      <c r="W189" s="1411"/>
      <c r="X189" s="1372"/>
      <c r="Y189" s="1372"/>
      <c r="Z189" s="1372"/>
      <c r="AA189" s="1372"/>
      <c r="AB189" s="1372"/>
      <c r="AC189" s="1372"/>
      <c r="AD189" s="1372"/>
      <c r="AE189" s="1372"/>
      <c r="AF189" s="1372"/>
      <c r="AG189" s="1372"/>
      <c r="AH189" s="1372"/>
      <c r="AI189" s="1372"/>
      <c r="AJ189" s="1372"/>
      <c r="AK189" s="1372"/>
      <c r="AL189" s="1372"/>
      <c r="AM189" s="1372"/>
      <c r="AN189" s="1372"/>
      <c r="AO189" s="1372"/>
      <c r="AP189" s="1372"/>
      <c r="AQ189" s="1372"/>
      <c r="AR189" s="1580">
        <v>0</v>
      </c>
    </row>
    <row s="8328" customFormat="1" customHeight="1" ht="17.25" hidden="1">
      <c r="A190" s="434"/>
      <c r="C190" s="433"/>
      <c r="D190" s="2249"/>
      <c r="E190" s="2257"/>
      <c r="F190" s="2259"/>
      <c r="G190" s="2257"/>
      <c r="H190" s="2262"/>
      <c r="I190" s="2264"/>
      <c r="J190" s="2267"/>
      <c r="K190" s="2251"/>
      <c r="L190" s="2251"/>
      <c r="M190" s="2251"/>
      <c r="N190" s="2254"/>
      <c r="O190" s="2251"/>
      <c r="P190" s="1584"/>
      <c r="Q190" s="1410"/>
      <c r="R190" s="1410"/>
      <c r="S190" s="442"/>
      <c r="T190" s="442"/>
      <c r="U190" s="442"/>
      <c r="V190" s="442"/>
      <c r="W190" s="1411"/>
      <c r="X190" s="1372"/>
      <c r="Y190" s="1372"/>
      <c r="Z190" s="1372"/>
      <c r="AA190" s="1372"/>
      <c r="AB190" s="1372"/>
      <c r="AC190" s="1372"/>
      <c r="AD190" s="1372"/>
      <c r="AE190" s="1372"/>
      <c r="AF190" s="1372"/>
      <c r="AG190" s="1372"/>
      <c r="AH190" s="1372"/>
      <c r="AI190" s="1372"/>
      <c r="AJ190" s="1372"/>
      <c r="AK190" s="1372"/>
      <c r="AL190" s="1372"/>
      <c r="AM190" s="1372"/>
      <c r="AN190" s="1372"/>
      <c r="AO190" s="1372"/>
      <c r="AP190" s="1372"/>
      <c r="AQ190" s="1372"/>
      <c r="AR190" s="1580">
        <v>0</v>
      </c>
    </row>
    <row s="8328" customFormat="1" customHeight="1" ht="17.25" hidden="1">
      <c r="A191" s="434"/>
      <c r="C191" s="433"/>
      <c r="D191" s="2249"/>
      <c r="E191" s="2257"/>
      <c r="F191" s="2259"/>
      <c r="G191" s="2257"/>
      <c r="H191" s="2262"/>
      <c r="I191" s="2264"/>
      <c r="J191" s="2267"/>
      <c r="K191" s="2251"/>
      <c r="L191" s="1410"/>
      <c r="M191" s="1410"/>
      <c r="N191" s="1410"/>
      <c r="O191" s="1410"/>
      <c r="P191" s="1410"/>
      <c r="Q191" s="1410"/>
      <c r="R191" s="1410"/>
      <c r="S191" s="442"/>
      <c r="T191" s="442"/>
      <c r="U191" s="442"/>
      <c r="V191" s="442"/>
      <c r="W191" s="1411"/>
      <c r="X191" s="1372"/>
      <c r="Y191" s="1372"/>
      <c r="Z191" s="1372"/>
      <c r="AA191" s="1372"/>
      <c r="AB191" s="1372"/>
      <c r="AC191" s="1372"/>
      <c r="AD191" s="1372"/>
      <c r="AE191" s="1372"/>
      <c r="AF191" s="1372"/>
      <c r="AG191" s="1372"/>
      <c r="AH191" s="1372"/>
      <c r="AI191" s="1372"/>
      <c r="AJ191" s="1372"/>
      <c r="AK191" s="1372"/>
      <c r="AL191" s="1372"/>
      <c r="AM191" s="1372"/>
      <c r="AN191" s="1372"/>
      <c r="AO191" s="1372"/>
      <c r="AP191" s="1372"/>
      <c r="AQ191" s="1372"/>
      <c r="AR191" s="1580">
        <v>0</v>
      </c>
    </row>
    <row s="8328" customFormat="1" customHeight="1" ht="17.25" hidden="1">
      <c r="A192" s="434"/>
      <c r="C192" s="433"/>
      <c r="D192" s="2249"/>
      <c r="E192" s="2257"/>
      <c r="F192" s="2260"/>
      <c r="G192" s="2257"/>
      <c r="H192" s="1412"/>
      <c r="I192" s="1413"/>
      <c r="J192" s="1413"/>
      <c r="K192" s="1413"/>
      <c r="L192" s="1413"/>
      <c r="M192" s="1413"/>
      <c r="N192" s="1413"/>
      <c r="O192" s="1413"/>
      <c r="P192" s="1413"/>
      <c r="Q192" s="1413"/>
      <c r="R192" s="1413"/>
      <c r="S192" s="1414"/>
      <c r="T192" s="1414"/>
      <c r="U192" s="1414"/>
      <c r="V192" s="1414"/>
      <c r="W192" s="1415"/>
      <c r="X192" s="1372"/>
      <c r="Y192" s="1372"/>
      <c r="Z192" s="1372"/>
      <c r="AA192" s="1372"/>
      <c r="AB192" s="1372"/>
      <c r="AC192" s="1372"/>
      <c r="AD192" s="1372"/>
      <c r="AE192" s="1372"/>
      <c r="AF192" s="1372"/>
      <c r="AG192" s="1372"/>
      <c r="AH192" s="1372"/>
      <c r="AI192" s="1372"/>
      <c r="AJ192" s="1372"/>
      <c r="AK192" s="1372"/>
      <c r="AL192" s="1372"/>
      <c r="AM192" s="1372"/>
      <c r="AN192" s="1372"/>
      <c r="AO192" s="1372"/>
      <c r="AP192" s="1372"/>
      <c r="AQ192" s="1372"/>
      <c r="AR192" s="1580">
        <v>0</v>
      </c>
    </row>
    <row s="8328" customFormat="1" customHeight="1" ht="17.25" hidden="1">
      <c r="A193" s="434"/>
      <c r="C193" s="322"/>
      <c r="D193" s="2248">
        <v>3</v>
      </c>
      <c r="E193" s="2256" t="s">
        <v>429</v>
      </c>
      <c r="F193" s="2258" t="s">
        <v>19</v>
      </c>
      <c r="G193" s="2256"/>
      <c r="H193" s="2261"/>
      <c r="I193" s="2263"/>
      <c r="J193" s="2265"/>
      <c r="K193" s="2250"/>
      <c r="L193" s="2250"/>
      <c r="M193" s="2250"/>
      <c r="N193" s="2252"/>
      <c r="O193" s="2250"/>
      <c r="P193" s="2250"/>
      <c r="Q193" s="2250"/>
      <c r="R193" s="2255"/>
      <c r="S193" s="2250"/>
      <c r="T193" s="2056"/>
      <c r="U193" s="2056"/>
      <c r="V193" s="2058"/>
      <c r="W193" s="1409"/>
      <c r="X193" s="1380"/>
      <c r="Y193" s="1380"/>
      <c r="Z193" s="1380"/>
      <c r="AA193" s="1380"/>
      <c r="AB193" s="1380"/>
      <c r="AC193" s="1380" t="s">
        <v>430</v>
      </c>
      <c r="AD193" s="1380" t="s">
        <v>431</v>
      </c>
      <c r="AE193" s="1380" t="s">
        <v>432</v>
      </c>
      <c r="AF193" s="1380" t="s">
        <v>433</v>
      </c>
      <c r="AG193" s="1380"/>
      <c r="AH193" s="1380" t="str">
        <f>IF($E$193=0,"",$E$193)</f>
        <v>Тариф на подключение (технологическое присоединение) к централизованной системе водоотведения</v>
      </c>
      <c r="AI193" s="1380" t="str">
        <f>IF($G$193=0,"",$G$193)</f>
        <v/>
      </c>
      <c r="AJ193" s="1380" t="str">
        <f>IF($J$193=0,"",$J$193)</f>
        <v/>
      </c>
      <c r="AK193" s="1380" t="str">
        <f>IF($K$193="нет","без дифференциации",IF($N$193=0,"",$N$193))</f>
        <v/>
      </c>
      <c r="AL193" s="1380" t="str">
        <f>IF($O$193="нет","без дифференциации",IF($R$193=0,"",$R$193))</f>
        <v/>
      </c>
      <c r="AM193" s="1380" t="str">
        <f>IF($S$193="нет","без дифференциации",IF($V$193=0,"",$V$193))</f>
        <v/>
      </c>
      <c r="AN193" s="1885">
        <f>$I$193</f>
        <v>0</v>
      </c>
      <c r="AO193" s="1380" t="str">
        <f>$I$193&amp;"."&amp;$M$193</f>
        <v>.</v>
      </c>
      <c r="AP193" s="1379" t="str">
        <f>$I$193&amp;"."&amp;$M$193&amp;"."&amp;$Q$193</f>
        <v>..</v>
      </c>
      <c r="AQ193" s="1379" t="str">
        <f>$I$193&amp;"."&amp;$M$193&amp;"."&amp;$Q$193&amp;"."&amp;$U$193</f>
        <v>...</v>
      </c>
      <c r="AR193" s="1580">
        <v>0</v>
      </c>
    </row>
    <row s="8328" customFormat="1" customHeight="1" ht="17.25" hidden="1">
      <c r="A194" s="434"/>
      <c r="C194" s="433"/>
      <c r="D194" s="2248"/>
      <c r="E194" s="2256"/>
      <c r="F194" s="2259"/>
      <c r="G194" s="2256"/>
      <c r="H194" s="2262"/>
      <c r="I194" s="2264"/>
      <c r="J194" s="2266"/>
      <c r="K194" s="2251"/>
      <c r="L194" s="2251"/>
      <c r="M194" s="2251"/>
      <c r="N194" s="2253"/>
      <c r="O194" s="2251"/>
      <c r="P194" s="2251"/>
      <c r="Q194" s="2251"/>
      <c r="R194" s="2254"/>
      <c r="S194" s="2251"/>
      <c r="T194" s="2061"/>
      <c r="U194" s="2061"/>
      <c r="V194" s="2061"/>
      <c r="W194" s="2062"/>
      <c r="X194" s="1379"/>
      <c r="Y194" s="1379"/>
      <c r="Z194" s="1379"/>
      <c r="AA194" s="1379"/>
      <c r="AB194" s="1379"/>
      <c r="AC194" s="1379"/>
      <c r="AD194" s="1379"/>
      <c r="AE194" s="1379"/>
      <c r="AF194" s="1379"/>
      <c r="AG194" s="1379"/>
      <c r="AH194" s="1379"/>
      <c r="AI194" s="1379"/>
      <c r="AJ194" s="1379"/>
      <c r="AK194" s="1379"/>
      <c r="AL194" s="1379"/>
      <c r="AM194" s="1379"/>
      <c r="AN194" s="1379"/>
      <c r="AO194" s="1379"/>
      <c r="AP194" s="1379"/>
      <c r="AQ194" s="1379"/>
      <c r="AR194" s="1580">
        <v>0</v>
      </c>
    </row>
    <row s="8328" customFormat="1" customHeight="1" ht="17.25" hidden="1">
      <c r="A195" s="434"/>
      <c r="C195" s="433"/>
      <c r="D195" s="2249"/>
      <c r="E195" s="2257"/>
      <c r="F195" s="2259"/>
      <c r="G195" s="2257"/>
      <c r="H195" s="2262"/>
      <c r="I195" s="2264"/>
      <c r="J195" s="2267"/>
      <c r="K195" s="2251"/>
      <c r="L195" s="2251"/>
      <c r="M195" s="2251"/>
      <c r="N195" s="2254"/>
      <c r="O195" s="2251"/>
      <c r="P195" s="2057"/>
      <c r="Q195" s="2061"/>
      <c r="R195" s="2061"/>
      <c r="S195" s="442"/>
      <c r="T195" s="442"/>
      <c r="U195" s="442"/>
      <c r="V195" s="442"/>
      <c r="W195" s="2062"/>
      <c r="X195" s="1379"/>
      <c r="Y195" s="1379"/>
      <c r="Z195" s="1379"/>
      <c r="AA195" s="1379"/>
      <c r="AB195" s="1379"/>
      <c r="AC195" s="1379"/>
      <c r="AD195" s="1379"/>
      <c r="AE195" s="1379"/>
      <c r="AF195" s="1379"/>
      <c r="AG195" s="1379"/>
      <c r="AH195" s="1379"/>
      <c r="AI195" s="1379"/>
      <c r="AJ195" s="1379"/>
      <c r="AK195" s="1379"/>
      <c r="AL195" s="1379"/>
      <c r="AM195" s="1379"/>
      <c r="AN195" s="1379"/>
      <c r="AO195" s="1379"/>
      <c r="AP195" s="1379"/>
      <c r="AQ195" s="1379"/>
      <c r="AR195" s="1580">
        <v>0</v>
      </c>
    </row>
    <row s="8328" customFormat="1" customHeight="1" ht="17.25" hidden="1">
      <c r="A196" s="434"/>
      <c r="C196" s="433"/>
      <c r="D196" s="2249"/>
      <c r="E196" s="2257"/>
      <c r="F196" s="2259"/>
      <c r="G196" s="2257"/>
      <c r="H196" s="2262"/>
      <c r="I196" s="2264"/>
      <c r="J196" s="2267"/>
      <c r="K196" s="2251"/>
      <c r="L196" s="2061"/>
      <c r="M196" s="2061"/>
      <c r="N196" s="2061"/>
      <c r="O196" s="2061"/>
      <c r="P196" s="2061"/>
      <c r="Q196" s="2061"/>
      <c r="R196" s="2061"/>
      <c r="S196" s="442"/>
      <c r="T196" s="442"/>
      <c r="U196" s="442"/>
      <c r="V196" s="442"/>
      <c r="W196" s="2062"/>
      <c r="X196" s="1379"/>
      <c r="Y196" s="1379"/>
      <c r="Z196" s="1379"/>
      <c r="AA196" s="1379"/>
      <c r="AB196" s="1379"/>
      <c r="AC196" s="1379"/>
      <c r="AD196" s="1379"/>
      <c r="AE196" s="1379"/>
      <c r="AF196" s="1379"/>
      <c r="AG196" s="1379"/>
      <c r="AH196" s="1379"/>
      <c r="AI196" s="1379"/>
      <c r="AJ196" s="1379"/>
      <c r="AK196" s="1379"/>
      <c r="AL196" s="1379"/>
      <c r="AM196" s="1379"/>
      <c r="AN196" s="1379"/>
      <c r="AO196" s="1379"/>
      <c r="AP196" s="1379"/>
      <c r="AQ196" s="1379"/>
      <c r="AR196" s="1580">
        <v>0</v>
      </c>
    </row>
    <row s="8328" customFormat="1" customHeight="1" ht="17.25" hidden="1">
      <c r="A197" s="434"/>
      <c r="C197" s="433"/>
      <c r="D197" s="2249"/>
      <c r="E197" s="2257"/>
      <c r="F197" s="2260"/>
      <c r="G197" s="2257"/>
      <c r="H197" s="1412"/>
      <c r="I197" s="2059"/>
      <c r="J197" s="2059"/>
      <c r="K197" s="2059"/>
      <c r="L197" s="2059"/>
      <c r="M197" s="2059"/>
      <c r="N197" s="2059"/>
      <c r="O197" s="2059"/>
      <c r="P197" s="2059"/>
      <c r="Q197" s="2059"/>
      <c r="R197" s="2059"/>
      <c r="S197" s="1414"/>
      <c r="T197" s="1414"/>
      <c r="U197" s="1414"/>
      <c r="V197" s="1414"/>
      <c r="W197" s="2060"/>
      <c r="X197" s="1379"/>
      <c r="Y197" s="1379"/>
      <c r="Z197" s="1379"/>
      <c r="AA197" s="1379"/>
      <c r="AB197" s="1379"/>
      <c r="AC197" s="1379"/>
      <c r="AD197" s="1379"/>
      <c r="AE197" s="1379"/>
      <c r="AF197" s="1379"/>
      <c r="AG197" s="1379"/>
      <c r="AH197" s="1379"/>
      <c r="AI197" s="1379"/>
      <c r="AJ197" s="1379"/>
      <c r="AK197" s="1379"/>
      <c r="AL197" s="1379"/>
      <c r="AM197" s="1379"/>
      <c r="AN197" s="1379"/>
      <c r="AO197" s="1379"/>
      <c r="AP197" s="1379"/>
      <c r="AQ197" s="1379"/>
      <c r="AR197" s="1580">
        <v>0</v>
      </c>
    </row>
    <row customHeight="1" ht="11.549999999999999">
      <c r="AR198" s="217">
        <v>11</v>
      </c>
    </row>
    <row customHeight="1" ht="11.549999999999999">
      <c r="AR199" s="217">
        <v>11</v>
      </c>
    </row>
    <row customHeight="1" ht="11.549999999999999">
      <c r="AR200" s="217">
        <v>11</v>
      </c>
    </row>
    <row customHeight="1" ht="11.549999999999999">
      <c r="E201" s="1463"/>
      <c r="AR201" s="217">
        <v>11</v>
      </c>
    </row>
    <row customHeight="1" ht="11.549999999999999">
      <c r="E202" s="1463"/>
      <c r="AR202" s="217">
        <v>11</v>
      </c>
    </row>
    <row customHeight="1" ht="11.549999999999999">
      <c r="E203" s="1463"/>
      <c r="AR203" s="217">
        <v>11</v>
      </c>
    </row>
    <row customHeight="1" ht="11.549999999999999">
      <c r="E204" s="1463"/>
      <c r="AR204" s="217">
        <v>11</v>
      </c>
    </row>
    <row customHeight="1" ht="11.549999999999999">
      <c r="E205" s="1463"/>
      <c r="AR205" s="217">
        <v>11</v>
      </c>
    </row>
    <row customHeight="1" ht="11.549999999999999">
      <c r="E206" s="1463"/>
      <c r="AR206" s="217">
        <v>11</v>
      </c>
    </row>
    <row customHeight="1" ht="11.549999999999999">
      <c r="E207" s="1463"/>
      <c r="AR207" s="217">
        <v>11</v>
      </c>
    </row>
    <row customHeight="1" ht="11.25" hidden="1">
      <c r="A208" s="266" t="s">
        <v>84</v>
      </c>
      <c r="B208" s="266">
        <v>0</v>
      </c>
      <c r="C208" s="217">
        <v>3</v>
      </c>
      <c r="D208" s="217">
        <v>6</v>
      </c>
      <c r="E208" s="217">
        <v>42</v>
      </c>
      <c r="F208" s="1396">
        <v>14</v>
      </c>
      <c r="G208" s="217">
        <v>42</v>
      </c>
      <c r="H208" s="217">
        <v>3</v>
      </c>
      <c r="I208" s="217">
        <v>5</v>
      </c>
      <c r="J208" s="217">
        <v>47</v>
      </c>
      <c r="K208" s="217">
        <v>3</v>
      </c>
      <c r="L208" s="217">
        <v>3</v>
      </c>
      <c r="M208" s="217">
        <v>5</v>
      </c>
      <c r="N208" s="217">
        <v>28</v>
      </c>
      <c r="O208" s="217">
        <v>3</v>
      </c>
      <c r="P208" s="217">
        <v>3</v>
      </c>
      <c r="Q208" s="217">
        <v>5</v>
      </c>
      <c r="R208" s="217">
        <v>34</v>
      </c>
      <c r="S208" s="395">
        <v>0</v>
      </c>
      <c r="T208" s="395">
        <v>0</v>
      </c>
      <c r="U208" s="395">
        <v>0</v>
      </c>
      <c r="V208" s="395">
        <v>0</v>
      </c>
      <c r="W208" s="217">
        <v>30</v>
      </c>
      <c r="X208" s="217">
        <v>3</v>
      </c>
      <c r="Y208" s="1372">
        <v>0</v>
      </c>
      <c r="Z208" s="1372">
        <v>0</v>
      </c>
      <c r="AA208" s="1372">
        <v>0</v>
      </c>
      <c r="AB208" s="1372">
        <v>0</v>
      </c>
      <c r="AC208" s="1372">
        <v>0</v>
      </c>
      <c r="AD208" s="1372">
        <v>0</v>
      </c>
      <c r="AE208" s="1372">
        <v>0</v>
      </c>
      <c r="AF208" s="1372">
        <v>0</v>
      </c>
      <c r="AG208" s="1372">
        <v>0</v>
      </c>
      <c r="AH208" s="1372">
        <v>0</v>
      </c>
      <c r="AI208" s="1372">
        <v>0</v>
      </c>
      <c r="AJ208" s="1372">
        <v>0</v>
      </c>
      <c r="AK208" s="1372">
        <v>0</v>
      </c>
      <c r="AL208" s="1372">
        <v>0</v>
      </c>
      <c r="AM208" s="1372">
        <v>0</v>
      </c>
      <c r="AN208" s="1372">
        <v>0</v>
      </c>
      <c r="AO208" s="1372">
        <v>0</v>
      </c>
      <c r="AP208" s="1372">
        <v>0</v>
      </c>
      <c r="AQ208" s="1372">
        <v>0</v>
      </c>
      <c r="AR208" s="217">
        <v>11</v>
      </c>
    </row>
  </sheetData>
  <sheetProtection formatColumns="0" formatRows="0" autoFilter="0" sort="0" insertRows="0" insertColumns="1" deleteRows="0" deleteColumns="0"/>
  <mergeCells count="523">
    <mergeCell ref="R23:R24"/>
    <mergeCell ref="S23:S24"/>
    <mergeCell ref="G23:G27"/>
    <mergeCell ref="H23:H26"/>
    <mergeCell ref="I23:I26"/>
    <mergeCell ref="J23:J26"/>
    <mergeCell ref="K23:K26"/>
    <mergeCell ref="L23:L25"/>
    <mergeCell ref="M23:M25"/>
    <mergeCell ref="N23:N25"/>
    <mergeCell ref="O23:O25"/>
    <mergeCell ref="M193:M195"/>
    <mergeCell ref="N193:N195"/>
    <mergeCell ref="O193:O195"/>
    <mergeCell ref="P193:P194"/>
    <mergeCell ref="Q193:Q194"/>
    <mergeCell ref="R193:R194"/>
    <mergeCell ref="S193:S194"/>
    <mergeCell ref="D193:D197"/>
    <mergeCell ref="E193:E197"/>
    <mergeCell ref="F193:F197"/>
    <mergeCell ref="G193:G197"/>
    <mergeCell ref="H193:H196"/>
    <mergeCell ref="I193:I196"/>
    <mergeCell ref="J193:J196"/>
    <mergeCell ref="K193:K196"/>
    <mergeCell ref="L193:L195"/>
    <mergeCell ref="N161:N163"/>
    <mergeCell ref="O161:O163"/>
    <mergeCell ref="P161:P162"/>
    <mergeCell ref="Q161:Q162"/>
    <mergeCell ref="R161:R162"/>
    <mergeCell ref="S161:S162"/>
    <mergeCell ref="D177:D181"/>
    <mergeCell ref="E177:E181"/>
    <mergeCell ref="F177:F181"/>
    <mergeCell ref="G177:G181"/>
    <mergeCell ref="H177:H180"/>
    <mergeCell ref="I177:I180"/>
    <mergeCell ref="J177:J180"/>
    <mergeCell ref="K177:K180"/>
    <mergeCell ref="L177:L179"/>
    <mergeCell ref="M177:M179"/>
    <mergeCell ref="N177:N179"/>
    <mergeCell ref="O177:O179"/>
    <mergeCell ref="P177:P178"/>
    <mergeCell ref="Q177:Q178"/>
    <mergeCell ref="R177:R178"/>
    <mergeCell ref="S177:S178"/>
    <mergeCell ref="D161:D165"/>
    <mergeCell ref="E161:E165"/>
    <mergeCell ref="F161:F165"/>
    <mergeCell ref="G161:G165"/>
    <mergeCell ref="H161:H164"/>
    <mergeCell ref="I161:I164"/>
    <mergeCell ref="J161:J164"/>
    <mergeCell ref="K161:K164"/>
    <mergeCell ref="L161:L163"/>
    <mergeCell ref="S188:S189"/>
    <mergeCell ref="D188:D192"/>
    <mergeCell ref="E188:E192"/>
    <mergeCell ref="F188:F192"/>
    <mergeCell ref="G188:G192"/>
    <mergeCell ref="H188:H191"/>
    <mergeCell ref="I188:I191"/>
    <mergeCell ref="J188:J191"/>
    <mergeCell ref="K188:K191"/>
    <mergeCell ref="L188:L190"/>
    <mergeCell ref="H183:H186"/>
    <mergeCell ref="I183:I186"/>
    <mergeCell ref="J183:J186"/>
    <mergeCell ref="K183:K186"/>
    <mergeCell ref="L183:L185"/>
    <mergeCell ref="M183:M185"/>
    <mergeCell ref="N183:N185"/>
    <mergeCell ref="M188:M190"/>
    <mergeCell ref="N188:N190"/>
    <mergeCell ref="O188:O190"/>
    <mergeCell ref="P183:P184"/>
    <mergeCell ref="Q183:Q184"/>
    <mergeCell ref="R183:R184"/>
    <mergeCell ref="P188:P189"/>
    <mergeCell ref="Q188:Q189"/>
    <mergeCell ref="R188:R189"/>
    <mergeCell ref="S183:S184"/>
    <mergeCell ref="D183:D187"/>
    <mergeCell ref="E183:E187"/>
    <mergeCell ref="F183:F187"/>
    <mergeCell ref="G183:G187"/>
    <mergeCell ref="M172:M174"/>
    <mergeCell ref="N172:N174"/>
    <mergeCell ref="O172:O174"/>
    <mergeCell ref="P172:P173"/>
    <mergeCell ref="Q172:Q173"/>
    <mergeCell ref="R172:R173"/>
    <mergeCell ref="S172:S173"/>
    <mergeCell ref="D172:D176"/>
    <mergeCell ref="E172:E176"/>
    <mergeCell ref="F172:F176"/>
    <mergeCell ref="G172:G176"/>
    <mergeCell ref="H172:H175"/>
    <mergeCell ref="I172:I175"/>
    <mergeCell ref="J172:J175"/>
    <mergeCell ref="K172:K175"/>
    <mergeCell ref="L172:L174"/>
    <mergeCell ref="O183:O185"/>
    <mergeCell ref="R13:R14"/>
    <mergeCell ref="S13:S14"/>
    <mergeCell ref="N38:N40"/>
    <mergeCell ref="D167:D171"/>
    <mergeCell ref="E167:E171"/>
    <mergeCell ref="F167:F171"/>
    <mergeCell ref="G167:G171"/>
    <mergeCell ref="H167:H170"/>
    <mergeCell ref="I167:I170"/>
    <mergeCell ref="J167:J170"/>
    <mergeCell ref="K167:K170"/>
    <mergeCell ref="L167:L169"/>
    <mergeCell ref="P115:P116"/>
    <mergeCell ref="Q115:Q116"/>
    <mergeCell ref="R115:R116"/>
    <mergeCell ref="S115:S116"/>
    <mergeCell ref="S28:S29"/>
    <mergeCell ref="S18:S19"/>
    <mergeCell ref="M167:M169"/>
    <mergeCell ref="N167:N169"/>
    <mergeCell ref="O167:O169"/>
    <mergeCell ref="P167:P168"/>
    <mergeCell ref="Q167:Q168"/>
    <mergeCell ref="R167:R168"/>
    <mergeCell ref="S167:S168"/>
    <mergeCell ref="O115:O117"/>
    <mergeCell ref="E139:W139"/>
    <mergeCell ref="E131:W131"/>
    <mergeCell ref="E132:W132"/>
    <mergeCell ref="E133:W133"/>
    <mergeCell ref="E134:W134"/>
    <mergeCell ref="E135:W135"/>
    <mergeCell ref="L141:L143"/>
    <mergeCell ref="M141:M143"/>
    <mergeCell ref="E137:W137"/>
    <mergeCell ref="E138:W138"/>
    <mergeCell ref="K151:K154"/>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114"/>
    <mergeCell ref="E48:E114"/>
    <mergeCell ref="F48:F114"/>
    <mergeCell ref="G48:G114"/>
    <mergeCell ref="D33:D37"/>
    <mergeCell ref="E33:E37"/>
    <mergeCell ref="F33:F37"/>
    <mergeCell ref="H33:H36"/>
    <mergeCell ref="I33:I36"/>
    <mergeCell ref="N33:N35"/>
    <mergeCell ref="P43:P44"/>
    <mergeCell ref="O38:O40"/>
    <mergeCell ref="Q43:Q44"/>
    <mergeCell ref="R43:R44"/>
    <mergeCell ref="O43:O45"/>
    <mergeCell ref="J33:J36"/>
    <mergeCell ref="D115:D119"/>
    <mergeCell ref="E115:E119"/>
    <mergeCell ref="F115:F119"/>
    <mergeCell ref="H115:H118"/>
    <mergeCell ref="N43:N45"/>
    <mergeCell ref="G38:G42"/>
    <mergeCell ref="K38:K41"/>
    <mergeCell ref="G115:G119"/>
    <mergeCell ref="K115:K118"/>
    <mergeCell ref="N115:N117"/>
    <mergeCell ref="I115:I118"/>
    <mergeCell ref="J115:J118"/>
    <mergeCell ref="L115:L117"/>
    <mergeCell ref="M115:M11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41:D145"/>
    <mergeCell ref="E141:E145"/>
    <mergeCell ref="D146:D150"/>
    <mergeCell ref="E146:E150"/>
    <mergeCell ref="F146:F150"/>
    <mergeCell ref="G146:G150"/>
    <mergeCell ref="H146:H149"/>
    <mergeCell ref="I146:I149"/>
    <mergeCell ref="J146:J149"/>
    <mergeCell ref="F141:F145"/>
    <mergeCell ref="G141:G145"/>
    <mergeCell ref="H141:H144"/>
    <mergeCell ref="I141:I144"/>
    <mergeCell ref="J141:J144"/>
    <mergeCell ref="K13:K16"/>
    <mergeCell ref="G18:G22"/>
    <mergeCell ref="K18:K21"/>
    <mergeCell ref="N28:N30"/>
    <mergeCell ref="L151:L153"/>
    <mergeCell ref="Q146:Q147"/>
    <mergeCell ref="R146:R147"/>
    <mergeCell ref="S146:S147"/>
    <mergeCell ref="K146:K149"/>
    <mergeCell ref="K141:K144"/>
    <mergeCell ref="N146:N148"/>
    <mergeCell ref="O146:O148"/>
    <mergeCell ref="P146:P147"/>
    <mergeCell ref="S151:S152"/>
    <mergeCell ref="N151:N153"/>
    <mergeCell ref="O151:O153"/>
    <mergeCell ref="P151:P152"/>
    <mergeCell ref="Q151:Q152"/>
    <mergeCell ref="R151:R152"/>
    <mergeCell ref="L146:L148"/>
    <mergeCell ref="N141:N143"/>
    <mergeCell ref="O141:O143"/>
    <mergeCell ref="P141:P142"/>
    <mergeCell ref="Q141:Q142"/>
    <mergeCell ref="R141:R142"/>
    <mergeCell ref="S141:S142"/>
    <mergeCell ref="M146:M148"/>
    <mergeCell ref="M156:M158"/>
    <mergeCell ref="N156:N158"/>
    <mergeCell ref="O156:O158"/>
    <mergeCell ref="P156:P157"/>
    <mergeCell ref="Q156:Q157"/>
    <mergeCell ref="R156:R157"/>
    <mergeCell ref="S156:S157"/>
    <mergeCell ref="D151:D155"/>
    <mergeCell ref="E151:E155"/>
    <mergeCell ref="M151:M153"/>
    <mergeCell ref="D156:D160"/>
    <mergeCell ref="E156:E160"/>
    <mergeCell ref="F156:F160"/>
    <mergeCell ref="G156:G160"/>
    <mergeCell ref="H156:H159"/>
    <mergeCell ref="I156:I159"/>
    <mergeCell ref="J156:J159"/>
    <mergeCell ref="K156:K159"/>
    <mergeCell ref="L156:L158"/>
    <mergeCell ref="F151:F155"/>
    <mergeCell ref="G151:G155"/>
    <mergeCell ref="H151:H154"/>
    <mergeCell ref="I151:I154"/>
    <mergeCell ref="J151:J154"/>
    <mergeCell ref="S125:S126"/>
    <mergeCell ref="E120:E124"/>
    <mergeCell ref="F120:F124"/>
    <mergeCell ref="G120:G124"/>
    <mergeCell ref="H120:H123"/>
    <mergeCell ref="I120:I123"/>
    <mergeCell ref="J120:J123"/>
    <mergeCell ref="K120:K123"/>
    <mergeCell ref="L120:L122"/>
    <mergeCell ref="D120:D124"/>
    <mergeCell ref="M161:M163"/>
    <mergeCell ref="M120:M122"/>
    <mergeCell ref="N120:N122"/>
    <mergeCell ref="O120:O122"/>
    <mergeCell ref="P120:P121"/>
    <mergeCell ref="Q120:Q121"/>
    <mergeCell ref="R120:R121"/>
    <mergeCell ref="S120:S121"/>
    <mergeCell ref="D125:D129"/>
    <mergeCell ref="E125:E129"/>
    <mergeCell ref="F125:F129"/>
    <mergeCell ref="G125:G129"/>
    <mergeCell ref="H125:H128"/>
    <mergeCell ref="I125:I128"/>
    <mergeCell ref="J125:J128"/>
    <mergeCell ref="K125:K128"/>
    <mergeCell ref="L125:L127"/>
    <mergeCell ref="M125:M127"/>
    <mergeCell ref="N125:N127"/>
    <mergeCell ref="O125:O127"/>
    <mergeCell ref="P125:P126"/>
    <mergeCell ref="Q125:Q126"/>
    <mergeCell ref="R125:R126"/>
    <mergeCell ref="O48:O51"/>
    <mergeCell ref="S48:S50"/>
    <mergeCell ref="P48:P50"/>
    <mergeCell ref="Q48:Q50"/>
    <mergeCell ref="R48:R50"/>
    <mergeCell ref="K48:K113"/>
    <mergeCell ref="M48:M51"/>
    <mergeCell ref="L48:L51"/>
    <mergeCell ref="N48:N51"/>
    <mergeCell ref="J48:J113"/>
    <mergeCell ref="H48:H113"/>
    <mergeCell ref="I48:I113"/>
    <mergeCell ref="L52:L54"/>
    <mergeCell ref="M52:M54"/>
    <mergeCell ref="N52:N54"/>
    <mergeCell ref="O52:O54"/>
    <mergeCell ref="S52:S53"/>
    <mergeCell ref="P52:P53"/>
    <mergeCell ref="Q52:Q53"/>
    <mergeCell ref="R52:R53"/>
    <mergeCell ref="L55:L57"/>
    <mergeCell ref="M55:M57"/>
    <mergeCell ref="N55:N57"/>
    <mergeCell ref="O55:O57"/>
    <mergeCell ref="S55:S56"/>
    <mergeCell ref="P55:P56"/>
    <mergeCell ref="Q55:Q56"/>
    <mergeCell ref="R55:R56"/>
    <mergeCell ref="L58:L60"/>
    <mergeCell ref="M58:M60"/>
    <mergeCell ref="N58:N60"/>
    <mergeCell ref="O58:O60"/>
    <mergeCell ref="S58:S59"/>
    <mergeCell ref="P58:P59"/>
    <mergeCell ref="Q58:Q59"/>
    <mergeCell ref="R58:R59"/>
    <mergeCell ref="L61:L63"/>
    <mergeCell ref="M61:M63"/>
    <mergeCell ref="N61:N63"/>
    <mergeCell ref="O61:O63"/>
    <mergeCell ref="S61:S62"/>
    <mergeCell ref="P61:P62"/>
    <mergeCell ref="Q61:Q62"/>
    <mergeCell ref="R61:R62"/>
    <mergeCell ref="L64:L67"/>
    <mergeCell ref="M64:M67"/>
    <mergeCell ref="N64:N67"/>
    <mergeCell ref="O64:O67"/>
    <mergeCell ref="S64:S66"/>
    <mergeCell ref="P64:P66"/>
    <mergeCell ref="Q64:Q66"/>
    <mergeCell ref="R64:R66"/>
    <mergeCell ref="L68:L70"/>
    <mergeCell ref="M68:M70"/>
    <mergeCell ref="N68:N70"/>
    <mergeCell ref="O68:O70"/>
    <mergeCell ref="S68:S69"/>
    <mergeCell ref="P68:P69"/>
    <mergeCell ref="Q68:Q69"/>
    <mergeCell ref="R68:R69"/>
    <mergeCell ref="L71:L73"/>
    <mergeCell ref="M71:M73"/>
    <mergeCell ref="N71:N73"/>
    <mergeCell ref="O71:O73"/>
    <mergeCell ref="S71:S72"/>
    <mergeCell ref="P71:P72"/>
    <mergeCell ref="Q71:Q72"/>
    <mergeCell ref="R71:R72"/>
    <mergeCell ref="L74:L77"/>
    <mergeCell ref="M74:M77"/>
    <mergeCell ref="N74:N77"/>
    <mergeCell ref="O74:O77"/>
    <mergeCell ref="S74:S76"/>
    <mergeCell ref="P74:P76"/>
    <mergeCell ref="Q74:Q76"/>
    <mergeCell ref="R74:R76"/>
    <mergeCell ref="L78:L80"/>
    <mergeCell ref="M78:M80"/>
    <mergeCell ref="N78:N80"/>
    <mergeCell ref="O78:O80"/>
    <mergeCell ref="S78:S79"/>
    <mergeCell ref="P78:P79"/>
    <mergeCell ref="Q78:Q79"/>
    <mergeCell ref="R78:R79"/>
    <mergeCell ref="L81:L84"/>
    <mergeCell ref="M81:M84"/>
    <mergeCell ref="N81:N84"/>
    <mergeCell ref="O81:O84"/>
    <mergeCell ref="S81:S83"/>
    <mergeCell ref="P81:P83"/>
    <mergeCell ref="Q81:Q83"/>
    <mergeCell ref="R81:R83"/>
    <mergeCell ref="L85:L89"/>
    <mergeCell ref="M85:M89"/>
    <mergeCell ref="N85:N89"/>
    <mergeCell ref="O85:O89"/>
    <mergeCell ref="S85:S88"/>
    <mergeCell ref="P85:P88"/>
    <mergeCell ref="Q85:Q88"/>
    <mergeCell ref="R85:R88"/>
    <mergeCell ref="L90:L94"/>
    <mergeCell ref="M90:M94"/>
    <mergeCell ref="N90:N94"/>
    <mergeCell ref="O90:O94"/>
    <mergeCell ref="S90:S93"/>
    <mergeCell ref="P90:P93"/>
    <mergeCell ref="Q90:Q93"/>
    <mergeCell ref="R90:R93"/>
    <mergeCell ref="L95:L97"/>
    <mergeCell ref="M95:M97"/>
    <mergeCell ref="N95:N97"/>
    <mergeCell ref="O95:O97"/>
    <mergeCell ref="S95:S96"/>
    <mergeCell ref="P95:P96"/>
    <mergeCell ref="Q95:Q96"/>
    <mergeCell ref="R95:R96"/>
    <mergeCell ref="L98:L100"/>
    <mergeCell ref="M98:M100"/>
    <mergeCell ref="N98:N100"/>
    <mergeCell ref="O98:O100"/>
    <mergeCell ref="S98:S99"/>
    <mergeCell ref="P98:P99"/>
    <mergeCell ref="Q98:Q99"/>
    <mergeCell ref="R98:R99"/>
    <mergeCell ref="L101:L103"/>
    <mergeCell ref="M101:M103"/>
    <mergeCell ref="N101:N103"/>
    <mergeCell ref="O101:O103"/>
    <mergeCell ref="S101:S102"/>
    <mergeCell ref="P101:P102"/>
    <mergeCell ref="Q101:Q102"/>
    <mergeCell ref="R101:R102"/>
    <mergeCell ref="L104:L106"/>
    <mergeCell ref="M104:M106"/>
    <mergeCell ref="N104:N106"/>
    <mergeCell ref="O104:O106"/>
    <mergeCell ref="S104:S105"/>
    <mergeCell ref="P104:P105"/>
    <mergeCell ref="Q104:Q105"/>
    <mergeCell ref="R104:R105"/>
    <mergeCell ref="L107:L109"/>
    <mergeCell ref="M107:M109"/>
    <mergeCell ref="N107:N109"/>
    <mergeCell ref="O107:O109"/>
    <mergeCell ref="S107:S108"/>
    <mergeCell ref="P107:P108"/>
    <mergeCell ref="Q107:Q108"/>
    <mergeCell ref="R107:R108"/>
    <mergeCell ref="L110:L112"/>
    <mergeCell ref="M110:M112"/>
    <mergeCell ref="N110:N112"/>
    <mergeCell ref="O110:O112"/>
    <mergeCell ref="S110:S111"/>
    <mergeCell ref="P110:P111"/>
    <mergeCell ref="Q110:Q111"/>
    <mergeCell ref="R110:R111"/>
  </mergeCells>
  <dataValidations count="4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K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K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K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type="textLength" operator="lessThanOrEqual" allowBlank="1" showInputMessage="1" showErrorMessage="1" errorTitle="Ошибка" error="Допускается ввод не более 900 символов!" sqref="R92">
      <formula1>900</formula1>
    </dataValidation>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type="textLength" operator="lessThanOrEqual" allowBlank="1" showInputMessage="1" showErrorMessage="1" errorTitle="Ошибка" error="Допускается ввод не более 900 символов!" sqref="W91">
      <formula1>900</formula1>
    </dataValidation>
    <dataValidation type="textLength" operator="lessThanOrEqual" allowBlank="1" showInputMessage="1" showErrorMessage="1" errorTitle="Ошибка" error="Допускается ввод не более 900 символов!" sqref="V91">
      <formula1>900</formula1>
    </dataValidation>
    <dataValidation type="textLength" operator="lessThanOrEqual" allowBlank="1" showInputMessage="1" showErrorMessage="1" errorTitle="Ошибка" error="Допускается ввод не более 900 символов!" sqref="R91">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V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O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K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type="textLength" operator="lessThanOrEqual" allowBlank="1" showInputMessage="1" showErrorMessage="1" errorTitle="Ошибка" error="Допускается ввод не более 900 символов!" sqref="W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R87">
      <formula1>900</formula1>
    </dataValidation>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type="textLength" operator="lessThanOrEqual" allowBlank="1" showInputMessage="1" showErrorMessage="1" errorTitle="Ошибка" error="Допускается ввод не более 900 символов!" sqref="W86">
      <formula1>900</formula1>
    </dataValidation>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R86">
      <formula1>900</formula1>
    </dataValidation>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type="textLength" operator="lessThanOrEqual" allowBlank="1" showInputMessage="1" showErrorMessage="1" errorTitle="Ошибка" error="Допускается ввод не более 900 символов!" sqref="W85">
      <formula1>900</formula1>
    </dataValidation>
    <dataValidation type="textLength" operator="lessThanOrEqual" allowBlank="1" showInputMessage="1" showErrorMessage="1" errorTitle="Ошибка" error="Допускается ввод не более 900 символов!" sqref="V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O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K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type="textLength" operator="lessThanOrEqual" allowBlank="1" showInputMessage="1" showErrorMessage="1" errorTitle="Ошибка" error="Допускается ввод не более 900 символов!" sqref="W82">
      <formula1>900</formula1>
    </dataValidation>
    <dataValidation type="textLength" operator="lessThanOrEqual" allowBlank="1" showInputMessage="1" showErrorMessage="1" errorTitle="Ошибка" error="Допускается ввод не более 900 символов!" sqref="V82">
      <formula1>900</formula1>
    </dataValidation>
    <dataValidation type="textLength" operator="lessThanOrEqual" allowBlank="1" showInputMessage="1" showErrorMessage="1" errorTitle="Ошибка" error="Допускается ввод не более 900 символов!" sqref="R82">
      <formula1>900</formula1>
    </dataValidation>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Выберите виды деятельности, выполнив двойной щелчок левой кнопки мыши по ячейке." sqref="G82"/>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type="textLength" operator="lessThanOrEqual" allowBlank="1" showInputMessage="1" showErrorMessage="1" errorTitle="Ошибка" error="Допускается ввод не более 900 символов!" sqref="W81">
      <formula1>900</formula1>
    </dataValidation>
    <dataValidation type="textLength" operator="lessThanOrEqual" allowBlank="1" showInputMessage="1" showErrorMessage="1" errorTitle="Ошибка" error="Допускается ввод не более 900 символов!" sqref="V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O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K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type="textLength" operator="lessThanOrEqual" allowBlank="1" showInputMessage="1" showErrorMessage="1" errorTitle="Ошибка" error="Допускается ввод не более 900 символов!" sqref="W78">
      <formula1>900</formula1>
    </dataValidation>
    <dataValidation type="textLength" operator="lessThanOrEqual" allowBlank="1" showInputMessage="1" showErrorMessage="1" errorTitle="Ошибка" error="Допускается ввод не более 900 символов!" sqref="V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O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K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78"/>
    <dataValidation type="textLength" operator="lessThanOrEqual" allowBlank="1" showInputMessage="1" showErrorMessage="1" errorTitle="Ошибка" error="Допускается ввод не более 900 символов!" sqref="W75">
      <formula1>900</formula1>
    </dataValidation>
    <dataValidation type="textLength" operator="lessThanOrEqual" allowBlank="1" showInputMessage="1" showErrorMessage="1" errorTitle="Ошибка" error="Допускается ввод не более 900 символов!" sqref="V75">
      <formula1>900</formula1>
    </dataValidation>
    <dataValidation type="textLength" operator="lessThanOrEqual" allowBlank="1" showInputMessage="1" showErrorMessage="1" errorTitle="Ошибка" error="Допускается ввод не более 900 символов!" sqref="R75">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V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O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K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Для выбора выполните двойной щелчок левой клавиши мыши по соответствующей ячейке." sqref="S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Для выбора выполните двойной щелчок левой клавиши мыши по соответствующей ячейке." sqref="F72"/>
    <dataValidation type="textLength" operator="lessThanOrEqual" allowBlank="1" showInputMessage="1" showErrorMessage="1" errorTitle="Ошибка" error="Допускается ввод не более 900 символов!" sqref="W71">
      <formula1>900</formula1>
    </dataValidation>
    <dataValidation type="textLength" operator="lessThanOrEqual" allowBlank="1" showInputMessage="1" showErrorMessage="1" errorTitle="Ошибка" error="Допускается ввод не более 900 символов!" sqref="V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O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K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Выберите виды деятельности, выполнив двойной щелчок левой кнопки мыши по ячейке." sqref="G71"/>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type="textLength" operator="lessThanOrEqual" allowBlank="1" showInputMessage="1" showErrorMessage="1" errorTitle="Ошибка" error="Допускается ввод не более 900 символов!" sqref="W68">
      <formula1>900</formula1>
    </dataValidation>
    <dataValidation type="textLength" operator="lessThanOrEqual" allowBlank="1" showInputMessage="1" showErrorMessage="1" errorTitle="Ошибка" error="Допускается ввод не более 900 символов!" sqref="V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O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K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type="textLength" operator="lessThanOrEqual" allowBlank="1" showInputMessage="1" showErrorMessage="1" errorTitle="Ошибка" error="Допускается ввод не более 900 символов!" sqref="W65">
      <formula1>900</formula1>
    </dataValidation>
    <dataValidation type="textLength" operator="lessThanOrEqual" allowBlank="1" showInputMessage="1" showErrorMessage="1" errorTitle="Ошибка" error="Допускается ввод не более 900 символов!" sqref="V65">
      <formula1>900</formula1>
    </dataValidation>
    <dataValidation type="textLength" operator="lessThanOrEqual" allowBlank="1" showInputMessage="1" showErrorMessage="1" errorTitle="Ошибка" error="Допускается ввод не более 900 символов!" sqref="R65">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V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O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K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type="textLength" operator="lessThanOrEqual" allowBlank="1" showInputMessage="1" showErrorMessage="1" errorTitle="Ошибка" error="Допускается ввод не более 900 символов!" sqref="W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O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K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type="textLength" operator="lessThanOrEqual" allowBlank="1" showInputMessage="1" showErrorMessage="1" errorTitle="Ошибка" error="Допускается ввод не более 900 символов!" sqref="W55">
      <formula1>900</formula1>
    </dataValidation>
    <dataValidation type="textLength" operator="lessThanOrEqual" allowBlank="1" showInputMessage="1" showErrorMessage="1" errorTitle="Ошибка" error="Допускается ввод не более 900 символов!" sqref="V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O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K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3"/>
    <dataValidation type="textLength" operator="lessThanOrEqual" allowBlank="1" showInputMessage="1" showErrorMessage="1" errorTitle="Ошибка" error="Допускается ввод не более 900 символов!" sqref="W52">
      <formula1>900</formula1>
    </dataValidation>
    <dataValidation type="textLength" operator="lessThanOrEqual" allowBlank="1" showInputMessage="1" showErrorMessage="1" errorTitle="Ошибка" error="Допускается ввод не более 900 символов!" sqref="V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O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K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Для выбора выполните двойной щелчок левой клавиши мыши по соответствующей ячейке." sqref="F52"/>
    <dataValidation type="textLength" operator="lessThanOrEqual" allowBlank="1" showInputMessage="1" showErrorMessage="1" errorTitle="Ошибка" error="Допускается ввод не более 900 символов!" sqref="W49">
      <formula1>900</formula1>
    </dataValidation>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R49">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50">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67:G181 G183:G197 G141:G165 G13:G48 G50:G51 G113:G1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43:N45 N28:N30 N38:N40 N13:N15 N33:N35 N141:N143 N156:N158 N146:N148 N151:N153 N115:N117 N167:N169 N172:N174 N188:N190 N183:N185 N120:N122 N125:N127 N161:N163 N177:N179 N193:N195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18:J19 J43:J44 J28:J29 R38:R39 R13:R14 R18:R19 R43:R44 R28:R29 V38:W38 V13:W13 V18:W18 V43:W43 V28:W28 J33:J34 R33:R34 V33:W33 J141:J142 R141:R142 V141:W141 J146:J147 R146:R147 V146:W146 J156:J157 R156:R157 V156:W156 J151:J152 R151:R152 V151:W151 J115:J116 R115:R116 V115:W115 J167:J168 R167:R168 V167:W167 J172:J173 R172:R173 V172:W172 J188:J189 R188:R189 V188:W188 J183:J184 R183:R184 V183:W183 J120:J121 R120:R121 V120:W120 J125:J126 R125:R126 V125:W125 J161:J162 R161:R162 V161:W161 J177:J178 R177:R178 V177:W177 J193:J194 R193:R194 V193:W193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18:K19 K43:K44 K28:K29 O38:O39 O18:O19 O43:O44 O28:O29 S38:S39 S18:S19 S43:S44 S28:S29 O13:O14 S13:S14 K33:K34 O33:O34 S33:S34 K141:K142 O141:O142 S141:S142 K146:K147 O146:O147 S146:S147 K156:K157 O156:O157 S156:S157 K151:K152 O151:O152 S115:S116 S151:S152 K115:K116 O115:O116 O193:O194 O167:O168 S167:S168 O172:O173 S172:S173 K167:K168 K172:K173 S161:S162 K188:K189 O188:O189 K183:K184 O183:O184 S188:S189 O177:O178 S183:S184 O120:O121 S120:S121 K120:K121 K125:K126 O125:O126 S125:S126 F141:F165 K161:K162 O161:O162 F167:F181 S177:S178 K177:K178 F183:F197 S193:S194 K193:K194 F13:F48 F50:F51 F113:F129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C4897-C5A1-F6A8-A86A-BA9AD7B8CF1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52" width="9.140625" hidden="1"/>
    <col min="3" max="4" style="8252" width="3.00390625" customWidth="1"/>
    <col min="5" max="6" style="8252" width="15.00390625" customWidth="1"/>
    <col min="7" max="7" style="8252" width="11.57421875" customWidth="1"/>
    <col min="8" max="9" style="8252" width="3.00390625" customWidth="1"/>
    <col min="10" max="10" style="8252" width="12.00390625" customWidth="1"/>
    <col min="11" max="11" style="8252" width="0.28125" customWidth="1"/>
    <col min="12" max="13" style="8252" width="10.00390625" customWidth="1"/>
    <col min="14" max="15" style="8252" width="3.00390625" customWidth="1"/>
    <col min="16" max="16" style="8252" width="19.00390625" customWidth="1"/>
    <col min="17" max="17" style="8252" width="0.28125" customWidth="1"/>
    <col min="18" max="19" style="8252" width="10.00390625" customWidth="1"/>
    <col min="20" max="21" style="8252" width="3.00390625" customWidth="1"/>
    <col min="22" max="22" style="8252" width="25.00390625" customWidth="1"/>
    <col min="23" max="23" style="8252" width="0.28125" customWidth="1"/>
    <col min="24" max="25" style="8252" width="10.00390625" customWidth="1"/>
    <col min="26" max="27" style="8252" width="3.00390625" customWidth="1"/>
    <col min="28" max="28" style="8252" width="16.00390625" customWidth="1"/>
    <col min="29" max="29" style="8252" width="0.28125" customWidth="1"/>
    <col min="30" max="31" style="8252" width="10.00390625" customWidth="1"/>
    <col min="32" max="33" style="8252" width="3.00390625" customWidth="1"/>
    <col min="34" max="34" style="8252" width="8.00390625" customWidth="1"/>
    <col min="35" max="35" style="8252" width="21.00390625" customWidth="1"/>
    <col min="36" max="36" style="8252" width="8.00390625" customWidth="1"/>
    <col min="37" max="37" style="8669" width="8.00390625" customWidth="1"/>
    <col min="38" max="64" style="8252" width="8.00390625" customWidth="1"/>
    <col min="65" max="65" style="8252" width="9.140625" hidden="1"/>
  </cols>
  <sheetData>
    <row s="859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8596" customFormat="1" customHeight="1" ht="11.25" hidden="1">
      <c r="L2" s="1666" t="s">
        <v>434</v>
      </c>
      <c r="M2" s="1666" t="s">
        <v>435</v>
      </c>
      <c r="R2" s="1666" t="s">
        <v>436</v>
      </c>
      <c r="S2" s="1666" t="s">
        <v>435</v>
      </c>
      <c r="X2" s="1666" t="s">
        <v>434</v>
      </c>
      <c r="Y2" s="1666" t="s">
        <v>435</v>
      </c>
      <c r="AD2" s="1666" t="s">
        <v>434</v>
      </c>
      <c r="AE2" s="1666" t="s">
        <v>435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859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8207" customFormat="1" customHeight="1" ht="34.5">
      <c r="A4" s="1269"/>
      <c r="B4" s="1268"/>
      <c r="C4" s="1628"/>
      <c r="D4" s="2304" t="s">
        <v>437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8207"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820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859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186</v>
      </c>
      <c r="F8" s="2305" t="s">
        <v>199</v>
      </c>
      <c r="G8" s="2306"/>
      <c r="H8" s="2305" t="s">
        <v>90</v>
      </c>
      <c r="I8" s="2306"/>
      <c r="J8" s="2240" t="s">
        <v>200</v>
      </c>
      <c r="K8" s="1669"/>
      <c r="L8" s="2309" t="s">
        <v>438</v>
      </c>
      <c r="M8" s="2309"/>
      <c r="N8" s="2309"/>
      <c r="O8" s="2309"/>
      <c r="P8" s="2309"/>
      <c r="Q8" s="1670"/>
      <c r="R8" s="2209" t="s">
        <v>439</v>
      </c>
      <c r="S8" s="2310"/>
      <c r="T8" s="2310"/>
      <c r="U8" s="2310"/>
      <c r="V8" s="2310"/>
      <c r="W8" s="1670"/>
      <c r="X8" s="2311" t="s">
        <v>440</v>
      </c>
      <c r="Y8" s="2311"/>
      <c r="Z8" s="2311"/>
      <c r="AA8" s="2311"/>
      <c r="AB8" s="2311"/>
      <c r="AC8" s="1671"/>
      <c r="AD8" s="2240" t="s">
        <v>441</v>
      </c>
      <c r="AE8" s="2240"/>
      <c r="AF8" s="2240"/>
      <c r="AG8" s="2240"/>
      <c r="AH8" s="2214"/>
      <c r="AI8" s="2240" t="s">
        <v>442</v>
      </c>
      <c r="AJ8" s="1687"/>
      <c r="BM8" s="406">
        <v>32</v>
      </c>
    </row>
    <row customHeight="1" ht="23.25">
      <c r="D9" s="2240"/>
      <c r="E9" s="2240"/>
      <c r="F9" s="2288" t="s">
        <v>91</v>
      </c>
      <c r="G9" s="2288" t="s">
        <v>205</v>
      </c>
      <c r="H9" s="2307"/>
      <c r="I9" s="2308"/>
      <c r="J9" s="2214"/>
      <c r="K9" s="1672"/>
      <c r="L9" s="2240" t="s">
        <v>443</v>
      </c>
      <c r="M9" s="2214"/>
      <c r="N9" s="2305" t="s">
        <v>90</v>
      </c>
      <c r="O9" s="2306"/>
      <c r="P9" s="2240" t="s">
        <v>206</v>
      </c>
      <c r="Q9" s="1669"/>
      <c r="R9" s="2240" t="s">
        <v>443</v>
      </c>
      <c r="S9" s="2214"/>
      <c r="T9" s="2305" t="s">
        <v>90</v>
      </c>
      <c r="U9" s="2306"/>
      <c r="V9" s="2240" t="s">
        <v>206</v>
      </c>
      <c r="W9" s="1669"/>
      <c r="X9" s="2240" t="s">
        <v>443</v>
      </c>
      <c r="Y9" s="2214"/>
      <c r="Z9" s="2305" t="s">
        <v>90</v>
      </c>
      <c r="AA9" s="2306"/>
      <c r="AB9" s="2240" t="s">
        <v>444</v>
      </c>
      <c r="AC9" s="1669"/>
      <c r="AD9" s="2240" t="s">
        <v>443</v>
      </c>
      <c r="AE9" s="2214"/>
      <c r="AF9" s="2305" t="s">
        <v>90</v>
      </c>
      <c r="AG9" s="2306"/>
      <c r="AH9" s="2214" t="s">
        <v>444</v>
      </c>
      <c r="AI9" s="2240"/>
      <c r="AJ9" s="1687"/>
      <c r="BM9" s="406">
        <v>22</v>
      </c>
    </row>
    <row customHeight="1" ht="24">
      <c r="D10" s="2288"/>
      <c r="E10" s="2288"/>
      <c r="F10" s="2312"/>
      <c r="G10" s="2312"/>
      <c r="H10" s="2313"/>
      <c r="I10" s="2314"/>
      <c r="J10" s="2305"/>
      <c r="K10" s="1672"/>
      <c r="L10" s="1691" t="s">
        <v>445</v>
      </c>
      <c r="M10" s="1686" t="s">
        <v>446</v>
      </c>
      <c r="N10" s="2307"/>
      <c r="O10" s="2308"/>
      <c r="P10" s="2288"/>
      <c r="Q10" s="1669"/>
      <c r="R10" s="1691" t="s">
        <v>445</v>
      </c>
      <c r="S10" s="1686" t="s">
        <v>446</v>
      </c>
      <c r="T10" s="2307"/>
      <c r="U10" s="2308"/>
      <c r="V10" s="2288"/>
      <c r="W10" s="1669"/>
      <c r="X10" s="1691" t="s">
        <v>445</v>
      </c>
      <c r="Y10" s="1686" t="s">
        <v>446</v>
      </c>
      <c r="Z10" s="2307"/>
      <c r="AA10" s="2308"/>
      <c r="AB10" s="2288"/>
      <c r="AC10" s="1669"/>
      <c r="AD10" s="1691" t="s">
        <v>445</v>
      </c>
      <c r="AE10" s="1686" t="s">
        <v>446</v>
      </c>
      <c r="AF10" s="2307"/>
      <c r="AG10" s="2308"/>
      <c r="AH10" s="2305"/>
      <c r="AI10" s="2288"/>
      <c r="AJ10" s="1687"/>
      <c r="AK10" s="367" t="s">
        <v>447</v>
      </c>
      <c r="AL10" s="367" t="s">
        <v>207</v>
      </c>
      <c r="BM10" s="406">
        <v>23</v>
      </c>
    </row>
    <row customHeight="1" ht="15">
      <c r="D11" s="2296" t="s">
        <v>155</v>
      </c>
      <c r="E11" s="2292" t="s">
        <v>448</v>
      </c>
      <c r="F11" s="2292" t="s">
        <v>449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859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105</v>
      </c>
      <c r="E17" s="2292" t="s">
        <v>448</v>
      </c>
      <c r="F17" s="2292" t="s">
        <v>450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859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448</v>
      </c>
      <c r="F23" s="2292" t="s">
        <v>451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859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448</v>
      </c>
      <c r="F29" s="2292" t="s">
        <v>452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859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120</v>
      </c>
      <c r="E35" s="2292" t="s">
        <v>448</v>
      </c>
      <c r="F35" s="2292" t="s">
        <v>453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859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3AB81-FE56-5669-150D-22A016DBC1D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56" width="15.00390625" hidden="1" customWidth="1"/>
    <col min="2" max="2" style="8713" width="15.00390625" hidden="1" customWidth="1"/>
    <col min="3" max="3" style="8757" width="3.00390625" customWidth="1"/>
    <col min="4" max="4" style="8758" width="6.00390625" customWidth="1"/>
    <col min="5" max="5" style="8757" width="52.00390625" customWidth="1"/>
    <col min="6" max="6" style="8757" width="48.00390625" customWidth="1"/>
    <col min="7" max="7" style="8757" width="121.00390625" customWidth="1"/>
    <col min="8" max="8" style="8757" width="8.00390625" customWidth="1"/>
    <col min="9" max="9" style="8757" width="64.00390625" customWidth="1"/>
    <col min="10" max="10" style="8757" width="9.140625" hidden="1"/>
  </cols>
  <sheetData>
    <row customHeight="1" ht="11.25" hidden="1">
      <c r="A1" s="1799" t="s">
        <v>454</v>
      </c>
      <c r="J1" s="568" t="s">
        <v>14</v>
      </c>
    </row>
    <row customHeight="1" ht="11.25" hidden="1">
      <c r="J2" s="568">
        <v>0</v>
      </c>
    </row>
    <row s="867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"Мурманэнергосбыт"</v>
      </c>
      <c r="E5" s="2289"/>
      <c r="F5" s="2289"/>
      <c r="I5" s="828"/>
      <c r="J5" s="568">
        <v>17</v>
      </c>
    </row>
    <row s="867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455</v>
      </c>
      <c r="E8" s="2318"/>
      <c r="F8" s="2318"/>
      <c r="G8" s="2321" t="s">
        <v>456</v>
      </c>
      <c r="J8" s="568">
        <v>11</v>
      </c>
    </row>
    <row customHeight="1" ht="11.549999999999999">
      <c r="A9" s="570"/>
      <c r="B9" s="615"/>
      <c r="C9" s="570"/>
      <c r="D9" s="585" t="s">
        <v>90</v>
      </c>
      <c r="E9" s="559" t="s">
        <v>457</v>
      </c>
      <c r="F9" s="559" t="s">
        <v>458</v>
      </c>
      <c r="G9" s="2322"/>
      <c r="J9" s="568">
        <v>11</v>
      </c>
    </row>
    <row customHeight="1" ht="12" hidden="1">
      <c r="A10" s="570"/>
      <c r="B10" s="615"/>
      <c r="C10" s="570"/>
      <c r="D10" s="577"/>
      <c r="E10" s="577"/>
      <c r="F10" s="577"/>
      <c r="G10" s="577"/>
      <c r="J10" s="568">
        <v>0</v>
      </c>
    </row>
    <row customHeight="1" ht="22.5" hidden="1">
      <c r="A11" s="570"/>
      <c r="B11" s="615"/>
      <c r="C11" s="570"/>
      <c r="D11" s="1122" t="s">
        <v>155</v>
      </c>
      <c r="E11" s="1125" t="s">
        <v>459</v>
      </c>
      <c r="F11" s="1124" t="str">
        <f>IF(region_name="","",region_name)</f>
        <v>Мурманская область</v>
      </c>
      <c r="G11" s="1125" t="s">
        <v>460</v>
      </c>
      <c r="H11" s="588"/>
      <c r="J11" s="568">
        <v>0</v>
      </c>
    </row>
    <row customHeight="1" ht="22.5" hidden="1">
      <c r="A12" s="570"/>
      <c r="B12" s="615"/>
      <c r="C12" s="570"/>
      <c r="D12" s="558" t="s">
        <v>155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461</v>
      </c>
      <c r="G12" s="587"/>
      <c r="H12" s="588"/>
      <c r="J12" s="568">
        <v>0</v>
      </c>
    </row>
    <row customHeight="1" ht="23.25">
      <c r="A13" s="570"/>
      <c r="B13" s="615"/>
      <c r="C13" s="570"/>
      <c r="D13" s="558" t="s">
        <v>155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462</v>
      </c>
      <c r="E14" s="1123" t="s">
        <v>463</v>
      </c>
      <c r="F14" s="1124" t="str">
        <f>IF(inn="","",inn)</f>
        <v>5190907139</v>
      </c>
      <c r="G14" s="1125" t="s">
        <v>464</v>
      </c>
      <c r="H14" s="588"/>
      <c r="J14" s="568">
        <v>0</v>
      </c>
    </row>
    <row customHeight="1" ht="22.5" hidden="1">
      <c r="A15" s="570"/>
      <c r="B15" s="615"/>
      <c r="C15" s="570"/>
      <c r="D15" s="1122" t="s">
        <v>465</v>
      </c>
      <c r="E15" s="1123" t="s">
        <v>466</v>
      </c>
      <c r="F15" s="1124" t="str">
        <f>IF(kpp="","",kpp)</f>
        <v>519001001</v>
      </c>
      <c r="G15" s="1125" t="s">
        <v>467</v>
      </c>
      <c r="H15" s="588"/>
      <c r="J15" s="568">
        <v>0</v>
      </c>
    </row>
    <row customHeight="1" ht="39">
      <c r="A16" s="570"/>
      <c r="B16" s="615"/>
      <c r="C16" s="570"/>
      <c r="D16" s="558" t="s">
        <v>105</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468</v>
      </c>
      <c r="B19" s="615"/>
      <c r="C19" s="2326"/>
      <c r="D19" s="558" t="str">
        <f>A19</f>
        <v>5.1</v>
      </c>
      <c r="E19" s="555" t="s">
        <v>469</v>
      </c>
      <c r="F19" s="556" t="s">
        <v>461</v>
      </c>
      <c r="G19" s="557" t="s">
        <v>470</v>
      </c>
      <c r="H19" s="588"/>
      <c r="I19" s="965"/>
      <c r="J19" s="568">
        <v>0</v>
      </c>
    </row>
    <row customHeight="1" ht="24" hidden="1">
      <c r="A20" s="2315"/>
      <c r="B20" s="615"/>
      <c r="C20" s="2326"/>
      <c r="D20" s="553" t="str">
        <f>D19&amp;".1"</f>
        <v>5.1.1</v>
      </c>
      <c r="E20" s="552" t="s">
        <v>471</v>
      </c>
      <c r="F20" s="994" t="s">
        <v>28</v>
      </c>
      <c r="G20" s="587"/>
      <c r="H20" s="588"/>
      <c r="I20" s="965"/>
      <c r="J20" s="568">
        <v>0</v>
      </c>
    </row>
    <row customHeight="1" ht="22.5" hidden="1">
      <c r="A21" s="2315"/>
      <c r="B21" s="615"/>
      <c r="C21" s="2326"/>
      <c r="D21" s="553" t="str">
        <f>D19&amp;".2"</f>
        <v>5.1.2</v>
      </c>
      <c r="E21" s="552" t="s">
        <v>472</v>
      </c>
      <c r="F21" s="1846" t="s">
        <v>28</v>
      </c>
      <c r="G21" s="557" t="s">
        <v>473</v>
      </c>
      <c r="H21" s="588"/>
      <c r="I21" s="965"/>
      <c r="J21" s="568">
        <v>0</v>
      </c>
    </row>
    <row customHeight="1" ht="22.5" hidden="1">
      <c r="A22" s="2315"/>
      <c r="B22" s="615"/>
      <c r="C22" s="2326"/>
      <c r="D22" s="553" t="str">
        <f>D19&amp;".3"</f>
        <v>5.1.3</v>
      </c>
      <c r="E22" s="552" t="s">
        <v>474</v>
      </c>
      <c r="F22" s="994" t="s">
        <v>28</v>
      </c>
      <c r="G22" s="587"/>
      <c r="H22" s="588"/>
      <c r="I22" s="965"/>
      <c r="J22" s="568">
        <v>0</v>
      </c>
    </row>
    <row customHeight="1" ht="22.5" hidden="1">
      <c r="A23" s="2315"/>
      <c r="B23" s="615"/>
      <c r="C23" s="2326"/>
      <c r="D23" s="553" t="str">
        <f>D19&amp;".4"</f>
        <v>5.1.4</v>
      </c>
      <c r="E23" s="552" t="s">
        <v>475</v>
      </c>
      <c r="F23" s="994" t="s">
        <v>28</v>
      </c>
      <c r="G23" s="557" t="s">
        <v>476</v>
      </c>
      <c r="H23" s="588"/>
      <c r="I23" s="965"/>
      <c r="J23" s="568">
        <v>0</v>
      </c>
    </row>
    <row customHeight="1" ht="22.5" hidden="1">
      <c r="A24" s="2091"/>
      <c r="B24" s="615"/>
      <c r="C24" s="605"/>
      <c r="D24" s="580"/>
      <c r="E24" s="1281" t="s">
        <v>477</v>
      </c>
      <c r="F24" s="581"/>
      <c r="G24" s="582"/>
      <c r="H24" s="588"/>
      <c r="I24" s="965"/>
      <c r="J24" s="568">
        <v>0</v>
      </c>
    </row>
    <row s="8713" customFormat="1" customHeight="1" ht="24.75" hidden="1">
      <c r="A25" s="570"/>
      <c r="B25" s="615"/>
      <c r="C25" s="615"/>
      <c r="D25" s="1119" t="s">
        <v>92</v>
      </c>
      <c r="E25" s="1121" t="s">
        <v>478</v>
      </c>
      <c r="F25" s="1126" t="s">
        <v>461</v>
      </c>
      <c r="G25" s="1121"/>
      <c r="J25" s="614">
        <v>0</v>
      </c>
    </row>
    <row s="8713" customFormat="1" customHeight="1" ht="11.25" hidden="1">
      <c r="A26" s="570"/>
      <c r="B26" s="615"/>
      <c r="C26" s="615"/>
      <c r="D26" s="1119" t="s">
        <v>479</v>
      </c>
      <c r="E26" s="1120" t="s">
        <v>480</v>
      </c>
      <c r="F26" s="1126" t="s">
        <v>461</v>
      </c>
      <c r="G26" s="1121"/>
      <c r="J26" s="614">
        <v>0</v>
      </c>
    </row>
    <row s="8713" customFormat="1" customHeight="1" ht="11.25" hidden="1">
      <c r="A27" s="570"/>
      <c r="B27" s="615"/>
      <c r="C27" s="615"/>
      <c r="D27" s="1119" t="s">
        <v>481</v>
      </c>
      <c r="E27" s="1127" t="s">
        <v>482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8713" customFormat="1" customHeight="1" ht="11.25" hidden="1">
      <c r="A28" s="570"/>
      <c r="B28" s="615"/>
      <c r="C28" s="615"/>
      <c r="D28" s="1119" t="s">
        <v>483</v>
      </c>
      <c r="E28" s="1127" t="s">
        <v>484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8713" customFormat="1" customHeight="1" ht="11.25" hidden="1">
      <c r="A29" s="570"/>
      <c r="B29" s="615"/>
      <c r="C29" s="615"/>
      <c r="D29" s="1119" t="s">
        <v>485</v>
      </c>
      <c r="E29" s="1127" t="s">
        <v>486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8713" customFormat="1" customHeight="1" ht="11.25" hidden="1">
      <c r="A30" s="570"/>
      <c r="B30" s="615"/>
      <c r="C30" s="615"/>
      <c r="D30" s="1119" t="s">
        <v>487</v>
      </c>
      <c r="E30" s="1120" t="s">
        <v>488</v>
      </c>
      <c r="F30" s="1128"/>
      <c r="G30" s="1121"/>
      <c r="J30" s="614">
        <v>0</v>
      </c>
    </row>
    <row s="8713" customFormat="1" customHeight="1" ht="11.25" hidden="1">
      <c r="A31" s="570"/>
      <c r="B31" s="615"/>
      <c r="C31" s="615"/>
      <c r="D31" s="1119" t="s">
        <v>489</v>
      </c>
      <c r="E31" s="1120" t="s">
        <v>490</v>
      </c>
      <c r="F31" s="1128"/>
      <c r="G31" s="1121"/>
      <c r="J31" s="614">
        <v>0</v>
      </c>
    </row>
    <row s="8713" customFormat="1" customHeight="1" ht="11.25" hidden="1">
      <c r="A32" s="570"/>
      <c r="B32" s="615"/>
      <c r="C32" s="615"/>
      <c r="D32" s="1119" t="s">
        <v>491</v>
      </c>
      <c r="E32" s="1120" t="s">
        <v>492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461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493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493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461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494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495</v>
      </c>
      <c r="H44" s="588"/>
      <c r="J44" s="568">
        <v>22</v>
      </c>
    </row>
    <row customHeight="1" ht="23.25">
      <c r="A45" s="570"/>
      <c r="B45" s="615"/>
      <c r="C45" s="570"/>
      <c r="D45" s="553">
        <f>D44+1</f>
        <v>12</v>
      </c>
      <c r="E45" s="551" t="s">
        <v>496</v>
      </c>
      <c r="F45" s="556" t="s">
        <v>461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497</v>
      </c>
      <c r="H46" s="588"/>
      <c r="J46" s="568">
        <v>23</v>
      </c>
    </row>
    <row customHeight="1" ht="24">
      <c r="A47" s="2315"/>
      <c r="B47" s="615"/>
      <c r="C47" s="605"/>
      <c r="D47" s="553" t="str">
        <f>D45&amp;".2"</f>
        <v>12.2</v>
      </c>
      <c r="E47" s="555" t="s">
        <v>498</v>
      </c>
      <c r="F47" s="603"/>
      <c r="G47" s="550" t="s">
        <v>499</v>
      </c>
      <c r="H47" s="588"/>
      <c r="J47" s="568">
        <v>23</v>
      </c>
    </row>
    <row customHeight="1" ht="24">
      <c r="A48" s="2315"/>
      <c r="B48" s="615"/>
      <c r="C48" s="605"/>
      <c r="D48" s="553" t="str">
        <f>D45&amp;".3"</f>
        <v>12.3</v>
      </c>
      <c r="E48" s="555" t="s">
        <v>500</v>
      </c>
      <c r="F48" s="603"/>
      <c r="G48" s="550" t="s">
        <v>501</v>
      </c>
      <c r="H48" s="588"/>
      <c r="J48" s="568">
        <v>23</v>
      </c>
    </row>
    <row customHeight="1" ht="24">
      <c r="A49" s="2315"/>
      <c r="B49" s="615"/>
      <c r="C49" s="605"/>
      <c r="D49" s="553" t="str">
        <f>IF(TEMPLATE_SPHERE="TKO",D45&amp;".0",D45&amp;".4")</f>
        <v>12.4</v>
      </c>
      <c r="E49" s="549" t="s">
        <v>502</v>
      </c>
      <c r="F49" s="1798"/>
      <c r="G49" s="1875" t="s">
        <v>503</v>
      </c>
      <c r="H49" s="588"/>
      <c r="J49" s="568">
        <v>23</v>
      </c>
    </row>
    <row customHeight="1" ht="24">
      <c r="A50" s="570"/>
      <c r="B50" s="615"/>
      <c r="C50" s="570"/>
      <c r="D50" s="580"/>
      <c r="E50" s="528" t="s">
        <v>504</v>
      </c>
      <c r="F50" s="581"/>
      <c r="G50" s="1875" t="s">
        <v>505</v>
      </c>
      <c r="H50" s="589"/>
      <c r="J50" s="568">
        <v>23</v>
      </c>
    </row>
    <row customHeight="1" ht="24">
      <c r="A51" s="971"/>
      <c r="B51" s="615"/>
      <c r="C51" s="605"/>
      <c r="D51" s="553">
        <f>D45+1</f>
        <v>13</v>
      </c>
      <c r="E51" s="641" t="s">
        <v>506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874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874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2D55D-EAFD-EE44-C4B9-37E5D528D5F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77" width="9.140625" hidden="1" customWidth="1"/>
    <col min="2" max="2" style="8113" width="9.140625" hidden="1" customWidth="1"/>
    <col min="3" max="3" style="8290" width="3.00390625" customWidth="1"/>
    <col min="4" max="4" style="8113" width="5.00390625" customWidth="1"/>
    <col min="5" max="5" style="8113" width="48.00390625" customWidth="1"/>
    <col min="6" max="6" style="8113" width="38.00390625" customWidth="1"/>
    <col min="7" max="7" style="8113" width="1.7109375" hidden="1" customWidth="1"/>
    <col min="8" max="11" style="8113" width="19.8515625" customWidth="1"/>
    <col min="12" max="12" style="8113" width="9.7109375" customWidth="1"/>
    <col min="13" max="18" style="8113" width="19.8515625" customWidth="1"/>
    <col min="19" max="19" style="8113" width="1.7109375" hidden="1" customWidth="1"/>
    <col min="20" max="22" style="8113" width="19.8515625" hidden="1" customWidth="1"/>
    <col min="23" max="23" style="8113" width="1.7109375" hidden="1" customWidth="1"/>
    <col min="24" max="26" style="8113" width="19.8515625" hidden="1" customWidth="1"/>
    <col min="27" max="27" style="8113" width="1.7109375" hidden="1" customWidth="1"/>
    <col min="28" max="29" style="8113" width="19.8515625" hidden="1" customWidth="1"/>
    <col min="30" max="30" style="8113" width="1.7109375" hidden="1" customWidth="1"/>
    <col min="31" max="31" style="8113" width="103.7109375" customWidth="1"/>
    <col min="32" max="34" style="8113" width="103.7109375" hidden="1" customWidth="1"/>
    <col min="35" max="35" style="8207" width="3.00390625" customWidth="1"/>
    <col min="36" max="38" style="8192" width="10.00390625" customWidth="1"/>
    <col min="39" max="39" style="8192" width="13.7109375" hidden="1" customWidth="1"/>
    <col min="40" max="40" style="8192" width="15.00390625" customWidth="1"/>
    <col min="41" max="41" style="8192" width="16.00390625" customWidth="1"/>
    <col min="42" max="45" style="8192" width="10.00390625" customWidth="1"/>
    <col min="46" max="46" style="8113" width="10.57421875" hidden="1"/>
  </cols>
  <sheetData>
    <row customHeight="1" ht="22.5" hidden="1">
      <c r="E1" s="525"/>
      <c r="F1" s="525"/>
      <c r="G1" s="525"/>
      <c r="H1" s="2330" t="s">
        <v>507</v>
      </c>
      <c r="I1" s="2330"/>
      <c r="J1" s="2330"/>
      <c r="K1" s="2330"/>
      <c r="L1" s="2330"/>
      <c r="M1" s="2330"/>
      <c r="N1" s="2330"/>
      <c r="O1" s="2330"/>
      <c r="P1" s="2330"/>
      <c r="Q1" s="2330"/>
      <c r="R1" s="2330"/>
      <c r="T1" s="2330" t="s">
        <v>508</v>
      </c>
      <c r="U1" s="2330"/>
      <c r="V1" s="2330"/>
      <c r="X1" s="2330" t="s">
        <v>509</v>
      </c>
      <c r="Y1" s="2330"/>
      <c r="Z1" s="2330"/>
      <c r="AB1" s="2330" t="s">
        <v>510</v>
      </c>
      <c r="AC1" s="2330"/>
      <c r="AT1" s="560" t="s">
        <v>14</v>
      </c>
    </row>
    <row customHeight="1" ht="14.25" hidden="1">
      <c r="AT2" s="560">
        <v>0</v>
      </c>
    </row>
    <row s="8760" customFormat="1" customHeight="1" ht="5.25">
      <c r="C3" s="814"/>
      <c r="D3" s="815"/>
      <c r="E3" s="815"/>
      <c r="F3" s="815"/>
      <c r="G3" s="815"/>
      <c r="H3" s="815" t="s">
        <v>511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8113"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808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455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456</v>
      </c>
      <c r="AF7" s="2336" t="s">
        <v>456</v>
      </c>
      <c r="AG7" s="2336" t="s">
        <v>456</v>
      </c>
      <c r="AH7" s="2336" t="s">
        <v>456</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512</v>
      </c>
      <c r="I8" s="2339" t="s">
        <v>513</v>
      </c>
      <c r="J8" s="2336" t="s">
        <v>514</v>
      </c>
      <c r="K8" s="2336"/>
      <c r="L8" s="2336"/>
      <c r="M8" s="2331"/>
      <c r="N8" s="2336" t="s">
        <v>515</v>
      </c>
      <c r="O8" s="2336"/>
      <c r="P8" s="2336" t="s">
        <v>516</v>
      </c>
      <c r="Q8" s="2336"/>
      <c r="R8" s="2343" t="s">
        <v>517</v>
      </c>
      <c r="S8" s="937"/>
      <c r="T8" s="2341" t="s">
        <v>518</v>
      </c>
      <c r="U8" s="2341" t="s">
        <v>519</v>
      </c>
      <c r="V8" s="2341" t="s">
        <v>520</v>
      </c>
      <c r="W8" s="939"/>
      <c r="X8" s="2341" t="s">
        <v>521</v>
      </c>
      <c r="Y8" s="2341" t="s">
        <v>522</v>
      </c>
      <c r="Z8" s="2341" t="s">
        <v>523</v>
      </c>
      <c r="AA8" s="939"/>
      <c r="AB8" s="2341" t="s">
        <v>524</v>
      </c>
      <c r="AC8" s="2341" t="s">
        <v>517</v>
      </c>
      <c r="AD8" s="939"/>
      <c r="AE8" s="2336"/>
      <c r="AF8" s="2336"/>
      <c r="AG8" s="2336"/>
      <c r="AH8" s="2336"/>
      <c r="AT8" s="560">
        <v>26</v>
      </c>
    </row>
    <row customHeight="1" ht="46.199999999999996">
      <c r="C9" s="563"/>
      <c r="D9" s="2240"/>
      <c r="E9" s="2336"/>
      <c r="F9" s="2336"/>
      <c r="G9" s="942"/>
      <c r="H9" s="2338"/>
      <c r="I9" s="2340"/>
      <c r="J9" s="538" t="s">
        <v>525</v>
      </c>
      <c r="K9" s="538" t="s">
        <v>526</v>
      </c>
      <c r="L9" s="538" t="s">
        <v>527</v>
      </c>
      <c r="M9" s="544" t="s">
        <v>528</v>
      </c>
      <c r="N9" s="538" t="s">
        <v>529</v>
      </c>
      <c r="O9" s="538" t="s">
        <v>528</v>
      </c>
      <c r="P9" s="538" t="s">
        <v>530</v>
      </c>
      <c r="Q9" s="538" t="s">
        <v>528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8801" customFormat="1" customHeight="1" ht="11.25" hidden="1">
      <c r="C11" s="611"/>
      <c r="D11" s="612" t="s">
        <v>531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155</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532</v>
      </c>
      <c r="AF12" s="2334" t="s">
        <v>533</v>
      </c>
      <c r="AG12" s="2334" t="s">
        <v>534</v>
      </c>
      <c r="AH12" s="2334" t="s">
        <v>535</v>
      </c>
      <c r="AI12" s="560"/>
      <c r="AM12" s="624"/>
      <c r="AP12" s="613" t="s">
        <v>536</v>
      </c>
      <c r="AQ12" s="613" t="s">
        <v>536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D299B-EA89-44C2-CF0C-36598770AD4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77" width="9.140625" hidden="1" customWidth="1"/>
    <col min="2" max="2" style="8113" width="9.140625" hidden="1" customWidth="1"/>
    <col min="3" max="3" style="8290" width="3.00390625" customWidth="1"/>
    <col min="4" max="4" style="8113" width="5.00390625" customWidth="1"/>
    <col min="5" max="5" style="8113" width="38.00390625" customWidth="1"/>
    <col min="6" max="7" style="8113" width="3.00390625" customWidth="1"/>
    <col min="8" max="8" style="8113" width="38.00390625" customWidth="1"/>
    <col min="9" max="9" style="8113" width="35.00390625" customWidth="1"/>
    <col min="10" max="10" style="8113" width="103.00390625" customWidth="1"/>
    <col min="11" max="11" style="8207" width="3.00390625" customWidth="1"/>
    <col min="12" max="14" style="8192" width="10.00390625" customWidth="1"/>
    <col min="15" max="15" style="8192" width="13.00390625" customWidth="1"/>
    <col min="16" max="16" style="8192" width="15.00390625" customWidth="1"/>
    <col min="17" max="17" style="8192" width="16.00390625" customWidth="1"/>
    <col min="18" max="21" style="8192" width="10.00390625" customWidth="1"/>
    <col min="22" max="22" style="8113" width="10.57421875" hidden="1"/>
  </cols>
  <sheetData>
    <row customHeight="1" ht="22.5" hidden="1">
      <c r="E1" s="525"/>
      <c r="F1" s="525"/>
      <c r="G1" s="525"/>
      <c r="H1" s="2330" t="s">
        <v>507</v>
      </c>
      <c r="I1" s="2330"/>
      <c r="V1" s="1720" t="s">
        <v>14</v>
      </c>
    </row>
    <row s="8113" customFormat="1" customHeight="1" ht="14.25" hidden="1">
      <c r="C2" s="1732"/>
      <c r="D2" s="2346" t="s">
        <v>155</v>
      </c>
      <c r="E2" s="2348"/>
      <c r="F2" s="1738"/>
      <c r="G2" s="1733" t="s">
        <v>155</v>
      </c>
      <c r="H2" s="1736"/>
      <c r="I2" s="1734"/>
      <c r="L2" s="1735"/>
      <c r="M2" s="1735"/>
      <c r="N2" s="1735"/>
      <c r="O2" s="1735" t="s">
        <v>537</v>
      </c>
      <c r="P2" s="1735"/>
      <c r="Q2" s="1735"/>
      <c r="R2" s="1737" t="s">
        <v>536</v>
      </c>
      <c r="S2" s="1737" t="s">
        <v>536</v>
      </c>
      <c r="T2" s="1735"/>
      <c r="U2" s="1735"/>
      <c r="V2" s="1731">
        <v>0</v>
      </c>
    </row>
    <row s="8113" customFormat="1" customHeight="1" ht="14.25" hidden="1">
      <c r="C3" s="1732"/>
      <c r="D3" s="2347"/>
      <c r="E3" s="2349"/>
      <c r="F3" s="518"/>
      <c r="G3" s="982"/>
      <c r="H3" s="982" t="s">
        <v>538</v>
      </c>
      <c r="I3" s="426"/>
      <c r="L3" s="1735"/>
      <c r="M3" s="1735"/>
      <c r="N3" s="1735"/>
      <c r="O3" s="1735"/>
      <c r="P3" s="1735"/>
      <c r="Q3" s="1735"/>
      <c r="R3" s="1737"/>
      <c r="S3" s="1737"/>
      <c r="T3" s="1735"/>
      <c r="U3" s="1735"/>
      <c r="V3" s="1731">
        <v>0</v>
      </c>
    </row>
    <row customHeight="1" ht="14.25" hidden="1">
      <c r="V4" s="1720">
        <v>0</v>
      </c>
    </row>
    <row s="8760" customFormat="1" customHeight="1" ht="5.25">
      <c r="C5" s="814"/>
      <c r="D5" s="815"/>
      <c r="E5" s="815"/>
      <c r="F5" s="815"/>
      <c r="G5" s="815"/>
      <c r="H5" s="815" t="s">
        <v>511</v>
      </c>
      <c r="I5" s="815"/>
      <c r="J5" s="815"/>
      <c r="L5" s="1727"/>
      <c r="M5" s="1727"/>
      <c r="N5" s="1727"/>
      <c r="O5" s="1727"/>
      <c r="P5" s="1727"/>
      <c r="Q5" s="1727"/>
      <c r="R5" s="1727"/>
      <c r="S5" s="1727"/>
      <c r="T5" s="1727"/>
      <c r="U5" s="1727"/>
      <c r="V5" s="1726">
        <v>5</v>
      </c>
    </row>
    <row customHeight="1" ht="29.25">
      <c r="C6" s="1629"/>
      <c r="D6" s="2350" t="s">
        <v>539</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808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808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455</v>
      </c>
      <c r="E10" s="2332"/>
      <c r="F10" s="2332"/>
      <c r="G10" s="2332"/>
      <c r="H10" s="2332"/>
      <c r="I10" s="2332"/>
      <c r="J10" s="2336" t="s">
        <v>456</v>
      </c>
      <c r="V10" s="1720">
        <v>14</v>
      </c>
    </row>
    <row customHeight="1" ht="27.299999999999997">
      <c r="C11" s="1629"/>
      <c r="D11" s="2240" t="s">
        <v>90</v>
      </c>
      <c r="E11" s="2336" t="s">
        <v>186</v>
      </c>
      <c r="F11" s="2305" t="s">
        <v>90</v>
      </c>
      <c r="G11" s="2306"/>
      <c r="H11" s="2288" t="s">
        <v>540</v>
      </c>
      <c r="I11" s="2288" t="s">
        <v>541</v>
      </c>
      <c r="J11" s="2336"/>
      <c r="V11" s="1720">
        <v>26</v>
      </c>
    </row>
    <row customHeight="1" ht="14.699999999999998">
      <c r="C12" s="1629"/>
      <c r="D12" s="2240"/>
      <c r="E12" s="2336"/>
      <c r="F12" s="2313"/>
      <c r="G12" s="2314"/>
      <c r="H12" s="2345"/>
      <c r="I12" s="2345"/>
      <c r="J12" s="2336"/>
      <c r="V12" s="1720">
        <v>14</v>
      </c>
    </row>
    <row s="8801" customFormat="1" customHeight="1" ht="11.25" hidden="1">
      <c r="C13" s="611"/>
      <c r="D13" s="612" t="s">
        <v>531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155</v>
      </c>
      <c r="E14" s="2348"/>
      <c r="F14" s="1730"/>
      <c r="G14" s="1729" t="s">
        <v>155</v>
      </c>
      <c r="H14" s="1736"/>
      <c r="I14" s="1734"/>
      <c r="J14" s="2282" t="s">
        <v>542</v>
      </c>
      <c r="K14" s="1720"/>
      <c r="R14" s="613" t="s">
        <v>536</v>
      </c>
      <c r="S14" s="613" t="s">
        <v>536</v>
      </c>
      <c r="V14" s="1720">
        <v>14</v>
      </c>
    </row>
    <row customHeight="1" ht="14.699999999999998">
      <c r="A15" s="1720"/>
      <c r="C15" s="1629"/>
      <c r="D15" s="2347"/>
      <c r="E15" s="2349"/>
      <c r="F15" s="518"/>
      <c r="G15" s="982"/>
      <c r="H15" s="982" t="s">
        <v>538</v>
      </c>
      <c r="I15" s="426"/>
      <c r="J15" s="2283"/>
      <c r="K15" s="1720"/>
      <c r="R15" s="613"/>
      <c r="S15" s="613"/>
      <c r="V15" s="1720">
        <v>14</v>
      </c>
    </row>
    <row customHeight="1" ht="14.699999999999998">
      <c r="A16" s="1720"/>
      <c r="C16" s="1629"/>
      <c r="D16" s="518"/>
      <c r="E16" s="982" t="s">
        <v>198</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02DA9-837D-5D46-095B-3945841BC9C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77" width="9.140625" hidden="1" customWidth="1"/>
    <col min="2" max="3" style="8113" width="9.140625" hidden="1" customWidth="1"/>
    <col min="4" max="4" style="8290" width="3.00390625" customWidth="1"/>
    <col min="5" max="5" style="8113" width="6.00390625" customWidth="1"/>
    <col min="6" max="6" style="8113" width="1.7109375" hidden="1" customWidth="1"/>
    <col min="7" max="8" style="8113" width="30.00390625" customWidth="1"/>
    <col min="9" max="9" style="8113" width="8.00390625" customWidth="1"/>
    <col min="10" max="10" style="8113" width="12.140625" customWidth="1"/>
    <col min="11" max="11" style="8113" width="46.00390625" customWidth="1"/>
    <col min="12" max="12" style="8113" width="100.00390625" customWidth="1"/>
    <col min="13" max="13" style="8207" width="7.00390625" customWidth="1"/>
    <col min="14" max="22" style="8113" width="10.00390625" customWidth="1"/>
    <col min="23" max="23" style="8113" width="10.57421875" hidden="1"/>
  </cols>
  <sheetData>
    <row s="8192" customFormat="1" customHeight="1" ht="5.25" hidden="1">
      <c r="C1" s="624"/>
      <c r="D1" s="607"/>
      <c r="F1" s="624"/>
      <c r="G1" s="602" t="s">
        <v>85</v>
      </c>
      <c r="H1" s="602" t="s">
        <v>86</v>
      </c>
      <c r="I1" s="602" t="s">
        <v>87</v>
      </c>
      <c r="P1" s="602" t="s">
        <v>85</v>
      </c>
      <c r="Q1" s="602" t="s">
        <v>86</v>
      </c>
      <c r="R1" s="602" t="s">
        <v>87</v>
      </c>
      <c r="W1" s="602" t="s">
        <v>14</v>
      </c>
    </row>
    <row s="8192" customFormat="1" customHeight="1" ht="5.25" hidden="1">
      <c r="C2" s="624"/>
      <c r="D2" s="607"/>
      <c r="F2" s="624"/>
      <c r="W2" s="602">
        <v>0</v>
      </c>
    </row>
    <row s="8088" customFormat="1" customHeight="1" ht="5.25">
      <c r="A3" s="592"/>
      <c r="D3" s="599"/>
      <c r="E3" s="594"/>
      <c r="F3" s="594"/>
      <c r="G3" s="594"/>
      <c r="H3" s="594"/>
      <c r="I3" s="595"/>
      <c r="J3" s="596"/>
      <c r="K3" s="596"/>
      <c r="L3" s="596"/>
      <c r="W3" s="593">
        <v>5</v>
      </c>
    </row>
    <row customHeight="1" ht="23.25">
      <c r="D4" s="563"/>
      <c r="E4" s="2351" t="s">
        <v>543</v>
      </c>
      <c r="F4" s="2351"/>
      <c r="G4" s="2352"/>
      <c r="H4" s="2352"/>
      <c r="I4" s="2353"/>
      <c r="J4" s="604"/>
      <c r="K4" s="566"/>
      <c r="L4" s="566"/>
      <c r="W4" s="560">
        <v>22</v>
      </c>
    </row>
    <row s="8113" customFormat="1" customHeight="1" ht="18">
      <c r="A5" s="872"/>
      <c r="D5" s="935"/>
      <c r="E5" s="2327" t="str">
        <f>IF(org=0,"Не определено",org)</f>
        <v>АО "Мурманэнергосбыт"</v>
      </c>
      <c r="F5" s="2327"/>
      <c r="G5" s="2328"/>
      <c r="H5" s="2328"/>
      <c r="I5" s="2329"/>
      <c r="J5" s="604"/>
      <c r="K5" s="566"/>
      <c r="L5" s="566"/>
      <c r="M5" s="620"/>
      <c r="W5" s="871">
        <v>17</v>
      </c>
    </row>
    <row s="8088" customFormat="1" customHeight="1" ht="11.549999999999999">
      <c r="A6" s="592"/>
      <c r="D6" s="599"/>
      <c r="E6" s="594"/>
      <c r="F6" s="594"/>
      <c r="G6" s="597"/>
      <c r="H6" s="597"/>
      <c r="I6" s="598"/>
      <c r="J6" s="598"/>
      <c r="K6" s="865"/>
      <c r="L6" s="598"/>
      <c r="W6" s="593">
        <v>11</v>
      </c>
    </row>
    <row customHeight="1" ht="14.699999999999998">
      <c r="D7" s="563"/>
      <c r="E7" s="2321" t="s">
        <v>455</v>
      </c>
      <c r="F7" s="2321"/>
      <c r="G7" s="2322"/>
      <c r="H7" s="2322"/>
      <c r="I7" s="2322"/>
      <c r="J7" s="2322"/>
      <c r="K7" s="2322"/>
      <c r="L7" s="2336" t="s">
        <v>456</v>
      </c>
      <c r="W7" s="560">
        <v>14</v>
      </c>
    </row>
    <row customHeight="1" ht="48.29999999999999">
      <c r="D8" s="563"/>
      <c r="E8" s="586" t="s">
        <v>90</v>
      </c>
      <c r="F8" s="936"/>
      <c r="G8" s="578" t="s">
        <v>88</v>
      </c>
      <c r="H8" s="578" t="s">
        <v>89</v>
      </c>
      <c r="I8" s="527" t="s">
        <v>87</v>
      </c>
      <c r="J8" s="527" t="s">
        <v>544</v>
      </c>
      <c r="K8" s="527" t="s">
        <v>545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546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8088" customFormat="1" customHeight="1" ht="15">
      <c r="A12" s="2212"/>
      <c r="B12" s="617"/>
      <c r="C12" s="617"/>
      <c r="D12" s="979"/>
      <c r="E12" s="936">
        <v>1</v>
      </c>
      <c r="F12" s="977">
        <v>23</v>
      </c>
      <c r="G12" s="976"/>
      <c r="H12" s="906"/>
      <c r="I12" s="904"/>
      <c r="J12" s="633" t="s">
        <v>63</v>
      </c>
      <c r="K12" s="1277" t="s">
        <v>28</v>
      </c>
      <c r="L12" s="2354"/>
      <c r="M12" s="624"/>
      <c r="N12" s="624"/>
      <c r="O12" s="624"/>
      <c r="P12" s="629" t="s">
        <v>547</v>
      </c>
      <c r="Q12" s="629" t="s">
        <v>548</v>
      </c>
      <c r="R12" s="630" t="s">
        <v>549</v>
      </c>
      <c r="S12" s="624" t="s">
        <v>550</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4D6F6-9FB6-6B73-EE89-38F83351A30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558</v>
      </c>
      <c r="M6" s="650"/>
      <c r="P6" s="2370">
        <v>1</v>
      </c>
      <c r="Q6" s="1418"/>
      <c r="R6" s="469"/>
      <c r="S6" s="1422">
        <f>$I6</f>
      </c>
      <c r="T6" s="398" t="s">
        <v>559</v>
      </c>
      <c r="U6" s="413"/>
      <c r="V6" s="2358"/>
      <c r="W6" s="2359"/>
      <c r="X6" s="2359"/>
      <c r="Y6" s="2359"/>
      <c r="Z6" s="2359"/>
      <c r="AA6" s="2359"/>
      <c r="AB6" s="2359"/>
      <c r="AC6" s="2360"/>
      <c r="AD6" s="2358"/>
      <c r="AE6" s="2359"/>
      <c r="AF6" s="2359"/>
      <c r="AG6" s="2359"/>
      <c r="AH6" s="2359"/>
      <c r="AI6" s="2359"/>
      <c r="AJ6" s="2359"/>
      <c r="AK6" s="2359"/>
      <c r="AL6" s="2360"/>
      <c r="AM6" s="1371" t="s">
        <v>560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561</v>
      </c>
      <c r="M7" s="650"/>
      <c r="N7" s="1479"/>
      <c r="P7" s="2370"/>
      <c r="Q7" s="2370">
        <v>1</v>
      </c>
      <c r="R7" s="470"/>
      <c r="S7" s="1422">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564</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566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567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568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19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19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19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8191" customFormat="1" customHeight="1" ht="22.5" hidden="1">
      <c r="L20" s="1442"/>
      <c r="M20" s="1475"/>
      <c r="N20" s="1475"/>
      <c r="O20" s="1480" t="s">
        <v>569</v>
      </c>
      <c r="P20" s="1475"/>
      <c r="Q20" s="1484"/>
      <c r="R20" s="1484"/>
      <c r="S20" s="842"/>
      <c r="Z20" s="1480"/>
      <c r="AB20" s="1480"/>
      <c r="AC20" s="1479"/>
      <c r="AH20" s="1480"/>
      <c r="AJ20" s="1480"/>
      <c r="AK20" s="1479"/>
      <c r="AN20" s="624"/>
      <c r="AO20" s="624"/>
      <c r="AP20" s="624"/>
      <c r="AQ20" s="624"/>
      <c r="AR20" s="624"/>
      <c r="AS20" s="1273">
        <v>0</v>
      </c>
    </row>
    <row s="8191" customFormat="1" customHeight="1" ht="14.25" hidden="1">
      <c r="L21" s="1442"/>
      <c r="M21" s="1475"/>
      <c r="N21" s="1475"/>
      <c r="O21" s="1475"/>
      <c r="P21" s="1475"/>
      <c r="Q21" s="1484"/>
      <c r="R21" s="1484"/>
      <c r="S21" s="842"/>
      <c r="AC21" s="1479"/>
      <c r="AK21" s="1479"/>
      <c r="AN21" s="624"/>
      <c r="AO21" s="624"/>
      <c r="AP21" s="624"/>
      <c r="AQ21" s="624"/>
      <c r="AR21" s="624"/>
      <c r="AS21" s="1273">
        <v>0</v>
      </c>
    </row>
    <row s="8191" customFormat="1" customHeight="1" ht="14.25" hidden="1">
      <c r="L22" s="1442"/>
      <c r="M22" s="1475"/>
      <c r="N22" s="1475"/>
      <c r="O22" s="1477" t="s">
        <v>570</v>
      </c>
      <c r="P22" s="1475"/>
      <c r="Q22" s="1484"/>
      <c r="R22" s="1484"/>
      <c r="S22" s="842"/>
      <c r="T22" s="1273" t="s">
        <v>571</v>
      </c>
      <c r="AA22" s="299" t="s">
        <v>572</v>
      </c>
      <c r="AC22" s="299" t="s">
        <v>573</v>
      </c>
      <c r="AD22" s="1273" t="s">
        <v>571</v>
      </c>
      <c r="AI22" s="299" t="s">
        <v>574</v>
      </c>
      <c r="AK22" s="299" t="s">
        <v>573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439"/>
      <c r="AM31" s="393"/>
      <c r="AN31" s="481"/>
      <c r="AO31" s="481"/>
      <c r="AP31" s="481"/>
      <c r="AQ31" s="481"/>
      <c r="AR31" s="481"/>
      <c r="AS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328" customFormat="1" customHeight="1" ht="18.7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439"/>
      <c r="AM35" s="393"/>
      <c r="AN35" s="481"/>
      <c r="AO35" s="481"/>
      <c r="AP35" s="481"/>
      <c r="AQ35" s="481"/>
      <c r="AR35" s="481"/>
      <c r="AS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579</v>
      </c>
      <c r="AD36" s="439"/>
      <c r="AE36" s="439"/>
      <c r="AF36" s="439"/>
      <c r="AG36" s="439"/>
      <c r="AH36" s="439"/>
      <c r="AI36" s="439"/>
      <c r="AJ36" s="439"/>
      <c r="AK36" s="391" t="s">
        <v>579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268">
        <v>14</v>
      </c>
    </row>
    <row customHeight="1" ht="14.699999999999998">
      <c r="Q39" s="489"/>
      <c r="R39" s="489"/>
      <c r="S39" s="2386" t="s">
        <v>90</v>
      </c>
      <c r="T39" s="2322" t="s">
        <v>580</v>
      </c>
      <c r="U39" s="414"/>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268">
        <v>14</v>
      </c>
    </row>
    <row customHeight="1" ht="35.699999999999996">
      <c r="Q40" s="489"/>
      <c r="R40" s="489"/>
      <c r="S40" s="2386"/>
      <c r="T40" s="2322"/>
      <c r="U40" s="1144"/>
      <c r="V40" s="2373" t="s">
        <v>585</v>
      </c>
      <c r="W40" s="2723" t="s">
        <v>586</v>
      </c>
      <c r="X40" s="2375" t="s">
        <v>587</v>
      </c>
      <c r="Y40" s="2376"/>
      <c r="Z40" s="2375" t="s">
        <v>588</v>
      </c>
      <c r="AA40" s="2382"/>
      <c r="AB40" s="2376"/>
      <c r="AC40" s="2391"/>
      <c r="AD40" s="2373" t="s">
        <v>585</v>
      </c>
      <c r="AE40" s="2396" t="s">
        <v>586</v>
      </c>
      <c r="AF40" s="2375" t="s">
        <v>587</v>
      </c>
      <c r="AG40" s="2376"/>
      <c r="AH40" s="2375" t="s">
        <v>588</v>
      </c>
      <c r="AI40" s="2382"/>
      <c r="AJ40" s="2376"/>
      <c r="AK40" s="2391"/>
      <c r="AL40" s="2394"/>
      <c r="AM40" s="2240"/>
      <c r="AS40" s="1268">
        <v>34</v>
      </c>
    </row>
    <row customHeight="1" ht="35.699999999999996">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Q41" s="489"/>
      <c r="R41" s="489"/>
      <c r="S41" s="2386"/>
      <c r="T41" s="2322"/>
      <c r="U41" s="415"/>
      <c r="V41" s="2374"/>
      <c r="W41" s="2397"/>
      <c r="X41" s="1335" t="s">
        <v>596</v>
      </c>
      <c r="Y41" s="1335" t="s">
        <v>597</v>
      </c>
      <c r="Z41" s="1334" t="s">
        <v>598</v>
      </c>
      <c r="AA41" s="2383" t="s">
        <v>599</v>
      </c>
      <c r="AB41" s="2384"/>
      <c r="AC41" s="2392"/>
      <c r="AD41" s="2374"/>
      <c r="AE41" s="2397"/>
      <c r="AF41" s="1335" t="s">
        <v>596</v>
      </c>
      <c r="AG41" s="1335" t="s">
        <v>597</v>
      </c>
      <c r="AH41" s="1426" t="s">
        <v>598</v>
      </c>
      <c r="AI41" s="2383" t="s">
        <v>599</v>
      </c>
      <c r="AJ41" s="2384"/>
      <c r="AK41" s="2392"/>
      <c r="AL41" s="2395"/>
      <c r="AM41" s="2240"/>
      <c r="AS41" s="1268">
        <v>34</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227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227</v>
      </c>
      <c r="B44" s="1476" t="s">
        <v>228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613"/>
      <c r="AP44" s="613" t="str">
        <f>IF(T44="","",T44)</f>
        <v>Территория действия тарифа</v>
      </c>
      <c r="AQ44" s="613"/>
      <c r="AR44" s="613"/>
      <c r="AS44" s="1268">
        <v>23</v>
      </c>
    </row>
    <row customHeight="1" ht="24">
      <c r="A45" s="1476" t="s">
        <v>227</v>
      </c>
      <c r="B45" s="1476" t="s">
        <v>228</v>
      </c>
      <c r="C45" s="1476" t="s">
        <v>229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613"/>
      <c r="AP45" s="613" t="str">
        <f>IF(T45="","",T45)</f>
        <v>Наименование системы теплоснабжения </v>
      </c>
      <c r="AQ45" s="613"/>
      <c r="AR45" s="613"/>
      <c r="AS45" s="1268">
        <v>23</v>
      </c>
    </row>
    <row customHeight="1" ht="24">
      <c r="A46" s="1476" t="s">
        <v>227</v>
      </c>
      <c r="B46" s="1476" t="s">
        <v>228</v>
      </c>
      <c r="C46" s="1476" t="s">
        <v>229</v>
      </c>
      <c r="D46" s="1476" t="s">
        <v>230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613"/>
      <c r="AP46" s="613" t="str">
        <f>IF(T46="","",T46)</f>
        <v>Источник тепловой энергии  </v>
      </c>
      <c r="AQ46" s="613"/>
      <c r="AR46" s="613"/>
      <c r="AS46" s="1268">
        <v>23</v>
      </c>
    </row>
    <row customHeight="1" ht="49.5">
      <c r="A47" s="1476" t="s">
        <v>227</v>
      </c>
      <c r="B47" s="1476" t="s">
        <v>228</v>
      </c>
      <c r="C47" s="1476" t="s">
        <v>229</v>
      </c>
      <c r="D47" s="1476" t="s">
        <v>230</v>
      </c>
      <c r="E47" s="2372"/>
      <c r="F47" s="2372"/>
      <c r="G47" s="2372"/>
      <c r="H47" s="2372"/>
      <c r="I47" s="2369" t="str">
        <f>S46&amp;".1"</f>
        <v>....1</v>
      </c>
      <c r="J47" s="1476"/>
      <c r="K47" s="1476"/>
      <c r="L47" s="1477" t="s">
        <v>558</v>
      </c>
      <c r="P47" s="2370">
        <v>1</v>
      </c>
      <c r="Q47" s="1333"/>
      <c r="R47" s="469"/>
      <c r="S47" s="1337" t="str">
        <f>$I47</f>
        <v>....1</v>
      </c>
      <c r="T47" s="398" t="s">
        <v>559</v>
      </c>
      <c r="U47" s="413"/>
      <c r="V47" s="2358"/>
      <c r="W47" s="2359"/>
      <c r="X47" s="2359"/>
      <c r="Y47" s="2359"/>
      <c r="Z47" s="2359"/>
      <c r="AA47" s="2359"/>
      <c r="AB47" s="2359"/>
      <c r="AC47" s="2360"/>
      <c r="AD47" s="2358"/>
      <c r="AE47" s="2359"/>
      <c r="AF47" s="2359"/>
      <c r="AG47" s="2359"/>
      <c r="AH47" s="2359"/>
      <c r="AI47" s="2359"/>
      <c r="AJ47" s="2359"/>
      <c r="AK47" s="2359"/>
      <c r="AL47" s="2360"/>
      <c r="AM47" s="1371" t="s">
        <v>560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227</v>
      </c>
      <c r="B48" s="1476" t="s">
        <v>228</v>
      </c>
      <c r="C48" s="1476" t="s">
        <v>229</v>
      </c>
      <c r="D48" s="1476" t="s">
        <v>230</v>
      </c>
      <c r="E48" s="2372"/>
      <c r="F48" s="2372"/>
      <c r="G48" s="2372"/>
      <c r="H48" s="2372"/>
      <c r="I48" s="2399"/>
      <c r="J48" s="2369" t="str">
        <f>I47&amp;".1"</f>
        <v>....1.1</v>
      </c>
      <c r="K48" s="1476"/>
      <c r="L48" s="1477" t="s">
        <v>561</v>
      </c>
      <c r="P48" s="2370"/>
      <c r="Q48" s="2370">
        <v>1</v>
      </c>
      <c r="R48" s="470"/>
      <c r="S48" s="1337" t="str">
        <f>$J48</f>
        <v>....1.1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613"/>
      <c r="AP48" s="613" t="str">
        <f>IF(T48="","",T48)</f>
        <v>Группа потребителей</v>
      </c>
      <c r="AQ48" s="613"/>
      <c r="AR48" s="613"/>
      <c r="AS48" s="1268">
        <v>23</v>
      </c>
    </row>
    <row customHeight="1" ht="24">
      <c r="A49" s="1476" t="s">
        <v>227</v>
      </c>
      <c r="B49" s="1476" t="s">
        <v>228</v>
      </c>
      <c r="C49" s="1476" t="s">
        <v>229</v>
      </c>
      <c r="D49" s="1476" t="s">
        <v>230</v>
      </c>
      <c r="E49" s="2372"/>
      <c r="F49" s="2372"/>
      <c r="G49" s="2372"/>
      <c r="H49" s="2372"/>
      <c r="I49" s="2399"/>
      <c r="J49" s="2399"/>
      <c r="K49" s="2369" t="str">
        <f>J48&amp;".1"</f>
        <v>....1.1.1</v>
      </c>
      <c r="L49" s="1477" t="s">
        <v>564</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565</v>
      </c>
      <c r="AN49" s="624">
        <f>STRCHECKDATE(V50:AL50)</f>
      </c>
      <c r="AO49" s="613"/>
      <c r="AP49" s="613" t="str">
        <f>IF(T49="","",T49)</f>
        <v/>
      </c>
      <c r="AQ49" s="613"/>
      <c r="AR49" s="613"/>
      <c r="AS49" s="1268">
        <v>23</v>
      </c>
    </row>
    <row customHeight="1" ht="1.05">
      <c r="A50" s="1476" t="s">
        <v>227</v>
      </c>
      <c r="B50" s="1476" t="s">
        <v>228</v>
      </c>
      <c r="C50" s="1476" t="s">
        <v>229</v>
      </c>
      <c r="D50" s="1476" t="s">
        <v>230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227</v>
      </c>
      <c r="B51" s="1476" t="s">
        <v>228</v>
      </c>
      <c r="C51" s="1476" t="s">
        <v>229</v>
      </c>
      <c r="D51" s="1476" t="s">
        <v>230</v>
      </c>
      <c r="E51" s="2372"/>
      <c r="F51" s="2372"/>
      <c r="G51" s="2372"/>
      <c r="H51" s="2372"/>
      <c r="I51" s="2399"/>
      <c r="J51" s="2369"/>
      <c r="K51" s="1476"/>
      <c r="L51" s="1477"/>
      <c r="P51" s="2370"/>
      <c r="Q51" s="2370"/>
      <c r="R51" s="469"/>
      <c r="S51" s="1391"/>
      <c r="T51" s="401" t="s">
        <v>566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227</v>
      </c>
      <c r="B52" s="1476" t="s">
        <v>228</v>
      </c>
      <c r="C52" s="1476" t="s">
        <v>229</v>
      </c>
      <c r="D52" s="1476" t="s">
        <v>230</v>
      </c>
      <c r="E52" s="2372"/>
      <c r="F52" s="2372"/>
      <c r="G52" s="2372"/>
      <c r="H52" s="2372"/>
      <c r="I52" s="2369"/>
      <c r="J52" s="1476"/>
      <c r="K52" s="1476"/>
      <c r="L52" s="1477"/>
      <c r="P52" s="2370"/>
      <c r="Q52" s="1333"/>
      <c r="R52" s="469"/>
      <c r="S52" s="1391"/>
      <c r="T52" s="400" t="s">
        <v>567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227</v>
      </c>
      <c r="B53" s="1476" t="s">
        <v>228</v>
      </c>
      <c r="C53" s="1476" t="s">
        <v>229</v>
      </c>
      <c r="D53" s="1476" t="s">
        <v>230</v>
      </c>
      <c r="E53" s="2372"/>
      <c r="F53" s="2372"/>
      <c r="G53" s="2372"/>
      <c r="H53" s="2371"/>
      <c r="I53" s="1476"/>
      <c r="J53" s="1476"/>
      <c r="K53" s="1476"/>
      <c r="L53" s="1477"/>
      <c r="M53" s="1478"/>
      <c r="N53" s="1478"/>
      <c r="O53" s="650"/>
      <c r="P53" s="473"/>
      <c r="Q53" s="488"/>
      <c r="R53" s="468"/>
      <c r="S53" s="1391"/>
      <c r="T53" s="478" t="s">
        <v>568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192" customFormat="1" customHeight="1" ht="1.05">
      <c r="A54" s="1456" t="s">
        <v>227</v>
      </c>
      <c r="B54" s="1456" t="s">
        <v>228</v>
      </c>
      <c r="C54" s="1456" t="s">
        <v>229</v>
      </c>
      <c r="D54" s="1427"/>
      <c r="E54" s="2372"/>
      <c r="F54" s="2372"/>
      <c r="G54" s="2371"/>
      <c r="H54" s="1427"/>
      <c r="I54" s="1427"/>
      <c r="J54" s="1427"/>
      <c r="K54" s="1427"/>
      <c r="L54" s="1452"/>
      <c r="M54" s="1428"/>
      <c r="N54" s="142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192" customFormat="1" customHeight="1" ht="1.05">
      <c r="A55" s="1456" t="s">
        <v>227</v>
      </c>
      <c r="B55" s="1456" t="s">
        <v>228</v>
      </c>
      <c r="C55" s="1427"/>
      <c r="D55" s="1427"/>
      <c r="E55" s="2372"/>
      <c r="F55" s="2371"/>
      <c r="G55" s="1427"/>
      <c r="H55" s="1427"/>
      <c r="I55" s="1427"/>
      <c r="J55" s="1427"/>
      <c r="K55" s="1427"/>
      <c r="L55" s="1452"/>
      <c r="M55" s="1434"/>
      <c r="N55" s="143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192" customFormat="1" customHeight="1" ht="1.05">
      <c r="A56" s="1456" t="s">
        <v>227</v>
      </c>
      <c r="B56" s="1456"/>
      <c r="C56" s="1456"/>
      <c r="D56" s="1456"/>
      <c r="E56" s="2371"/>
      <c r="F56" s="1456"/>
      <c r="G56" s="1456"/>
      <c r="H56" s="1456"/>
      <c r="I56" s="1456"/>
      <c r="J56" s="1456"/>
      <c r="K56" s="1456"/>
      <c r="L56" s="1459"/>
      <c r="M56" s="1434"/>
      <c r="N56" s="1434"/>
      <c r="O56" s="631"/>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19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EFFDD-038C-E061-630C-59BC90809F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558</v>
      </c>
      <c r="M6" s="650"/>
      <c r="P6" s="2370">
        <v>1</v>
      </c>
      <c r="Q6" s="1444"/>
      <c r="R6" s="469"/>
      <c r="S6" s="1449">
        <f>$I6</f>
      </c>
      <c r="T6" s="398" t="s">
        <v>559</v>
      </c>
      <c r="U6" s="413"/>
      <c r="V6" s="2358"/>
      <c r="W6" s="2359"/>
      <c r="X6" s="2359"/>
      <c r="Y6" s="2359"/>
      <c r="Z6" s="2359"/>
      <c r="AA6" s="2359"/>
      <c r="AB6" s="2359"/>
      <c r="AC6" s="2360"/>
      <c r="AD6" s="2358"/>
      <c r="AE6" s="2359"/>
      <c r="AF6" s="2359"/>
      <c r="AG6" s="2359"/>
      <c r="AH6" s="2359"/>
      <c r="AI6" s="2359"/>
      <c r="AJ6" s="2359"/>
      <c r="AK6" s="2359"/>
      <c r="AL6" s="2360"/>
      <c r="AM6" s="1371" t="s">
        <v>560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561</v>
      </c>
      <c r="M7" s="650"/>
      <c r="N7" s="1479"/>
      <c r="P7" s="2370"/>
      <c r="Q7" s="2370">
        <v>1</v>
      </c>
      <c r="R7" s="470"/>
      <c r="S7" s="1449">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564</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566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567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568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819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19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19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191" customFormat="1" customHeight="1" ht="22.5" hidden="1">
      <c r="L20" s="1442"/>
      <c r="M20" s="1475"/>
      <c r="N20" s="1475"/>
      <c r="O20" s="1480" t="s">
        <v>569</v>
      </c>
      <c r="P20" s="1475"/>
      <c r="Q20" s="1484"/>
      <c r="R20" s="1484"/>
      <c r="S20" s="842"/>
      <c r="Z20" s="1480"/>
      <c r="AB20" s="1480"/>
      <c r="AC20" s="1479"/>
      <c r="AH20" s="1480"/>
      <c r="AJ20" s="1480"/>
      <c r="AK20" s="1479"/>
      <c r="AN20" s="624"/>
      <c r="AO20" s="624"/>
      <c r="AP20" s="624"/>
      <c r="AQ20" s="624"/>
      <c r="AR20" s="624"/>
      <c r="AS20" s="1273">
        <v>0</v>
      </c>
    </row>
    <row s="8191" customFormat="1" customHeight="1" ht="14.25" hidden="1">
      <c r="L21" s="1442"/>
      <c r="M21" s="1475"/>
      <c r="N21" s="1475"/>
      <c r="O21" s="1475"/>
      <c r="P21" s="1475"/>
      <c r="Q21" s="1484"/>
      <c r="R21" s="1484"/>
      <c r="S21" s="842"/>
      <c r="AC21" s="1479"/>
      <c r="AK21" s="1479"/>
      <c r="AN21" s="624"/>
      <c r="AO21" s="624"/>
      <c r="AP21" s="624"/>
      <c r="AQ21" s="624"/>
      <c r="AR21" s="624"/>
      <c r="AS21" s="1273">
        <v>0</v>
      </c>
    </row>
    <row s="8191" customFormat="1" customHeight="1" ht="14.25" hidden="1">
      <c r="L22" s="1442"/>
      <c r="M22" s="1475"/>
      <c r="N22" s="1475"/>
      <c r="O22" s="1477" t="s">
        <v>570</v>
      </c>
      <c r="P22" s="1475"/>
      <c r="Q22" s="1484"/>
      <c r="R22" s="1484"/>
      <c r="S22" s="842"/>
      <c r="T22" s="1273" t="s">
        <v>571</v>
      </c>
      <c r="AA22" s="299" t="s">
        <v>572</v>
      </c>
      <c r="AC22" s="299" t="s">
        <v>573</v>
      </c>
      <c r="AD22" s="1273" t="s">
        <v>571</v>
      </c>
      <c r="AI22" s="299" t="s">
        <v>574</v>
      </c>
      <c r="AK22" s="299" t="s">
        <v>573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439"/>
      <c r="AM31" s="393"/>
      <c r="AN31" s="481"/>
      <c r="AO31" s="481"/>
      <c r="AP31" s="481"/>
      <c r="AQ31" s="481"/>
      <c r="AR31" s="481"/>
      <c r="AS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328" customFormat="1" customHeight="1" ht="18.7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439"/>
      <c r="AM35" s="393"/>
      <c r="AN35" s="481"/>
      <c r="AO35" s="481"/>
      <c r="AP35" s="481"/>
      <c r="AQ35" s="481"/>
      <c r="AR35" s="481"/>
      <c r="AS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579</v>
      </c>
      <c r="AD36" s="439"/>
      <c r="AE36" s="439"/>
      <c r="AF36" s="439"/>
      <c r="AG36" s="439"/>
      <c r="AH36" s="439"/>
      <c r="AI36" s="439"/>
      <c r="AJ36" s="439"/>
      <c r="AK36" s="391" t="s">
        <v>579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268">
        <v>14</v>
      </c>
    </row>
    <row customHeight="1" ht="14.699999999999998">
      <c r="Q39" s="489"/>
      <c r="R39" s="489"/>
      <c r="S39" s="2386" t="s">
        <v>90</v>
      </c>
      <c r="T39" s="2322" t="s">
        <v>580</v>
      </c>
      <c r="U39" s="414"/>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268">
        <v>14</v>
      </c>
    </row>
    <row customHeight="1" ht="35.699999999999996">
      <c r="Q40" s="489"/>
      <c r="R40" s="489"/>
      <c r="S40" s="2386"/>
      <c r="T40" s="2322"/>
      <c r="U40" s="1144"/>
      <c r="V40" s="2373" t="s">
        <v>585</v>
      </c>
      <c r="W40" s="2396" t="s">
        <v>586</v>
      </c>
      <c r="X40" s="2375" t="s">
        <v>587</v>
      </c>
      <c r="Y40" s="2376"/>
      <c r="Z40" s="2375" t="s">
        <v>600</v>
      </c>
      <c r="AA40" s="2382"/>
      <c r="AB40" s="2376"/>
      <c r="AC40" s="2391"/>
      <c r="AD40" s="2373" t="s">
        <v>585</v>
      </c>
      <c r="AE40" s="2396" t="s">
        <v>586</v>
      </c>
      <c r="AF40" s="2375" t="s">
        <v>587</v>
      </c>
      <c r="AG40" s="2376"/>
      <c r="AH40" s="2375" t="s">
        <v>588</v>
      </c>
      <c r="AI40" s="2382"/>
      <c r="AJ40" s="2376"/>
      <c r="AK40" s="2391"/>
      <c r="AL40" s="2394"/>
      <c r="AM40" s="2240"/>
      <c r="AS40" s="1268">
        <v>34</v>
      </c>
    </row>
    <row customHeight="1" ht="35.699999999999996">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Q41" s="489"/>
      <c r="R41" s="489"/>
      <c r="S41" s="2386"/>
      <c r="T41" s="2322"/>
      <c r="U41" s="415"/>
      <c r="V41" s="2374"/>
      <c r="W41" s="2397"/>
      <c r="X41" s="1335" t="s">
        <v>596</v>
      </c>
      <c r="Y41" s="1335" t="s">
        <v>597</v>
      </c>
      <c r="Z41" s="1451" t="s">
        <v>598</v>
      </c>
      <c r="AA41" s="2383" t="s">
        <v>599</v>
      </c>
      <c r="AB41" s="2384"/>
      <c r="AC41" s="2392"/>
      <c r="AD41" s="2374"/>
      <c r="AE41" s="2397"/>
      <c r="AF41" s="1335" t="s">
        <v>596</v>
      </c>
      <c r="AG41" s="1335" t="s">
        <v>597</v>
      </c>
      <c r="AH41" s="1451" t="s">
        <v>598</v>
      </c>
      <c r="AI41" s="2383" t="s">
        <v>599</v>
      </c>
      <c r="AJ41" s="2384"/>
      <c r="AK41" s="2392"/>
      <c r="AL41" s="2395"/>
      <c r="AM41" s="2240"/>
      <c r="AS41" s="1268">
        <v>34</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233</v>
      </c>
      <c r="B44" s="1476" t="s">
        <v>234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613"/>
      <c r="AP44" s="613" t="str">
        <f>IF(T44="","",T44)</f>
        <v>Территория действия тарифа</v>
      </c>
      <c r="AQ44" s="613"/>
      <c r="AR44" s="613"/>
      <c r="AS44" s="1268">
        <v>21</v>
      </c>
    </row>
    <row customHeight="1" ht="24">
      <c r="A45" s="1476" t="s">
        <v>233</v>
      </c>
      <c r="B45" s="1476" t="s">
        <v>234</v>
      </c>
      <c r="C45" s="1476" t="s">
        <v>235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613"/>
      <c r="AP45" s="613" t="str">
        <f>IF(T45="","",T45)</f>
        <v>Наименование системы теплоснабжения </v>
      </c>
      <c r="AQ45" s="613"/>
      <c r="AR45" s="613"/>
      <c r="AS45" s="1268">
        <v>23</v>
      </c>
    </row>
    <row customHeight="1" ht="22.049999999999997">
      <c r="A46" s="1476" t="s">
        <v>233</v>
      </c>
      <c r="B46" s="1476" t="s">
        <v>234</v>
      </c>
      <c r="C46" s="1476" t="s">
        <v>235</v>
      </c>
      <c r="D46" s="1476" t="s">
        <v>236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613"/>
      <c r="AP46" s="613" t="str">
        <f>IF(T46="","",T46)</f>
        <v>Источник тепловой энергии  </v>
      </c>
      <c r="AQ46" s="613"/>
      <c r="AR46" s="613"/>
      <c r="AS46" s="1268">
        <v>21</v>
      </c>
    </row>
    <row customHeight="1" ht="49.5">
      <c r="A47" s="1476" t="s">
        <v>233</v>
      </c>
      <c r="B47" s="1476" t="s">
        <v>234</v>
      </c>
      <c r="C47" s="1476" t="s">
        <v>235</v>
      </c>
      <c r="D47" s="1476" t="s">
        <v>236</v>
      </c>
      <c r="E47" s="2372"/>
      <c r="F47" s="2372"/>
      <c r="G47" s="2372"/>
      <c r="H47" s="2372"/>
      <c r="I47" s="2369" t="str">
        <f>S46&amp;".1"</f>
        <v>....1</v>
      </c>
      <c r="J47" s="1476"/>
      <c r="K47" s="1476"/>
      <c r="L47" s="1477" t="s">
        <v>558</v>
      </c>
      <c r="P47" s="2370">
        <v>1</v>
      </c>
      <c r="Q47" s="1444"/>
      <c r="R47" s="469"/>
      <c r="S47" s="1449" t="str">
        <f>$I47</f>
        <v>....1</v>
      </c>
      <c r="T47" s="398" t="s">
        <v>559</v>
      </c>
      <c r="U47" s="413"/>
      <c r="V47" s="2358"/>
      <c r="W47" s="2359"/>
      <c r="X47" s="2359"/>
      <c r="Y47" s="2359"/>
      <c r="Z47" s="2359"/>
      <c r="AA47" s="2359"/>
      <c r="AB47" s="2359"/>
      <c r="AC47" s="2360"/>
      <c r="AD47" s="2358"/>
      <c r="AE47" s="2359"/>
      <c r="AF47" s="2359"/>
      <c r="AG47" s="2359"/>
      <c r="AH47" s="2359"/>
      <c r="AI47" s="2359"/>
      <c r="AJ47" s="2359"/>
      <c r="AK47" s="2359"/>
      <c r="AL47" s="2360"/>
      <c r="AM47" s="1371" t="s">
        <v>560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233</v>
      </c>
      <c r="B48" s="1476" t="s">
        <v>234</v>
      </c>
      <c r="C48" s="1476" t="s">
        <v>235</v>
      </c>
      <c r="D48" s="1476" t="s">
        <v>236</v>
      </c>
      <c r="E48" s="2372"/>
      <c r="F48" s="2372"/>
      <c r="G48" s="2372"/>
      <c r="H48" s="2372"/>
      <c r="I48" s="2399"/>
      <c r="J48" s="2369" t="str">
        <f>I47&amp;".1"</f>
        <v>....1.1</v>
      </c>
      <c r="K48" s="1476"/>
      <c r="L48" s="1477" t="s">
        <v>561</v>
      </c>
      <c r="P48" s="2370"/>
      <c r="Q48" s="2370">
        <v>1</v>
      </c>
      <c r="R48" s="470"/>
      <c r="S48" s="1449" t="str">
        <f>$J48</f>
        <v>....1.1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613"/>
      <c r="AP48" s="613" t="str">
        <f>IF(T48="","",T48)</f>
        <v>Группа потребителей</v>
      </c>
      <c r="AQ48" s="613"/>
      <c r="AR48" s="613"/>
      <c r="AS48" s="1268">
        <v>21</v>
      </c>
    </row>
    <row customHeight="1" ht="22.049999999999997">
      <c r="A49" s="1476" t="s">
        <v>233</v>
      </c>
      <c r="B49" s="1476" t="s">
        <v>234</v>
      </c>
      <c r="C49" s="1476" t="s">
        <v>235</v>
      </c>
      <c r="D49" s="1476" t="s">
        <v>236</v>
      </c>
      <c r="E49" s="2372"/>
      <c r="F49" s="2372"/>
      <c r="G49" s="2372"/>
      <c r="H49" s="2372"/>
      <c r="I49" s="2399"/>
      <c r="J49" s="2399"/>
      <c r="K49" s="2369" t="str">
        <f>J48&amp;".1"</f>
        <v>....1.1.1</v>
      </c>
      <c r="L49" s="1477" t="s">
        <v>564</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565</v>
      </c>
      <c r="AN49" s="624">
        <f>STRCHECKDATE(V50:AL50)</f>
      </c>
      <c r="AO49" s="613"/>
      <c r="AP49" s="613" t="str">
        <f>IF(T49="","",T49)</f>
        <v/>
      </c>
      <c r="AQ49" s="613"/>
      <c r="AR49" s="613"/>
      <c r="AS49" s="1268">
        <v>21</v>
      </c>
    </row>
    <row customHeight="1" ht="1.05">
      <c r="A50" s="1476" t="s">
        <v>233</v>
      </c>
      <c r="B50" s="1476" t="s">
        <v>234</v>
      </c>
      <c r="C50" s="1476" t="s">
        <v>235</v>
      </c>
      <c r="D50" s="1476" t="s">
        <v>236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233</v>
      </c>
      <c r="B51" s="1476" t="s">
        <v>234</v>
      </c>
      <c r="C51" s="1476" t="s">
        <v>235</v>
      </c>
      <c r="D51" s="1476" t="s">
        <v>236</v>
      </c>
      <c r="E51" s="2372"/>
      <c r="F51" s="2372"/>
      <c r="G51" s="2372"/>
      <c r="H51" s="2372"/>
      <c r="I51" s="2399"/>
      <c r="J51" s="2369"/>
      <c r="K51" s="1476"/>
      <c r="L51" s="1477"/>
      <c r="P51" s="2370"/>
      <c r="Q51" s="2370"/>
      <c r="R51" s="469"/>
      <c r="S51" s="1391"/>
      <c r="T51" s="401" t="s">
        <v>566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233</v>
      </c>
      <c r="B52" s="1476" t="s">
        <v>234</v>
      </c>
      <c r="C52" s="1476" t="s">
        <v>235</v>
      </c>
      <c r="D52" s="1476" t="s">
        <v>236</v>
      </c>
      <c r="E52" s="2372"/>
      <c r="F52" s="2372"/>
      <c r="G52" s="2372"/>
      <c r="H52" s="2372"/>
      <c r="I52" s="2369"/>
      <c r="J52" s="1476"/>
      <c r="K52" s="1476"/>
      <c r="L52" s="1477"/>
      <c r="P52" s="2370"/>
      <c r="Q52" s="1444"/>
      <c r="R52" s="469"/>
      <c r="S52" s="1391"/>
      <c r="T52" s="400" t="s">
        <v>567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233</v>
      </c>
      <c r="B53" s="1476" t="s">
        <v>234</v>
      </c>
      <c r="C53" s="1476" t="s">
        <v>235</v>
      </c>
      <c r="D53" s="1476" t="s">
        <v>236</v>
      </c>
      <c r="E53" s="2372"/>
      <c r="F53" s="2372"/>
      <c r="G53" s="2372"/>
      <c r="H53" s="2371"/>
      <c r="I53" s="1476"/>
      <c r="J53" s="1476"/>
      <c r="K53" s="1476"/>
      <c r="L53" s="1477"/>
      <c r="M53" s="1478"/>
      <c r="N53" s="1478"/>
      <c r="O53" s="650"/>
      <c r="P53" s="473"/>
      <c r="Q53" s="488"/>
      <c r="R53" s="468"/>
      <c r="S53" s="1391"/>
      <c r="T53" s="478" t="s">
        <v>568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8192" customFormat="1" customHeight="1" ht="1.05">
      <c r="A54" s="1456" t="s">
        <v>233</v>
      </c>
      <c r="B54" s="1456" t="s">
        <v>234</v>
      </c>
      <c r="C54" s="1456" t="s">
        <v>235</v>
      </c>
      <c r="D54" s="1427"/>
      <c r="E54" s="2372"/>
      <c r="F54" s="2372"/>
      <c r="G54" s="2371"/>
      <c r="H54" s="1427"/>
      <c r="I54" s="1427"/>
      <c r="J54" s="1427"/>
      <c r="K54" s="1427"/>
      <c r="L54" s="1452"/>
      <c r="M54" s="1428"/>
      <c r="N54" s="142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192" customFormat="1" customHeight="1" ht="1.05">
      <c r="A55" s="1456" t="s">
        <v>233</v>
      </c>
      <c r="B55" s="1456" t="s">
        <v>234</v>
      </c>
      <c r="C55" s="1427"/>
      <c r="D55" s="1427"/>
      <c r="E55" s="2372"/>
      <c r="F55" s="2371"/>
      <c r="G55" s="1427"/>
      <c r="H55" s="1427"/>
      <c r="I55" s="1427"/>
      <c r="J55" s="1427"/>
      <c r="K55" s="1427"/>
      <c r="L55" s="1452"/>
      <c r="M55" s="1434"/>
      <c r="N55" s="143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192" customFormat="1" customHeight="1" ht="1.05">
      <c r="A56" s="1456" t="s">
        <v>233</v>
      </c>
      <c r="B56" s="1456"/>
      <c r="C56" s="1456"/>
      <c r="D56" s="1456"/>
      <c r="E56" s="2371"/>
      <c r="F56" s="1456"/>
      <c r="G56" s="1456"/>
      <c r="H56" s="1456"/>
      <c r="I56" s="1456"/>
      <c r="J56" s="1456"/>
      <c r="K56" s="1456"/>
      <c r="L56" s="1459"/>
      <c r="M56" s="1434"/>
      <c r="N56" s="1434"/>
      <c r="O56" s="631"/>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19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C9C4F-DE4E-B1D7-CECC-6A3BD3F30A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13" width="10.57421875" hidden="1"/>
    <col min="2" max="2" style="8113" width="11.00390625" hidden="1" customWidth="1"/>
    <col min="3" max="3" style="8113" width="10.57421875" hidden="1"/>
    <col min="4" max="4" style="8113" width="11.8515625" hidden="1" customWidth="1"/>
    <col min="5" max="5" style="8113" width="10.00390625" hidden="1" customWidth="1"/>
    <col min="6" max="6" style="8113" width="8.7109375" hidden="1" customWidth="1"/>
    <col min="7" max="7" style="8113" width="7.57421875" hidden="1" customWidth="1"/>
    <col min="8" max="8" style="8113" width="11.421875" hidden="1" customWidth="1"/>
    <col min="9" max="9" style="8113" width="12.00390625" hidden="1" customWidth="1"/>
    <col min="10" max="10" style="8113" width="9.8515625" hidden="1" customWidth="1"/>
    <col min="11" max="11" style="8113" width="11.421875" hidden="1" customWidth="1"/>
    <col min="12" max="12" style="8189" width="19.140625" hidden="1" customWidth="1"/>
    <col min="13" max="14" style="9045" width="12.28125" hidden="1" customWidth="1"/>
    <col min="15" max="15" style="9045" width="23.421875" hidden="1" customWidth="1"/>
    <col min="16" max="16" style="9045" width="3.00390625"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558</v>
      </c>
      <c r="M6" s="1748"/>
      <c r="P6" s="2370">
        <v>1</v>
      </c>
      <c r="Q6" s="2067"/>
      <c r="R6" s="469"/>
      <c r="S6" s="2071">
        <f>$I6</f>
      </c>
      <c r="T6" s="398" t="s">
        <v>559</v>
      </c>
      <c r="U6" s="413"/>
      <c r="V6" s="2358"/>
      <c r="W6" s="2359"/>
      <c r="X6" s="2359"/>
      <c r="Y6" s="2359"/>
      <c r="Z6" s="2359"/>
      <c r="AA6" s="2359"/>
      <c r="AB6" s="2359"/>
      <c r="AC6" s="2360"/>
      <c r="AD6" s="2358"/>
      <c r="AE6" s="2359"/>
      <c r="AF6" s="2359"/>
      <c r="AG6" s="2359"/>
      <c r="AH6" s="2359"/>
      <c r="AI6" s="2359"/>
      <c r="AJ6" s="2359"/>
      <c r="AK6" s="2359"/>
      <c r="AL6" s="2360"/>
      <c r="AM6" s="1371" t="s">
        <v>560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561</v>
      </c>
      <c r="M7" s="1748"/>
      <c r="N7" s="1744"/>
      <c r="P7" s="2370"/>
      <c r="Q7" s="2370">
        <v>1</v>
      </c>
      <c r="R7" s="470"/>
      <c r="S7" s="2071">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564</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566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567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568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19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19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19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191" customFormat="1" customHeight="1" ht="14.25" hidden="1">
      <c r="A20" s="1744"/>
      <c r="B20" s="1744"/>
      <c r="C20" s="1744"/>
      <c r="D20" s="1744"/>
      <c r="E20" s="1744"/>
      <c r="F20" s="1744"/>
      <c r="G20" s="1744"/>
      <c r="H20" s="1744"/>
      <c r="I20" s="1744"/>
      <c r="J20" s="1744"/>
      <c r="K20" s="1744"/>
      <c r="L20" s="2052"/>
      <c r="M20" s="2078"/>
      <c r="N20" s="2078"/>
      <c r="O20" s="1458" t="s">
        <v>569</v>
      </c>
      <c r="P20" s="1475"/>
      <c r="Q20" s="1484"/>
      <c r="R20" s="1484"/>
      <c r="S20" s="842"/>
      <c r="Z20" s="1480"/>
      <c r="AB20" s="1480"/>
      <c r="AH20" s="1480"/>
      <c r="AJ20" s="1480"/>
      <c r="AN20" s="1749"/>
      <c r="AO20" s="1749"/>
      <c r="AP20" s="1749"/>
      <c r="AQ20" s="1749"/>
      <c r="AR20" s="1749"/>
      <c r="AS20" s="1479">
        <v>0</v>
      </c>
    </row>
    <row s="819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191" customFormat="1" customHeight="1" ht="14.25" hidden="1">
      <c r="A22" s="1744"/>
      <c r="B22" s="1744"/>
      <c r="C22" s="1744"/>
      <c r="D22" s="1744"/>
      <c r="E22" s="1744"/>
      <c r="F22" s="1744"/>
      <c r="G22" s="1744"/>
      <c r="H22" s="1744"/>
      <c r="I22" s="1744"/>
      <c r="J22" s="1744"/>
      <c r="K22" s="1744"/>
      <c r="L22" s="2052"/>
      <c r="M22" s="2078"/>
      <c r="N22" s="2078"/>
      <c r="O22" s="1423" t="s">
        <v>570</v>
      </c>
      <c r="P22" s="1475"/>
      <c r="Q22" s="1484"/>
      <c r="R22" s="1484"/>
      <c r="S22" s="842"/>
      <c r="T22" s="1479" t="s">
        <v>571</v>
      </c>
      <c r="AA22" s="708" t="s">
        <v>572</v>
      </c>
      <c r="AC22" s="708" t="s">
        <v>573</v>
      </c>
      <c r="AD22" s="1479" t="s">
        <v>571</v>
      </c>
      <c r="AI22" s="708" t="s">
        <v>574</v>
      </c>
      <c r="AK22" s="708" t="s">
        <v>573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32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8328" customFormat="1" customHeight="1" ht="18.75" hidden="1">
      <c r="A30" s="1361"/>
      <c r="B30" s="1361"/>
      <c r="C30" s="1361"/>
      <c r="D30" s="1361"/>
      <c r="E30" s="1361"/>
      <c r="F30" s="1361"/>
      <c r="G30" s="1361"/>
      <c r="H30" s="1361"/>
      <c r="I30" s="1361"/>
      <c r="J30" s="1361"/>
      <c r="K30" s="1361"/>
      <c r="L30" s="1493"/>
      <c r="M30" s="1361"/>
      <c r="N30" s="1361"/>
      <c r="O30" s="1361"/>
      <c r="S30" s="2363" t="s">
        <v>575</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8328" customFormat="1" customHeight="1" ht="18.75" hidden="1">
      <c r="A31" s="1361"/>
      <c r="B31" s="1361"/>
      <c r="C31" s="1361"/>
      <c r="D31" s="1361"/>
      <c r="E31" s="1361"/>
      <c r="F31" s="1361"/>
      <c r="G31" s="1361"/>
      <c r="H31" s="1361"/>
      <c r="I31" s="1361"/>
      <c r="J31" s="1361"/>
      <c r="K31" s="1361"/>
      <c r="L31" s="1493"/>
      <c r="M31" s="1361"/>
      <c r="N31" s="1361"/>
      <c r="O31" s="1361"/>
      <c r="S31" s="2363" t="s">
        <v>576</v>
      </c>
      <c r="T31" s="2363"/>
      <c r="U31" s="1485"/>
      <c r="V31" s="2364" t="str">
        <f>IF(TITLE_NUMBER_PR_CHANGE="",IF(TITLE_NUMBER_PR="","",TITLE_NUMBER_PR),TITLE_NUMBER_PR_CHANGE)</f>
        <v>51/111</v>
      </c>
      <c r="W31" s="2364"/>
      <c r="X31" s="2364"/>
      <c r="Y31" s="2364"/>
      <c r="Z31" s="2364"/>
      <c r="AA31" s="2364"/>
      <c r="AB31" s="2364"/>
      <c r="AC31" s="1748"/>
      <c r="AD31" s="2364" t="str">
        <f>IF(TITLE_NUMBER_PR_CHANGE="",IF(TITLE_NUMBER_PR="","",TITLE_NUMBER_PR),TITLE_NUMBER_PR_CHANGE)</f>
        <v>51/111</v>
      </c>
      <c r="AE31" s="2364"/>
      <c r="AF31" s="2364"/>
      <c r="AG31" s="2364"/>
      <c r="AH31" s="2364"/>
      <c r="AI31" s="2364"/>
      <c r="AJ31" s="2364"/>
      <c r="AK31" s="1748"/>
      <c r="AL31" s="1748"/>
      <c r="AM31" s="393"/>
      <c r="AN31" s="481"/>
      <c r="AO31" s="481"/>
      <c r="AP31" s="481"/>
      <c r="AQ31" s="481"/>
      <c r="AR31" s="481"/>
      <c r="AS31" s="531">
        <v>0</v>
      </c>
    </row>
    <row s="832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1748"/>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328" customFormat="1" customHeight="1" ht="18.75" hidden="1">
      <c r="A34" s="1361"/>
      <c r="B34" s="1361"/>
      <c r="C34" s="1361"/>
      <c r="D34" s="1361"/>
      <c r="E34" s="1361"/>
      <c r="F34" s="1361"/>
      <c r="G34" s="1361"/>
      <c r="H34" s="1361"/>
      <c r="I34" s="1361"/>
      <c r="J34" s="1361"/>
      <c r="K34" s="1361"/>
      <c r="L34" s="1493"/>
      <c r="M34" s="1361"/>
      <c r="N34" s="1361"/>
      <c r="O34" s="1361"/>
      <c r="S34" s="2363" t="s">
        <v>577</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8328" customFormat="1" customHeight="1" ht="18.75" hidden="1">
      <c r="A35" s="1361"/>
      <c r="B35" s="1361"/>
      <c r="C35" s="1361"/>
      <c r="D35" s="1361"/>
      <c r="E35" s="1361"/>
      <c r="F35" s="1361"/>
      <c r="G35" s="1361"/>
      <c r="H35" s="1361"/>
      <c r="I35" s="1361"/>
      <c r="J35" s="1361"/>
      <c r="K35" s="1361"/>
      <c r="L35" s="1493"/>
      <c r="M35" s="1361"/>
      <c r="N35" s="1361"/>
      <c r="O35" s="1361"/>
      <c r="S35" s="2363" t="s">
        <v>578</v>
      </c>
      <c r="T35" s="2363"/>
      <c r="U35" s="1485"/>
      <c r="V35" s="2364" t="str">
        <f>IF(TITLE_NUMBER_PR_CHANGE="",IF(TITLE_NUMBER_PR="","",TITLE_NUMBER_PR),TITLE_NUMBER_PR_CHANGE)</f>
        <v>51/111</v>
      </c>
      <c r="W35" s="2364"/>
      <c r="X35" s="2364"/>
      <c r="Y35" s="2364"/>
      <c r="Z35" s="2364"/>
      <c r="AA35" s="2364"/>
      <c r="AB35" s="2364"/>
      <c r="AC35" s="1748"/>
      <c r="AD35" s="2364" t="str">
        <f>IF(TITLE_NUMBER_PR_CHANGE="",IF(TITLE_NUMBER_PR="","",TITLE_NUMBER_PR),TITLE_NUMBER_PR_CHANGE)</f>
        <v>51/111</v>
      </c>
      <c r="AE35" s="2364"/>
      <c r="AF35" s="2364"/>
      <c r="AG35" s="2364"/>
      <c r="AH35" s="2364"/>
      <c r="AI35" s="2364"/>
      <c r="AJ35" s="2364"/>
      <c r="AK35" s="1748"/>
      <c r="AL35" s="1748"/>
      <c r="AM35" s="393"/>
      <c r="AN35" s="481"/>
      <c r="AO35" s="481"/>
      <c r="AP35" s="481"/>
      <c r="AQ35" s="481"/>
      <c r="AR35" s="481"/>
      <c r="AS35" s="531">
        <v>0</v>
      </c>
    </row>
    <row s="832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579</v>
      </c>
      <c r="AD36" s="1748"/>
      <c r="AE36" s="1748"/>
      <c r="AF36" s="1748"/>
      <c r="AG36" s="1748"/>
      <c r="AH36" s="1748"/>
      <c r="AI36" s="1748"/>
      <c r="AJ36" s="1748"/>
      <c r="AK36" s="1755" t="s">
        <v>579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744">
        <v>14</v>
      </c>
    </row>
    <row customHeight="1" ht="14.699999999999998">
      <c r="Q39" s="489"/>
      <c r="R39" s="489"/>
      <c r="S39" s="2386" t="s">
        <v>90</v>
      </c>
      <c r="T39" s="2322" t="s">
        <v>580</v>
      </c>
      <c r="U39" s="450"/>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744">
        <v>14</v>
      </c>
    </row>
    <row customHeight="1" ht="35.699999999999996">
      <c r="Q40" s="489"/>
      <c r="R40" s="489"/>
      <c r="S40" s="2386"/>
      <c r="T40" s="2322"/>
      <c r="U40" s="1144"/>
      <c r="V40" s="2373" t="s">
        <v>585</v>
      </c>
      <c r="W40" s="2396" t="s">
        <v>586</v>
      </c>
      <c r="X40" s="2375" t="s">
        <v>587</v>
      </c>
      <c r="Y40" s="2376"/>
      <c r="Z40" s="2375" t="s">
        <v>600</v>
      </c>
      <c r="AA40" s="2382"/>
      <c r="AB40" s="2376"/>
      <c r="AC40" s="2391"/>
      <c r="AD40" s="2373" t="s">
        <v>585</v>
      </c>
      <c r="AE40" s="2396" t="s">
        <v>586</v>
      </c>
      <c r="AF40" s="2375" t="s">
        <v>587</v>
      </c>
      <c r="AG40" s="2376"/>
      <c r="AH40" s="2375" t="s">
        <v>588</v>
      </c>
      <c r="AI40" s="2382"/>
      <c r="AJ40" s="2376"/>
      <c r="AK40" s="2391"/>
      <c r="AL40" s="2394"/>
      <c r="AM40" s="2240"/>
      <c r="AS40" s="1744">
        <v>34</v>
      </c>
    </row>
    <row customHeight="1" ht="35.699999999999996">
      <c r="A41" s="1379"/>
      <c r="B41" s="1379" t="s">
        <v>212</v>
      </c>
      <c r="C41" s="1379" t="s">
        <v>213</v>
      </c>
      <c r="D41" s="1379" t="s">
        <v>214</v>
      </c>
      <c r="E41" s="1423" t="s">
        <v>589</v>
      </c>
      <c r="F41" s="1423" t="s">
        <v>590</v>
      </c>
      <c r="G41" s="1423" t="s">
        <v>591</v>
      </c>
      <c r="H41" s="1423" t="s">
        <v>592</v>
      </c>
      <c r="I41" s="1423" t="s">
        <v>593</v>
      </c>
      <c r="J41" s="1423" t="s">
        <v>594</v>
      </c>
      <c r="K41" s="1423" t="s">
        <v>595</v>
      </c>
      <c r="L41" s="1423" t="s">
        <v>570</v>
      </c>
      <c r="Q41" s="489"/>
      <c r="R41" s="489"/>
      <c r="S41" s="2386"/>
      <c r="T41" s="2322"/>
      <c r="U41" s="415"/>
      <c r="V41" s="2374"/>
      <c r="W41" s="2397"/>
      <c r="X41" s="2051" t="s">
        <v>596</v>
      </c>
      <c r="Y41" s="2051" t="s">
        <v>597</v>
      </c>
      <c r="Z41" s="2051" t="s">
        <v>598</v>
      </c>
      <c r="AA41" s="2383" t="s">
        <v>599</v>
      </c>
      <c r="AB41" s="2384"/>
      <c r="AC41" s="2392"/>
      <c r="AD41" s="2374"/>
      <c r="AE41" s="2397"/>
      <c r="AF41" s="2051" t="s">
        <v>596</v>
      </c>
      <c r="AG41" s="2051" t="s">
        <v>597</v>
      </c>
      <c r="AH41" s="2051" t="s">
        <v>598</v>
      </c>
      <c r="AI41" s="2383" t="s">
        <v>599</v>
      </c>
      <c r="AJ41" s="2384"/>
      <c r="AK41" s="2392"/>
      <c r="AL41" s="2395"/>
      <c r="AM41" s="2240"/>
      <c r="AS41" s="1744">
        <v>34</v>
      </c>
    </row>
    <row s="88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155</v>
      </c>
      <c r="T42" s="1368" t="s">
        <v>105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367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367</v>
      </c>
      <c r="B44" s="1380" t="s">
        <v>368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1737"/>
      <c r="AP44" s="1737" t="str">
        <f>IF(T44="","",T44)</f>
        <v>Территория действия тарифа</v>
      </c>
      <c r="AQ44" s="1737"/>
      <c r="AR44" s="1737"/>
      <c r="AS44" s="1744">
        <v>21</v>
      </c>
    </row>
    <row customHeight="1" ht="24">
      <c r="A45" s="1380" t="s">
        <v>367</v>
      </c>
      <c r="B45" s="1380" t="s">
        <v>368</v>
      </c>
      <c r="C45" s="1380" t="s">
        <v>369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1737"/>
      <c r="AP45" s="1737" t="str">
        <f>IF(T45="","",T45)</f>
        <v>Наименование системы теплоснабжения </v>
      </c>
      <c r="AQ45" s="1737"/>
      <c r="AR45" s="1737"/>
      <c r="AS45" s="1744">
        <v>23</v>
      </c>
    </row>
    <row customHeight="1" ht="22.049999999999997">
      <c r="A46" s="1380" t="s">
        <v>367</v>
      </c>
      <c r="B46" s="1380" t="s">
        <v>368</v>
      </c>
      <c r="C46" s="1380" t="s">
        <v>369</v>
      </c>
      <c r="D46" s="1380" t="s">
        <v>370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1737"/>
      <c r="AP46" s="1737" t="str">
        <f>IF(T46="","",T46)</f>
        <v>Источник тепловой энергии  </v>
      </c>
      <c r="AQ46" s="1737"/>
      <c r="AR46" s="1737"/>
      <c r="AS46" s="1744">
        <v>21</v>
      </c>
    </row>
    <row customHeight="1" ht="49.5">
      <c r="A47" s="1380" t="s">
        <v>367</v>
      </c>
      <c r="B47" s="1380" t="s">
        <v>368</v>
      </c>
      <c r="C47" s="1380" t="s">
        <v>369</v>
      </c>
      <c r="D47" s="1380" t="s">
        <v>370</v>
      </c>
      <c r="E47" s="2403"/>
      <c r="F47" s="2403"/>
      <c r="G47" s="2403"/>
      <c r="H47" s="2403"/>
      <c r="I47" s="2240" t="str">
        <f>S46&amp;".1"</f>
        <v>....1</v>
      </c>
      <c r="J47" s="1380"/>
      <c r="K47" s="1380"/>
      <c r="L47" s="1423" t="s">
        <v>558</v>
      </c>
      <c r="P47" s="2370">
        <v>1</v>
      </c>
      <c r="Q47" s="2067"/>
      <c r="R47" s="469"/>
      <c r="S47" s="2071" t="str">
        <f>$I47</f>
        <v>....1</v>
      </c>
      <c r="T47" s="398" t="s">
        <v>559</v>
      </c>
      <c r="U47" s="413"/>
      <c r="V47" s="2358"/>
      <c r="W47" s="2359"/>
      <c r="X47" s="2359"/>
      <c r="Y47" s="2359"/>
      <c r="Z47" s="2359"/>
      <c r="AA47" s="2359"/>
      <c r="AB47" s="2359"/>
      <c r="AC47" s="2360"/>
      <c r="AD47" s="2358"/>
      <c r="AE47" s="2359"/>
      <c r="AF47" s="2359"/>
      <c r="AG47" s="2359"/>
      <c r="AH47" s="2359"/>
      <c r="AI47" s="2359"/>
      <c r="AJ47" s="2359"/>
      <c r="AK47" s="2359"/>
      <c r="AL47" s="2360"/>
      <c r="AM47" s="1371" t="s">
        <v>560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367</v>
      </c>
      <c r="B48" s="1380" t="s">
        <v>368</v>
      </c>
      <c r="C48" s="1380" t="s">
        <v>369</v>
      </c>
      <c r="D48" s="1380" t="s">
        <v>370</v>
      </c>
      <c r="E48" s="2403"/>
      <c r="F48" s="2403"/>
      <c r="G48" s="2403"/>
      <c r="H48" s="2403"/>
      <c r="I48" s="2214"/>
      <c r="J48" s="2240" t="str">
        <f>I47&amp;".1"</f>
        <v>....1.1</v>
      </c>
      <c r="K48" s="1380"/>
      <c r="L48" s="1423" t="s">
        <v>561</v>
      </c>
      <c r="P48" s="2370"/>
      <c r="Q48" s="2370">
        <v>1</v>
      </c>
      <c r="R48" s="470"/>
      <c r="S48" s="2071" t="str">
        <f>$J48</f>
        <v>....1.1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1737"/>
      <c r="AP48" s="1737" t="str">
        <f>IF(T48="","",T48)</f>
        <v>Группа потребителей</v>
      </c>
      <c r="AQ48" s="1737"/>
      <c r="AR48" s="1737"/>
      <c r="AS48" s="1744">
        <v>21</v>
      </c>
    </row>
    <row customHeight="1" ht="22.049999999999997">
      <c r="A49" s="1380" t="s">
        <v>367</v>
      </c>
      <c r="B49" s="1380" t="s">
        <v>368</v>
      </c>
      <c r="C49" s="1380" t="s">
        <v>369</v>
      </c>
      <c r="D49" s="1380" t="s">
        <v>370</v>
      </c>
      <c r="E49" s="2403"/>
      <c r="F49" s="2403"/>
      <c r="G49" s="2403"/>
      <c r="H49" s="2403"/>
      <c r="I49" s="2214"/>
      <c r="J49" s="2214"/>
      <c r="K49" s="2240" t="str">
        <f>J48&amp;".1"</f>
        <v>....1.1.1</v>
      </c>
      <c r="L49" s="1423" t="s">
        <v>564</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565</v>
      </c>
      <c r="AN49" s="1749">
        <f>STRCHECKDATE(V50:AL50)</f>
      </c>
      <c r="AO49" s="1737"/>
      <c r="AP49" s="1737" t="str">
        <f>IF(T49="","",T49)</f>
        <v/>
      </c>
      <c r="AQ49" s="1737"/>
      <c r="AR49" s="1737"/>
      <c r="AS49" s="1744">
        <v>21</v>
      </c>
    </row>
    <row customHeight="1" ht="1.05">
      <c r="A50" s="1380" t="s">
        <v>367</v>
      </c>
      <c r="B50" s="1380" t="s">
        <v>368</v>
      </c>
      <c r="C50" s="1380" t="s">
        <v>369</v>
      </c>
      <c r="D50" s="1380" t="s">
        <v>370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367</v>
      </c>
      <c r="B51" s="1380" t="s">
        <v>368</v>
      </c>
      <c r="C51" s="1380" t="s">
        <v>369</v>
      </c>
      <c r="D51" s="1380" t="s">
        <v>370</v>
      </c>
      <c r="E51" s="2403"/>
      <c r="F51" s="2403"/>
      <c r="G51" s="2403"/>
      <c r="H51" s="2403"/>
      <c r="I51" s="2214"/>
      <c r="J51" s="2240"/>
      <c r="K51" s="1380"/>
      <c r="L51" s="1423"/>
      <c r="P51" s="2370"/>
      <c r="Q51" s="2370"/>
      <c r="R51" s="469"/>
      <c r="S51" s="1391"/>
      <c r="T51" s="401" t="s">
        <v>566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367</v>
      </c>
      <c r="B52" s="1380" t="s">
        <v>368</v>
      </c>
      <c r="C52" s="1380" t="s">
        <v>369</v>
      </c>
      <c r="D52" s="1380" t="s">
        <v>370</v>
      </c>
      <c r="E52" s="2403"/>
      <c r="F52" s="2403"/>
      <c r="G52" s="2403"/>
      <c r="H52" s="2403"/>
      <c r="I52" s="2240"/>
      <c r="J52" s="1380"/>
      <c r="K52" s="1380"/>
      <c r="L52" s="1423"/>
      <c r="P52" s="2370"/>
      <c r="Q52" s="2067"/>
      <c r="R52" s="469"/>
      <c r="S52" s="1391"/>
      <c r="T52" s="400" t="s">
        <v>567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367</v>
      </c>
      <c r="B53" s="1380" t="s">
        <v>368</v>
      </c>
      <c r="C53" s="1380" t="s">
        <v>369</v>
      </c>
      <c r="D53" s="1380" t="s">
        <v>370</v>
      </c>
      <c r="E53" s="2403"/>
      <c r="F53" s="2403"/>
      <c r="G53" s="2403"/>
      <c r="H53" s="2402"/>
      <c r="I53" s="1380"/>
      <c r="J53" s="1380"/>
      <c r="K53" s="1380"/>
      <c r="L53" s="1423"/>
      <c r="M53" s="1723"/>
      <c r="N53" s="1723"/>
      <c r="O53" s="1748"/>
      <c r="P53" s="473"/>
      <c r="Q53" s="488"/>
      <c r="R53" s="468"/>
      <c r="S53" s="1391"/>
      <c r="T53" s="478" t="s">
        <v>568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192" customFormat="1" customHeight="1" ht="4.2">
      <c r="A54" s="1488" t="s">
        <v>367</v>
      </c>
      <c r="B54" s="1488" t="s">
        <v>368</v>
      </c>
      <c r="C54" s="1488" t="s">
        <v>369</v>
      </c>
      <c r="D54" s="1487"/>
      <c r="E54" s="2403"/>
      <c r="F54" s="2403"/>
      <c r="G54" s="2402"/>
      <c r="H54" s="1487"/>
      <c r="I54" s="1487"/>
      <c r="J54" s="1487"/>
      <c r="K54" s="1487"/>
      <c r="L54" s="1490"/>
      <c r="M54" s="1491"/>
      <c r="N54" s="1491"/>
      <c r="O54" s="464"/>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8192" customFormat="1" customHeight="1" ht="4.2">
      <c r="A55" s="1488" t="s">
        <v>367</v>
      </c>
      <c r="B55" s="1488" t="s">
        <v>368</v>
      </c>
      <c r="C55" s="1487"/>
      <c r="D55" s="1487"/>
      <c r="E55" s="2403"/>
      <c r="F55" s="2402"/>
      <c r="G55" s="1487"/>
      <c r="H55" s="1487"/>
      <c r="I55" s="1487"/>
      <c r="J55" s="1487"/>
      <c r="K55" s="1487"/>
      <c r="L55" s="1490"/>
      <c r="M55" s="1492"/>
      <c r="N55" s="1492"/>
      <c r="O55" s="46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8192" customFormat="1" customHeight="1" ht="4.2">
      <c r="A56" s="1488" t="s">
        <v>367</v>
      </c>
      <c r="B56" s="1488"/>
      <c r="C56" s="1488"/>
      <c r="D56" s="1488"/>
      <c r="E56" s="2402"/>
      <c r="F56" s="1488"/>
      <c r="G56" s="1488"/>
      <c r="H56" s="1488"/>
      <c r="I56" s="1488"/>
      <c r="J56" s="1488"/>
      <c r="K56" s="1488"/>
      <c r="L56" s="1494"/>
      <c r="M56" s="1492"/>
      <c r="N56" s="1492"/>
      <c r="O56" s="464"/>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819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ED238-2963-8FA2-903C-043E1EFDDE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13" width="10.57421875" hidden="1"/>
    <col min="2" max="2" style="8113" width="11.00390625" hidden="1" customWidth="1"/>
    <col min="3" max="3" style="8113" width="10.57421875" hidden="1"/>
    <col min="4" max="4" style="8113" width="11.8515625" hidden="1" customWidth="1"/>
    <col min="5" max="5" style="8113" width="10.00390625" hidden="1" customWidth="1"/>
    <col min="6" max="6" style="8113" width="8.7109375" hidden="1" customWidth="1"/>
    <col min="7" max="7" style="8113" width="7.57421875" hidden="1" customWidth="1"/>
    <col min="8" max="8" style="8113" width="11.421875" hidden="1" customWidth="1"/>
    <col min="9" max="9" style="8113" width="12.00390625" hidden="1" customWidth="1"/>
    <col min="10" max="10" style="8113" width="9.8515625" hidden="1" customWidth="1"/>
    <col min="11" max="11" style="8113" width="11.421875" hidden="1" customWidth="1"/>
    <col min="12" max="12" style="8189" width="19.140625" hidden="1" customWidth="1"/>
    <col min="13" max="14" style="9045" width="12.28125" hidden="1" customWidth="1"/>
    <col min="15" max="15" style="9045" width="23.421875" hidden="1" customWidth="1"/>
    <col min="16" max="16" style="9045" width="3.00390625"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558</v>
      </c>
      <c r="M6" s="1748"/>
      <c r="P6" s="2370">
        <v>1</v>
      </c>
      <c r="Q6" s="2067"/>
      <c r="R6" s="469"/>
      <c r="S6" s="2071">
        <f>$I6</f>
      </c>
      <c r="T6" s="398" t="s">
        <v>559</v>
      </c>
      <c r="U6" s="413"/>
      <c r="V6" s="2358"/>
      <c r="W6" s="2359"/>
      <c r="X6" s="2359"/>
      <c r="Y6" s="2359"/>
      <c r="Z6" s="2359"/>
      <c r="AA6" s="2359"/>
      <c r="AB6" s="2359"/>
      <c r="AC6" s="2360"/>
      <c r="AD6" s="2358"/>
      <c r="AE6" s="2359"/>
      <c r="AF6" s="2359"/>
      <c r="AG6" s="2359"/>
      <c r="AH6" s="2359"/>
      <c r="AI6" s="2359"/>
      <c r="AJ6" s="2359"/>
      <c r="AK6" s="2359"/>
      <c r="AL6" s="2360"/>
      <c r="AM6" s="1371" t="s">
        <v>560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561</v>
      </c>
      <c r="M7" s="1748"/>
      <c r="N7" s="1744"/>
      <c r="P7" s="2370"/>
      <c r="Q7" s="2370">
        <v>1</v>
      </c>
      <c r="R7" s="470"/>
      <c r="S7" s="2071">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564</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566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567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568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819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819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819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8191" customFormat="1" customHeight="1" ht="14.25" hidden="1">
      <c r="A20" s="1744"/>
      <c r="B20" s="1744"/>
      <c r="C20" s="1744"/>
      <c r="D20" s="1744"/>
      <c r="E20" s="1744"/>
      <c r="F20" s="1744"/>
      <c r="G20" s="1744"/>
      <c r="H20" s="1744"/>
      <c r="I20" s="1744"/>
      <c r="J20" s="1744"/>
      <c r="K20" s="1744"/>
      <c r="L20" s="2052"/>
      <c r="M20" s="2078"/>
      <c r="N20" s="2078"/>
      <c r="O20" s="1458" t="s">
        <v>569</v>
      </c>
      <c r="P20" s="1475"/>
      <c r="Q20" s="1484"/>
      <c r="R20" s="1484"/>
      <c r="S20" s="842"/>
      <c r="Z20" s="1480"/>
      <c r="AB20" s="1480"/>
      <c r="AH20" s="1480"/>
      <c r="AJ20" s="1480"/>
      <c r="AN20" s="1749"/>
      <c r="AO20" s="1749"/>
      <c r="AP20" s="1749"/>
      <c r="AQ20" s="1749"/>
      <c r="AR20" s="1749"/>
      <c r="AS20" s="1479">
        <v>0</v>
      </c>
    </row>
    <row s="819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8191" customFormat="1" customHeight="1" ht="14.25" hidden="1">
      <c r="A22" s="1744"/>
      <c r="B22" s="1744"/>
      <c r="C22" s="1744"/>
      <c r="D22" s="1744"/>
      <c r="E22" s="1744"/>
      <c r="F22" s="1744"/>
      <c r="G22" s="1744"/>
      <c r="H22" s="1744"/>
      <c r="I22" s="1744"/>
      <c r="J22" s="1744"/>
      <c r="K22" s="1744"/>
      <c r="L22" s="2052"/>
      <c r="M22" s="2078"/>
      <c r="N22" s="2078"/>
      <c r="O22" s="1423" t="s">
        <v>570</v>
      </c>
      <c r="P22" s="1475"/>
      <c r="Q22" s="1484"/>
      <c r="R22" s="1484"/>
      <c r="S22" s="842"/>
      <c r="T22" s="1479" t="s">
        <v>571</v>
      </c>
      <c r="AA22" s="708" t="s">
        <v>572</v>
      </c>
      <c r="AC22" s="708" t="s">
        <v>573</v>
      </c>
      <c r="AD22" s="1479" t="s">
        <v>571</v>
      </c>
      <c r="AI22" s="708" t="s">
        <v>574</v>
      </c>
      <c r="AK22" s="708" t="s">
        <v>573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832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8328" customFormat="1" customHeight="1" ht="18.75" hidden="1">
      <c r="A30" s="1361"/>
      <c r="B30" s="1361"/>
      <c r="C30" s="1361"/>
      <c r="D30" s="1361"/>
      <c r="E30" s="1361"/>
      <c r="F30" s="1361"/>
      <c r="G30" s="1361"/>
      <c r="H30" s="1361"/>
      <c r="I30" s="1361"/>
      <c r="J30" s="1361"/>
      <c r="K30" s="1361"/>
      <c r="L30" s="1493"/>
      <c r="M30" s="1361"/>
      <c r="N30" s="1361"/>
      <c r="O30" s="1361"/>
      <c r="S30" s="2363" t="s">
        <v>575</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8328" customFormat="1" customHeight="1" ht="18.75" hidden="1">
      <c r="A31" s="1361"/>
      <c r="B31" s="1361"/>
      <c r="C31" s="1361"/>
      <c r="D31" s="1361"/>
      <c r="E31" s="1361"/>
      <c r="F31" s="1361"/>
      <c r="G31" s="1361"/>
      <c r="H31" s="1361"/>
      <c r="I31" s="1361"/>
      <c r="J31" s="1361"/>
      <c r="K31" s="1361"/>
      <c r="L31" s="1493"/>
      <c r="M31" s="1361"/>
      <c r="N31" s="1361"/>
      <c r="O31" s="1361"/>
      <c r="S31" s="2363" t="s">
        <v>576</v>
      </c>
      <c r="T31" s="2363"/>
      <c r="U31" s="1485"/>
      <c r="V31" s="2364" t="str">
        <f>IF(TITLE_NUMBER_PR_CHANGE="",IF(TITLE_NUMBER_PR="","",TITLE_NUMBER_PR),TITLE_NUMBER_PR_CHANGE)</f>
        <v>51/111</v>
      </c>
      <c r="W31" s="2364"/>
      <c r="X31" s="2364"/>
      <c r="Y31" s="2364"/>
      <c r="Z31" s="2364"/>
      <c r="AA31" s="2364"/>
      <c r="AB31" s="2364"/>
      <c r="AC31" s="1748"/>
      <c r="AD31" s="2364" t="str">
        <f>IF(TITLE_NUMBER_PR_CHANGE="",IF(TITLE_NUMBER_PR="","",TITLE_NUMBER_PR),TITLE_NUMBER_PR_CHANGE)</f>
        <v>51/111</v>
      </c>
      <c r="AE31" s="2364"/>
      <c r="AF31" s="2364"/>
      <c r="AG31" s="2364"/>
      <c r="AH31" s="2364"/>
      <c r="AI31" s="2364"/>
      <c r="AJ31" s="2364"/>
      <c r="AK31" s="1748"/>
      <c r="AL31" s="1748"/>
      <c r="AM31" s="393"/>
      <c r="AN31" s="481"/>
      <c r="AO31" s="481"/>
      <c r="AP31" s="481"/>
      <c r="AQ31" s="481"/>
      <c r="AR31" s="481"/>
      <c r="AS31" s="531">
        <v>0</v>
      </c>
    </row>
    <row s="8328"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1748"/>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8328" customFormat="1" customHeight="1" ht="18.75" hidden="1">
      <c r="A34" s="1361"/>
      <c r="B34" s="1361"/>
      <c r="C34" s="1361"/>
      <c r="D34" s="1361"/>
      <c r="E34" s="1361"/>
      <c r="F34" s="1361"/>
      <c r="G34" s="1361"/>
      <c r="H34" s="1361"/>
      <c r="I34" s="1361"/>
      <c r="J34" s="1361"/>
      <c r="K34" s="1361"/>
      <c r="L34" s="1493"/>
      <c r="M34" s="1361"/>
      <c r="N34" s="1361"/>
      <c r="O34" s="1361"/>
      <c r="S34" s="2363" t="s">
        <v>577</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8328" customFormat="1" customHeight="1" ht="18.75" hidden="1">
      <c r="A35" s="1361"/>
      <c r="B35" s="1361"/>
      <c r="C35" s="1361"/>
      <c r="D35" s="1361"/>
      <c r="E35" s="1361"/>
      <c r="F35" s="1361"/>
      <c r="G35" s="1361"/>
      <c r="H35" s="1361"/>
      <c r="I35" s="1361"/>
      <c r="J35" s="1361"/>
      <c r="K35" s="1361"/>
      <c r="L35" s="1493"/>
      <c r="M35" s="1361"/>
      <c r="N35" s="1361"/>
      <c r="O35" s="1361"/>
      <c r="S35" s="2363" t="s">
        <v>578</v>
      </c>
      <c r="T35" s="2363"/>
      <c r="U35" s="1485"/>
      <c r="V35" s="2364" t="str">
        <f>IF(TITLE_NUMBER_PR_CHANGE="",IF(TITLE_NUMBER_PR="","",TITLE_NUMBER_PR),TITLE_NUMBER_PR_CHANGE)</f>
        <v>51/111</v>
      </c>
      <c r="W35" s="2364"/>
      <c r="X35" s="2364"/>
      <c r="Y35" s="2364"/>
      <c r="Z35" s="2364"/>
      <c r="AA35" s="2364"/>
      <c r="AB35" s="2364"/>
      <c r="AC35" s="1748"/>
      <c r="AD35" s="2364" t="str">
        <f>IF(TITLE_NUMBER_PR_CHANGE="",IF(TITLE_NUMBER_PR="","",TITLE_NUMBER_PR),TITLE_NUMBER_PR_CHANGE)</f>
        <v>51/111</v>
      </c>
      <c r="AE35" s="2364"/>
      <c r="AF35" s="2364"/>
      <c r="AG35" s="2364"/>
      <c r="AH35" s="2364"/>
      <c r="AI35" s="2364"/>
      <c r="AJ35" s="2364"/>
      <c r="AK35" s="1748"/>
      <c r="AL35" s="1748"/>
      <c r="AM35" s="393"/>
      <c r="AN35" s="481"/>
      <c r="AO35" s="481"/>
      <c r="AP35" s="481"/>
      <c r="AQ35" s="481"/>
      <c r="AR35" s="481"/>
      <c r="AS35" s="531">
        <v>0</v>
      </c>
    </row>
    <row s="832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579</v>
      </c>
      <c r="AD36" s="1748"/>
      <c r="AE36" s="1748"/>
      <c r="AF36" s="1748"/>
      <c r="AG36" s="1748"/>
      <c r="AH36" s="1748"/>
      <c r="AI36" s="1748"/>
      <c r="AJ36" s="1748"/>
      <c r="AK36" s="1755" t="s">
        <v>579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744">
        <v>14</v>
      </c>
    </row>
    <row customHeight="1" ht="14.699999999999998">
      <c r="Q39" s="489"/>
      <c r="R39" s="489"/>
      <c r="S39" s="2386" t="s">
        <v>90</v>
      </c>
      <c r="T39" s="2322" t="s">
        <v>580</v>
      </c>
      <c r="U39" s="450"/>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744">
        <v>14</v>
      </c>
    </row>
    <row customHeight="1" ht="35.699999999999996">
      <c r="Q40" s="489"/>
      <c r="R40" s="489"/>
      <c r="S40" s="2386"/>
      <c r="T40" s="2322"/>
      <c r="U40" s="1144"/>
      <c r="V40" s="2373" t="s">
        <v>585</v>
      </c>
      <c r="W40" s="2396" t="s">
        <v>586</v>
      </c>
      <c r="X40" s="2375" t="s">
        <v>587</v>
      </c>
      <c r="Y40" s="2376"/>
      <c r="Z40" s="2375" t="s">
        <v>600</v>
      </c>
      <c r="AA40" s="2382"/>
      <c r="AB40" s="2376"/>
      <c r="AC40" s="2391"/>
      <c r="AD40" s="2373" t="s">
        <v>585</v>
      </c>
      <c r="AE40" s="2396" t="s">
        <v>586</v>
      </c>
      <c r="AF40" s="2375" t="s">
        <v>587</v>
      </c>
      <c r="AG40" s="2376"/>
      <c r="AH40" s="2375" t="s">
        <v>588</v>
      </c>
      <c r="AI40" s="2382"/>
      <c r="AJ40" s="2376"/>
      <c r="AK40" s="2391"/>
      <c r="AL40" s="2394"/>
      <c r="AM40" s="2240"/>
      <c r="AS40" s="1744">
        <v>34</v>
      </c>
    </row>
    <row customHeight="1" ht="35.699999999999996">
      <c r="A41" s="1379"/>
      <c r="B41" s="1379" t="s">
        <v>212</v>
      </c>
      <c r="C41" s="1379" t="s">
        <v>213</v>
      </c>
      <c r="D41" s="1379" t="s">
        <v>214</v>
      </c>
      <c r="E41" s="1423" t="s">
        <v>589</v>
      </c>
      <c r="F41" s="1423" t="s">
        <v>590</v>
      </c>
      <c r="G41" s="1423" t="s">
        <v>591</v>
      </c>
      <c r="H41" s="1423" t="s">
        <v>592</v>
      </c>
      <c r="I41" s="1423" t="s">
        <v>593</v>
      </c>
      <c r="J41" s="1423" t="s">
        <v>594</v>
      </c>
      <c r="K41" s="1423" t="s">
        <v>595</v>
      </c>
      <c r="L41" s="1423" t="s">
        <v>570</v>
      </c>
      <c r="Q41" s="489"/>
      <c r="R41" s="489"/>
      <c r="S41" s="2386"/>
      <c r="T41" s="2322"/>
      <c r="U41" s="415"/>
      <c r="V41" s="2374"/>
      <c r="W41" s="2397"/>
      <c r="X41" s="2051" t="s">
        <v>596</v>
      </c>
      <c r="Y41" s="2051" t="s">
        <v>597</v>
      </c>
      <c r="Z41" s="2051" t="s">
        <v>598</v>
      </c>
      <c r="AA41" s="2383" t="s">
        <v>599</v>
      </c>
      <c r="AB41" s="2384"/>
      <c r="AC41" s="2392"/>
      <c r="AD41" s="2374"/>
      <c r="AE41" s="2397"/>
      <c r="AF41" s="2051" t="s">
        <v>596</v>
      </c>
      <c r="AG41" s="2051" t="s">
        <v>597</v>
      </c>
      <c r="AH41" s="2051" t="s">
        <v>598</v>
      </c>
      <c r="AI41" s="2383" t="s">
        <v>599</v>
      </c>
      <c r="AJ41" s="2384"/>
      <c r="AK41" s="2392"/>
      <c r="AL41" s="2395"/>
      <c r="AM41" s="2240"/>
      <c r="AS41" s="1744">
        <v>34</v>
      </c>
    </row>
    <row s="880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155</v>
      </c>
      <c r="T42" s="1368" t="s">
        <v>105</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367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367</v>
      </c>
      <c r="B44" s="1380" t="s">
        <v>368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1737"/>
      <c r="AP44" s="1737" t="str">
        <f>IF(T44="","",T44)</f>
        <v>Территория действия тарифа</v>
      </c>
      <c r="AQ44" s="1737"/>
      <c r="AR44" s="1737"/>
      <c r="AS44" s="1744">
        <v>21</v>
      </c>
    </row>
    <row customHeight="1" ht="24">
      <c r="A45" s="1380" t="s">
        <v>367</v>
      </c>
      <c r="B45" s="1380" t="s">
        <v>368</v>
      </c>
      <c r="C45" s="1380" t="s">
        <v>369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1737"/>
      <c r="AP45" s="1737" t="str">
        <f>IF(T45="","",T45)</f>
        <v>Наименование системы теплоснабжения </v>
      </c>
      <c r="AQ45" s="1737"/>
      <c r="AR45" s="1737"/>
      <c r="AS45" s="1744">
        <v>23</v>
      </c>
    </row>
    <row customHeight="1" ht="22.049999999999997">
      <c r="A46" s="1380" t="s">
        <v>367</v>
      </c>
      <c r="B46" s="1380" t="s">
        <v>368</v>
      </c>
      <c r="C46" s="1380" t="s">
        <v>369</v>
      </c>
      <c r="D46" s="1380" t="s">
        <v>370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1737"/>
      <c r="AP46" s="1737" t="str">
        <f>IF(T46="","",T46)</f>
        <v>Источник тепловой энергии  </v>
      </c>
      <c r="AQ46" s="1737"/>
      <c r="AR46" s="1737"/>
      <c r="AS46" s="1744">
        <v>21</v>
      </c>
    </row>
    <row customHeight="1" ht="49.5">
      <c r="A47" s="1380" t="s">
        <v>367</v>
      </c>
      <c r="B47" s="1380" t="s">
        <v>368</v>
      </c>
      <c r="C47" s="1380" t="s">
        <v>369</v>
      </c>
      <c r="D47" s="1380" t="s">
        <v>370</v>
      </c>
      <c r="E47" s="2403"/>
      <c r="F47" s="2403"/>
      <c r="G47" s="2403"/>
      <c r="H47" s="2403"/>
      <c r="I47" s="2240" t="str">
        <f>S46&amp;".1"</f>
        <v>....1</v>
      </c>
      <c r="J47" s="1380"/>
      <c r="K47" s="1380"/>
      <c r="L47" s="1423" t="s">
        <v>558</v>
      </c>
      <c r="P47" s="2370">
        <v>1</v>
      </c>
      <c r="Q47" s="2067"/>
      <c r="R47" s="469"/>
      <c r="S47" s="2071" t="str">
        <f>$I47</f>
        <v>....1</v>
      </c>
      <c r="T47" s="398" t="s">
        <v>559</v>
      </c>
      <c r="U47" s="413"/>
      <c r="V47" s="2358"/>
      <c r="W47" s="2359"/>
      <c r="X47" s="2359"/>
      <c r="Y47" s="2359"/>
      <c r="Z47" s="2359"/>
      <c r="AA47" s="2359"/>
      <c r="AB47" s="2359"/>
      <c r="AC47" s="2360"/>
      <c r="AD47" s="2358"/>
      <c r="AE47" s="2359"/>
      <c r="AF47" s="2359"/>
      <c r="AG47" s="2359"/>
      <c r="AH47" s="2359"/>
      <c r="AI47" s="2359"/>
      <c r="AJ47" s="2359"/>
      <c r="AK47" s="2359"/>
      <c r="AL47" s="2360"/>
      <c r="AM47" s="1371" t="s">
        <v>560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367</v>
      </c>
      <c r="B48" s="1380" t="s">
        <v>368</v>
      </c>
      <c r="C48" s="1380" t="s">
        <v>369</v>
      </c>
      <c r="D48" s="1380" t="s">
        <v>370</v>
      </c>
      <c r="E48" s="2403"/>
      <c r="F48" s="2403"/>
      <c r="G48" s="2403"/>
      <c r="H48" s="2403"/>
      <c r="I48" s="2214"/>
      <c r="J48" s="2240" t="str">
        <f>I47&amp;".1"</f>
        <v>....1.1</v>
      </c>
      <c r="K48" s="1380"/>
      <c r="L48" s="1423" t="s">
        <v>561</v>
      </c>
      <c r="P48" s="2370"/>
      <c r="Q48" s="2370">
        <v>1</v>
      </c>
      <c r="R48" s="470"/>
      <c r="S48" s="2071" t="str">
        <f>$J48</f>
        <v>....1.1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1737"/>
      <c r="AP48" s="1737" t="str">
        <f>IF(T48="","",T48)</f>
        <v>Группа потребителей</v>
      </c>
      <c r="AQ48" s="1737"/>
      <c r="AR48" s="1737"/>
      <c r="AS48" s="1744">
        <v>21</v>
      </c>
    </row>
    <row customHeight="1" ht="22.049999999999997">
      <c r="A49" s="1380" t="s">
        <v>367</v>
      </c>
      <c r="B49" s="1380" t="s">
        <v>368</v>
      </c>
      <c r="C49" s="1380" t="s">
        <v>369</v>
      </c>
      <c r="D49" s="1380" t="s">
        <v>370</v>
      </c>
      <c r="E49" s="2403"/>
      <c r="F49" s="2403"/>
      <c r="G49" s="2403"/>
      <c r="H49" s="2403"/>
      <c r="I49" s="2214"/>
      <c r="J49" s="2214"/>
      <c r="K49" s="2240" t="str">
        <f>J48&amp;".1"</f>
        <v>....1.1.1</v>
      </c>
      <c r="L49" s="1423" t="s">
        <v>564</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565</v>
      </c>
      <c r="AN49" s="1749">
        <f>STRCHECKDATE(V50:AL50)</f>
      </c>
      <c r="AO49" s="1737"/>
      <c r="AP49" s="1737" t="str">
        <f>IF(T49="","",T49)</f>
        <v/>
      </c>
      <c r="AQ49" s="1737"/>
      <c r="AR49" s="1737"/>
      <c r="AS49" s="1744">
        <v>21</v>
      </c>
    </row>
    <row customHeight="1" ht="1.05">
      <c r="A50" s="1380" t="s">
        <v>367</v>
      </c>
      <c r="B50" s="1380" t="s">
        <v>368</v>
      </c>
      <c r="C50" s="1380" t="s">
        <v>369</v>
      </c>
      <c r="D50" s="1380" t="s">
        <v>370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367</v>
      </c>
      <c r="B51" s="1380" t="s">
        <v>368</v>
      </c>
      <c r="C51" s="1380" t="s">
        <v>369</v>
      </c>
      <c r="D51" s="1380" t="s">
        <v>370</v>
      </c>
      <c r="E51" s="2403"/>
      <c r="F51" s="2403"/>
      <c r="G51" s="2403"/>
      <c r="H51" s="2403"/>
      <c r="I51" s="2214"/>
      <c r="J51" s="2240"/>
      <c r="K51" s="1380"/>
      <c r="L51" s="1423"/>
      <c r="P51" s="2370"/>
      <c r="Q51" s="2370"/>
      <c r="R51" s="469"/>
      <c r="S51" s="1391"/>
      <c r="T51" s="401" t="s">
        <v>566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367</v>
      </c>
      <c r="B52" s="1380" t="s">
        <v>368</v>
      </c>
      <c r="C52" s="1380" t="s">
        <v>369</v>
      </c>
      <c r="D52" s="1380" t="s">
        <v>370</v>
      </c>
      <c r="E52" s="2403"/>
      <c r="F52" s="2403"/>
      <c r="G52" s="2403"/>
      <c r="H52" s="2403"/>
      <c r="I52" s="2240"/>
      <c r="J52" s="1380"/>
      <c r="K52" s="1380"/>
      <c r="L52" s="1423"/>
      <c r="P52" s="2370"/>
      <c r="Q52" s="2067"/>
      <c r="R52" s="469"/>
      <c r="S52" s="1391"/>
      <c r="T52" s="400" t="s">
        <v>567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367</v>
      </c>
      <c r="B53" s="1380" t="s">
        <v>368</v>
      </c>
      <c r="C53" s="1380" t="s">
        <v>369</v>
      </c>
      <c r="D53" s="1380" t="s">
        <v>370</v>
      </c>
      <c r="E53" s="2403"/>
      <c r="F53" s="2403"/>
      <c r="G53" s="2403"/>
      <c r="H53" s="2402"/>
      <c r="I53" s="1380"/>
      <c r="J53" s="1380"/>
      <c r="K53" s="1380"/>
      <c r="L53" s="1423"/>
      <c r="M53" s="1723"/>
      <c r="N53" s="1723"/>
      <c r="O53" s="1748"/>
      <c r="P53" s="473"/>
      <c r="Q53" s="488"/>
      <c r="R53" s="468"/>
      <c r="S53" s="1391"/>
      <c r="T53" s="478" t="s">
        <v>568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8192" customFormat="1" customHeight="1" ht="1.05">
      <c r="A54" s="1380" t="s">
        <v>367</v>
      </c>
      <c r="B54" s="1380" t="s">
        <v>368</v>
      </c>
      <c r="C54" s="1380" t="s">
        <v>369</v>
      </c>
      <c r="D54" s="2087"/>
      <c r="E54" s="2403"/>
      <c r="F54" s="2403"/>
      <c r="G54" s="2402"/>
      <c r="H54" s="2087"/>
      <c r="I54" s="2087"/>
      <c r="J54" s="2087"/>
      <c r="K54" s="2087"/>
      <c r="L54" s="1493"/>
      <c r="M54" s="1723"/>
      <c r="N54" s="1723"/>
      <c r="O54" s="174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8192" customFormat="1" customHeight="1" ht="1.05">
      <c r="A55" s="1380" t="s">
        <v>367</v>
      </c>
      <c r="B55" s="1380" t="s">
        <v>368</v>
      </c>
      <c r="C55" s="2087"/>
      <c r="D55" s="2087"/>
      <c r="E55" s="2403"/>
      <c r="F55" s="2402"/>
      <c r="G55" s="2087"/>
      <c r="H55" s="2087"/>
      <c r="I55" s="2087"/>
      <c r="J55" s="2087"/>
      <c r="K55" s="2087"/>
      <c r="L55" s="1493"/>
      <c r="M55" s="2088"/>
      <c r="N55" s="2088"/>
      <c r="O55" s="1748"/>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8192" customFormat="1" customHeight="1" ht="1.05">
      <c r="A56" s="1380" t="s">
        <v>367</v>
      </c>
      <c r="B56" s="1380"/>
      <c r="C56" s="1380"/>
      <c r="D56" s="1380"/>
      <c r="E56" s="2402"/>
      <c r="F56" s="1380"/>
      <c r="G56" s="1380"/>
      <c r="H56" s="1380"/>
      <c r="I56" s="1380"/>
      <c r="J56" s="1380"/>
      <c r="K56" s="1380"/>
      <c r="L56" s="1423"/>
      <c r="M56" s="2088"/>
      <c r="N56" s="2088"/>
      <c r="O56" s="1748"/>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819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7C11A-F58A-2914-99A1-6132D9D9B0E5}" mc:Ignorable="x14ac xr xr2 xr3">
  <sheetPr>
    <tabColor theme="6" tint="0.4"/>
  </sheetPr>
  <dimension ref="A1:BA345"/>
  <sheetViews>
    <sheetView topLeftCell="A1" showGridLines="0" zoomScale="80" workbookViewId="0">
      <selection activeCell="AD65" sqref="AD65:AT65"/>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1.00390625" customWidth="1"/>
    <col min="21" max="21" style="8113" width="0.7109375" hidden="1" customWidth="1"/>
    <col min="22" max="22" style="8113" width="1.7109375" hidden="1" customWidth="1"/>
    <col min="23" max="23" style="8113" width="24.7109375" hidden="1" customWidth="1"/>
    <col min="24" max="25" style="8113" width="0.14062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0.140625" customWidth="1"/>
    <col min="31" max="31" style="8113" width="24.00390625" customWidth="1"/>
    <col min="32" max="33" style="8113" width="0.140625" customWidth="1"/>
    <col min="34" max="34" style="8113" width="11.00390625" customWidth="1"/>
    <col min="35" max="35" style="8113" width="3.7109375" customWidth="1"/>
    <col min="36" max="36" style="8113" width="11.00390625" customWidth="1"/>
    <col min="37" max="37" style="8113" width="8.57421875" customWidth="1"/>
    <col min="45" max="45" style="62" width="10.57421875" hidden="1"/>
    <col min="46" max="46" style="8113" width="4.00390625" customWidth="1"/>
    <col min="47" max="47" style="8113" width="115.00390625" customWidth="1"/>
    <col min="48" max="52" style="8192" width="10.00390625" customWidth="1"/>
    <col min="53" max="53" style="8113" width="10.57421875" hidden="1"/>
  </cols>
  <sheetData>
    <row customHeight="1" ht="22.5" hidden="1">
      <c r="Y1" s="440"/>
      <c r="Z1" s="440"/>
      <c r="AG1" s="440"/>
      <c r="AH1" s="440"/>
      <c r="AL1" s="3775"/>
      <c r="AM1" s="3775"/>
      <c r="AN1" s="3775"/>
      <c r="AO1" s="3775"/>
      <c r="AP1" s="3775"/>
      <c r="AQ1" s="3775"/>
      <c r="AR1" s="3775"/>
      <c r="AS1" s="3775"/>
      <c r="BA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76"/>
      <c r="AM2" s="3777"/>
      <c r="AN2" s="3777"/>
      <c r="AO2" s="3777"/>
      <c r="AP2" s="3777"/>
      <c r="AQ2" s="3777"/>
      <c r="AR2" s="3777"/>
      <c r="AS2" s="3778"/>
      <c r="AT2" s="2357"/>
      <c r="AU2" s="1371" t="s">
        <v>551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76"/>
      <c r="AM3" s="3777"/>
      <c r="AN3" s="3777"/>
      <c r="AO3" s="3777"/>
      <c r="AP3" s="3777"/>
      <c r="AQ3" s="3777"/>
      <c r="AR3" s="3777"/>
      <c r="AS3" s="3778"/>
      <c r="AT3" s="2357"/>
      <c r="AU3" s="1371" t="s">
        <v>553</v>
      </c>
      <c r="AW3" s="613"/>
      <c r="AX3" s="613" t="str">
        <f>IF(T3="","",T3)</f>
        <v>Территория действия тарифа</v>
      </c>
      <c r="AY3" s="613"/>
      <c r="AZ3" s="613"/>
      <c r="BA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76"/>
      <c r="AM4" s="3777"/>
      <c r="AN4" s="3777"/>
      <c r="AO4" s="3777"/>
      <c r="AP4" s="3777"/>
      <c r="AQ4" s="3777"/>
      <c r="AR4" s="3777"/>
      <c r="AS4" s="3778"/>
      <c r="AT4" s="2357"/>
      <c r="AU4" s="1371" t="s">
        <v>555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76"/>
      <c r="AM5" s="3777"/>
      <c r="AN5" s="3777"/>
      <c r="AO5" s="3777"/>
      <c r="AP5" s="3777"/>
      <c r="AQ5" s="3777"/>
      <c r="AR5" s="3777"/>
      <c r="AS5" s="3778"/>
      <c r="AT5" s="2357"/>
      <c r="AU5" s="1371" t="s">
        <v>557</v>
      </c>
      <c r="AW5" s="613"/>
      <c r="AX5" s="613" t="str">
        <f>IF(T5="","",T5)</f>
        <v>Источник тепловой энергии  </v>
      </c>
      <c r="AY5" s="613"/>
      <c r="AZ5" s="613"/>
      <c r="BA5" s="1268">
        <v>0</v>
      </c>
    </row>
    <row customHeight="1" ht="47.25" hidden="1">
      <c r="A6" s="1476"/>
      <c r="B6" s="1476"/>
      <c r="C6" s="1476"/>
      <c r="D6" s="1476"/>
      <c r="E6" s="2372"/>
      <c r="F6" s="2372"/>
      <c r="G6" s="2372"/>
      <c r="H6" s="2372"/>
      <c r="I6" s="2369">
        <f>S5&amp;".1"</f>
      </c>
      <c r="J6" s="1476"/>
      <c r="K6" s="1476"/>
      <c r="L6" s="1477" t="s">
        <v>558</v>
      </c>
      <c r="M6" s="650"/>
      <c r="P6" s="2370">
        <v>1</v>
      </c>
      <c r="Q6" s="1444"/>
      <c r="R6" s="469"/>
      <c r="S6" s="1449">
        <f>$I6</f>
      </c>
      <c r="T6" s="398" t="s">
        <v>559</v>
      </c>
      <c r="U6" s="413"/>
      <c r="V6" s="2358"/>
      <c r="W6" s="2359"/>
      <c r="X6" s="2359"/>
      <c r="Y6" s="2359"/>
      <c r="Z6" s="2359"/>
      <c r="AA6" s="2359"/>
      <c r="AB6" s="2359"/>
      <c r="AC6" s="2360"/>
      <c r="AD6" s="2358"/>
      <c r="AE6" s="2359"/>
      <c r="AF6" s="2359"/>
      <c r="AG6" s="2359"/>
      <c r="AH6" s="2359"/>
      <c r="AI6" s="2359"/>
      <c r="AJ6" s="2359"/>
      <c r="AK6" s="2359"/>
      <c r="AL6" s="3779"/>
      <c r="AM6" s="3780"/>
      <c r="AN6" s="3780"/>
      <c r="AO6" s="3780"/>
      <c r="AP6" s="3780"/>
      <c r="AQ6" s="3780"/>
      <c r="AR6" s="3780"/>
      <c r="AS6" s="3781"/>
      <c r="AT6" s="2360"/>
      <c r="AU6" s="1371" t="s">
        <v>560</v>
      </c>
      <c r="AW6" s="613"/>
      <c r="AX6" s="613" t="str">
        <f>IF(T6="","",T6)</f>
        <v>Схема подключения теплопотребляющей установки к коллектору источника тепловой энергии</v>
      </c>
      <c r="AY6" s="613"/>
      <c r="AZ6" s="613"/>
      <c r="BA6" s="1268">
        <v>0</v>
      </c>
    </row>
    <row customHeight="1" ht="21" hidden="1">
      <c r="A7" s="1476"/>
      <c r="B7" s="1476"/>
      <c r="C7" s="1476"/>
      <c r="D7" s="1476"/>
      <c r="E7" s="2372"/>
      <c r="F7" s="2372"/>
      <c r="G7" s="2372"/>
      <c r="H7" s="2372"/>
      <c r="I7" s="2399"/>
      <c r="J7" s="2369">
        <f>I6&amp;".1"</f>
      </c>
      <c r="K7" s="1476"/>
      <c r="L7" s="1477" t="s">
        <v>561</v>
      </c>
      <c r="M7" s="650"/>
      <c r="N7" s="1479"/>
      <c r="P7" s="2370"/>
      <c r="Q7" s="2370">
        <v>1</v>
      </c>
      <c r="R7" s="470"/>
      <c r="S7" s="1449">
        <f>$J7</f>
      </c>
      <c r="T7" s="399" t="s">
        <v>562</v>
      </c>
      <c r="U7" s="413"/>
      <c r="V7" s="2358"/>
      <c r="W7" s="2359"/>
      <c r="X7" s="2359"/>
      <c r="Y7" s="2359"/>
      <c r="Z7" s="2359"/>
      <c r="AA7" s="2359"/>
      <c r="AB7" s="2359"/>
      <c r="AC7" s="2360"/>
      <c r="AD7" s="2358"/>
      <c r="AE7" s="2359"/>
      <c r="AF7" s="2359"/>
      <c r="AG7" s="2359"/>
      <c r="AH7" s="2359"/>
      <c r="AI7" s="2359"/>
      <c r="AJ7" s="2359"/>
      <c r="AK7" s="2359"/>
      <c r="AL7" s="3779"/>
      <c r="AM7" s="3780"/>
      <c r="AN7" s="3780"/>
      <c r="AO7" s="3780"/>
      <c r="AP7" s="3780"/>
      <c r="AQ7" s="3780"/>
      <c r="AR7" s="3780"/>
      <c r="AS7" s="3781"/>
      <c r="AT7" s="2360"/>
      <c r="AU7" s="1371" t="s">
        <v>563</v>
      </c>
      <c r="AW7" s="613"/>
      <c r="AX7" s="613" t="str">
        <f>IF(T7="","",T7)</f>
        <v>Группа потребителей</v>
      </c>
      <c r="AY7" s="613"/>
      <c r="AZ7" s="613"/>
      <c r="BA7" s="1268">
        <v>0</v>
      </c>
    </row>
    <row customHeight="1" ht="21" hidden="1">
      <c r="A8" s="1476"/>
      <c r="B8" s="1476"/>
      <c r="C8" s="1476"/>
      <c r="D8" s="1476"/>
      <c r="E8" s="2372"/>
      <c r="F8" s="2372"/>
      <c r="G8" s="2372"/>
      <c r="H8" s="2372"/>
      <c r="I8" s="2399"/>
      <c r="J8" s="2399"/>
      <c r="K8" s="2369">
        <f>J7&amp;".1"</f>
      </c>
      <c r="L8" s="1477" t="s">
        <v>564</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3783"/>
      <c r="AM8" s="3784"/>
      <c r="AN8" s="3783"/>
      <c r="AO8" s="3785"/>
      <c r="AP8" s="3786"/>
      <c r="AQ8" s="3191" t="s">
        <v>63</v>
      </c>
      <c r="AR8" s="3786"/>
      <c r="AS8" s="3191" t="s">
        <v>63</v>
      </c>
      <c r="AT8" s="438"/>
      <c r="AU8" s="2366" t="s">
        <v>565</v>
      </c>
      <c r="AV8" s="624">
        <f>STRCHECKDATE(V9:AT9)</f>
      </c>
      <c r="AW8" s="613"/>
      <c r="AX8" s="613" t="str">
        <f>IF(T8="","",T8)</f>
        <v/>
      </c>
      <c r="AY8" s="613"/>
      <c r="AZ8" s="613"/>
      <c r="BA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83"/>
      <c r="AM9" s="3783"/>
      <c r="AN9" s="3783"/>
      <c r="AO9" s="3787" t="str">
        <f>AP8&amp;"-"&amp;AR8</f>
        <v>-</v>
      </c>
      <c r="AP9" s="3788"/>
      <c r="AQ9" s="3191"/>
      <c r="AR9" s="3788"/>
      <c r="AS9" s="3191"/>
      <c r="AT9" s="438"/>
      <c r="AU9" s="2367"/>
      <c r="AW9" s="613"/>
      <c r="AX9" s="613" t="str">
        <f>IF(T9="","",T9)</f>
        <v/>
      </c>
      <c r="AY9" s="613"/>
      <c r="AZ9" s="613"/>
      <c r="BA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566</v>
      </c>
      <c r="U10" s="480"/>
      <c r="V10" s="480"/>
      <c r="W10" s="480"/>
      <c r="X10" s="480"/>
      <c r="Y10" s="480"/>
      <c r="Z10" s="480"/>
      <c r="AA10" s="480"/>
      <c r="AB10" s="480"/>
      <c r="AC10" s="480"/>
      <c r="AD10" s="480"/>
      <c r="AE10" s="480"/>
      <c r="AF10" s="480"/>
      <c r="AG10" s="480"/>
      <c r="AH10" s="480"/>
      <c r="AI10" s="480"/>
      <c r="AJ10" s="480"/>
      <c r="AK10" s="480"/>
      <c r="AL10" s="3789"/>
      <c r="AM10" s="3790"/>
      <c r="AN10" s="3791"/>
      <c r="AO10" s="3792"/>
      <c r="AP10" s="3793"/>
      <c r="AQ10" s="3794"/>
      <c r="AR10" s="3795"/>
      <c r="AS10" s="3796"/>
      <c r="AT10" s="437"/>
      <c r="AU10" s="2368"/>
      <c r="AW10" s="613"/>
      <c r="AX10" s="613" t="str">
        <f>IF(T10="","",T10)</f>
        <v>Добавить вид теплоносителя (параметры теплоносителя)</v>
      </c>
      <c r="AY10" s="613"/>
      <c r="AZ10" s="613"/>
      <c r="BA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567</v>
      </c>
      <c r="U11" s="480"/>
      <c r="V11" s="480"/>
      <c r="W11" s="480"/>
      <c r="X11" s="480"/>
      <c r="Y11" s="480"/>
      <c r="Z11" s="480"/>
      <c r="AA11" s="480"/>
      <c r="AB11" s="480"/>
      <c r="AC11" s="479"/>
      <c r="AD11" s="480"/>
      <c r="AE11" s="480"/>
      <c r="AF11" s="480"/>
      <c r="AG11" s="480"/>
      <c r="AH11" s="480"/>
      <c r="AI11" s="480"/>
      <c r="AJ11" s="480"/>
      <c r="AK11" s="479"/>
      <c r="AL11" s="3797"/>
      <c r="AM11" s="3798"/>
      <c r="AN11" s="3799"/>
      <c r="AO11" s="3800"/>
      <c r="AP11" s="3801"/>
      <c r="AQ11" s="3802"/>
      <c r="AR11" s="3803"/>
      <c r="AS11" s="3804"/>
      <c r="AT11" s="480"/>
      <c r="AU11" s="416"/>
      <c r="AW11" s="613"/>
      <c r="AX11" s="613" t="str">
        <f>IF(T11="","",T11)</f>
        <v>Добавить группу потребителей</v>
      </c>
      <c r="AY11" s="613"/>
      <c r="AZ11" s="613"/>
      <c r="BA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568</v>
      </c>
      <c r="U12" s="480"/>
      <c r="V12" s="480"/>
      <c r="W12" s="480"/>
      <c r="X12" s="480"/>
      <c r="Y12" s="480"/>
      <c r="Z12" s="480"/>
      <c r="AA12" s="480"/>
      <c r="AB12" s="480"/>
      <c r="AC12" s="479"/>
      <c r="AD12" s="480"/>
      <c r="AE12" s="480"/>
      <c r="AF12" s="480"/>
      <c r="AG12" s="480"/>
      <c r="AH12" s="480"/>
      <c r="AI12" s="480"/>
      <c r="AJ12" s="480"/>
      <c r="AK12" s="479"/>
      <c r="AL12" s="3805"/>
      <c r="AM12" s="3806"/>
      <c r="AN12" s="3807"/>
      <c r="AO12" s="3808"/>
      <c r="AP12" s="3809"/>
      <c r="AQ12" s="3810"/>
      <c r="AR12" s="3811"/>
      <c r="AS12" s="3812"/>
      <c r="AT12" s="480"/>
      <c r="AU12" s="416"/>
      <c r="AW12" s="613"/>
      <c r="AX12" s="613" t="str">
        <f>IF(T12="","",T12)</f>
        <v>Добавить схему подключения</v>
      </c>
      <c r="AY12" s="613"/>
      <c r="AZ12" s="613"/>
      <c r="BA12" s="1268">
        <v>0</v>
      </c>
    </row>
    <row s="819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3813"/>
      <c r="AM13" s="3813"/>
      <c r="AN13" s="3813"/>
      <c r="AO13" s="3813"/>
      <c r="AP13" s="3813"/>
      <c r="AQ13" s="3813"/>
      <c r="AR13" s="3813"/>
      <c r="AS13" s="3813"/>
      <c r="AT13" s="1433"/>
      <c r="AU13" s="1433"/>
      <c r="AW13" s="902"/>
      <c r="AX13" s="902" t="str">
        <f>IF(T13="","",T13)</f>
        <v>Добавить источник для дифференциации</v>
      </c>
      <c r="AY13" s="902"/>
      <c r="AZ13" s="902"/>
      <c r="BA13" s="631">
        <v>0</v>
      </c>
    </row>
    <row s="819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3814"/>
      <c r="AM14" s="3814"/>
      <c r="AN14" s="3814"/>
      <c r="AO14" s="3814"/>
      <c r="AP14" s="3814"/>
      <c r="AQ14" s="3814"/>
      <c r="AR14" s="3814"/>
      <c r="AS14" s="3814"/>
      <c r="AT14" s="1437"/>
      <c r="AU14" s="1437"/>
      <c r="AW14" s="902"/>
      <c r="AX14" s="902" t="str">
        <f>IF(T14="","",T14)</f>
        <v>Добавить централизованную систему для дифференциации</v>
      </c>
      <c r="AY14" s="902"/>
      <c r="AZ14" s="902"/>
      <c r="BA14" s="631">
        <v>0</v>
      </c>
    </row>
    <row s="819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3814"/>
      <c r="AM15" s="3814"/>
      <c r="AN15" s="3814"/>
      <c r="AO15" s="3814"/>
      <c r="AP15" s="3814"/>
      <c r="AQ15" s="3814"/>
      <c r="AR15" s="3814"/>
      <c r="AS15" s="3814"/>
      <c r="AT15" s="1437"/>
      <c r="AU15" s="1437"/>
      <c r="AW15" s="902"/>
      <c r="AX15" s="902" t="str">
        <f>IF(T15="","",T15)</f>
        <v>Добавить территорию для дифференциации</v>
      </c>
      <c r="AY15" s="902"/>
      <c r="AZ15" s="902"/>
      <c r="BA15" s="631">
        <v>0</v>
      </c>
    </row>
    <row customHeight="1" ht="14.25" hidden="1">
      <c r="AC16" s="440"/>
      <c r="AK16" s="440"/>
      <c r="AL16" s="3775"/>
      <c r="AM16" s="3775"/>
      <c r="AN16" s="3775"/>
      <c r="AO16" s="3775"/>
      <c r="AP16" s="3775"/>
      <c r="AQ16" s="3775"/>
      <c r="AR16" s="3775"/>
      <c r="AS16" s="3775"/>
      <c r="BA16" s="1268">
        <v>0</v>
      </c>
    </row>
    <row customHeight="1" ht="14.25" hidden="1">
      <c r="AD17" s="1473"/>
      <c r="AE17" s="1473"/>
      <c r="AF17" s="1473"/>
      <c r="AG17" s="1474"/>
      <c r="AH17" s="2380"/>
      <c r="AI17" s="2381" t="s">
        <v>63</v>
      </c>
      <c r="AJ17" s="2380"/>
      <c r="AK17" s="2381" t="s">
        <v>63</v>
      </c>
      <c r="AL17" s="3775"/>
      <c r="AM17" s="3775"/>
      <c r="AN17" s="3775"/>
      <c r="AO17" s="3775"/>
      <c r="AP17" s="3775"/>
      <c r="AQ17" s="3775"/>
      <c r="AR17" s="3775"/>
      <c r="AS17" s="3775"/>
      <c r="BA17" s="1268">
        <v>0</v>
      </c>
    </row>
    <row customHeight="1" ht="14.25" hidden="1">
      <c r="AD18" s="1473"/>
      <c r="AE18" s="1473"/>
      <c r="AF18" s="1473"/>
      <c r="AG18" s="441" t="str">
        <f>AH17&amp;"-"&amp;AJ17</f>
        <v>-</v>
      </c>
      <c r="AH18" s="2381"/>
      <c r="AI18" s="2381"/>
      <c r="AJ18" s="2381"/>
      <c r="AK18" s="2381"/>
      <c r="AL18" s="3775"/>
      <c r="AM18" s="3775"/>
      <c r="AN18" s="3775"/>
      <c r="AO18" s="3775"/>
      <c r="AP18" s="3775"/>
      <c r="AQ18" s="3775"/>
      <c r="AR18" s="3775"/>
      <c r="AS18" s="3775"/>
      <c r="BA18" s="1268">
        <v>0</v>
      </c>
    </row>
    <row customHeight="1" ht="14.25" hidden="1">
      <c r="AK19" s="440"/>
      <c r="AL19" s="3775"/>
      <c r="AM19" s="3775"/>
      <c r="AN19" s="3775"/>
      <c r="AO19" s="3775"/>
      <c r="AP19" s="3775"/>
      <c r="AQ19" s="3775"/>
      <c r="AR19" s="3775"/>
      <c r="AS19" s="3775"/>
      <c r="BA19" s="1268">
        <v>0</v>
      </c>
    </row>
    <row s="8191" customFormat="1" customHeight="1" ht="22.5" hidden="1">
      <c r="L20" s="1442"/>
      <c r="M20" s="1475"/>
      <c r="N20" s="1475"/>
      <c r="O20" s="1480" t="s">
        <v>569</v>
      </c>
      <c r="P20" s="1475"/>
      <c r="Q20" s="1484"/>
      <c r="R20" s="1484"/>
      <c r="S20" s="842"/>
      <c r="Z20" s="1480"/>
      <c r="AB20" s="1480"/>
      <c r="AC20" s="1479"/>
      <c r="AH20" s="1480"/>
      <c r="AJ20" s="1480"/>
      <c r="AK20" s="1479"/>
      <c r="AL20" s="3815"/>
      <c r="AM20" s="3815"/>
      <c r="AN20" s="3815"/>
      <c r="AO20" s="3815"/>
      <c r="AP20" s="3816"/>
      <c r="AQ20" s="3815"/>
      <c r="AR20" s="3816"/>
      <c r="AS20" s="3815"/>
      <c r="AV20" s="624"/>
      <c r="AW20" s="624"/>
      <c r="AX20" s="624"/>
      <c r="AY20" s="624"/>
      <c r="AZ20" s="624"/>
      <c r="BA20" s="1273">
        <v>0</v>
      </c>
    </row>
    <row s="8191" customFormat="1" customHeight="1" ht="14.25" hidden="1">
      <c r="L21" s="1442"/>
      <c r="M21" s="1475"/>
      <c r="N21" s="1475"/>
      <c r="O21" s="1475"/>
      <c r="P21" s="1475"/>
      <c r="Q21" s="1484"/>
      <c r="R21" s="1484"/>
      <c r="S21" s="842"/>
      <c r="AC21" s="1479"/>
      <c r="AK21" s="1479"/>
      <c r="AL21" s="3815"/>
      <c r="AM21" s="3815"/>
      <c r="AN21" s="3815"/>
      <c r="AO21" s="3815"/>
      <c r="AP21" s="3815"/>
      <c r="AQ21" s="3815"/>
      <c r="AR21" s="3815"/>
      <c r="AS21" s="3815"/>
      <c r="AV21" s="624"/>
      <c r="AW21" s="624"/>
      <c r="AX21" s="624"/>
      <c r="AY21" s="624"/>
      <c r="AZ21" s="624"/>
      <c r="BA21" s="1273">
        <v>0</v>
      </c>
    </row>
    <row s="8191" customFormat="1" customHeight="1" ht="33.75" hidden="1">
      <c r="L22" s="1442"/>
      <c r="M22" s="1475"/>
      <c r="N22" s="1475"/>
      <c r="O22" s="1477" t="s">
        <v>570</v>
      </c>
      <c r="P22" s="1475"/>
      <c r="Q22" s="1484"/>
      <c r="R22" s="1484"/>
      <c r="S22" s="842"/>
      <c r="T22" s="1273" t="s">
        <v>571</v>
      </c>
      <c r="AA22" s="299" t="s">
        <v>572</v>
      </c>
      <c r="AC22" s="299" t="s">
        <v>573</v>
      </c>
      <c r="AD22" s="1273" t="s">
        <v>571</v>
      </c>
      <c r="AI22" s="299" t="s">
        <v>574</v>
      </c>
      <c r="AK22" s="299" t="s">
        <v>573</v>
      </c>
      <c r="AL22" s="3815"/>
      <c r="AM22" s="3815"/>
      <c r="AN22" s="3815"/>
      <c r="AO22" s="3815"/>
      <c r="AP22" s="3815"/>
      <c r="AQ22" s="3817" t="s">
        <v>572</v>
      </c>
      <c r="AR22" s="3815"/>
      <c r="AS22" s="3817" t="s">
        <v>573</v>
      </c>
      <c r="AV22" s="624"/>
      <c r="AW22" s="624"/>
      <c r="AX22" s="624"/>
      <c r="AY22" s="624"/>
      <c r="AZ22" s="624"/>
      <c r="BA22" s="1273">
        <v>0</v>
      </c>
    </row>
    <row customHeight="1" ht="14.25" hidden="1">
      <c r="O23" s="1477"/>
      <c r="AL23" s="3775"/>
      <c r="AM23" s="3775"/>
      <c r="AN23" s="3775"/>
      <c r="AO23" s="3775"/>
      <c r="AP23" s="3775"/>
      <c r="AQ23" s="3775"/>
      <c r="AR23" s="3775"/>
      <c r="AS23" s="3775"/>
      <c r="BA23" s="1268">
        <v>0</v>
      </c>
    </row>
    <row customHeight="1" ht="14.25" hidden="1">
      <c r="O24" s="1477"/>
      <c r="AL24" s="3775"/>
      <c r="AM24" s="3775"/>
      <c r="AN24" s="3775"/>
      <c r="AO24" s="3775"/>
      <c r="AP24" s="3775"/>
      <c r="AQ24" s="3775"/>
      <c r="AR24" s="3775"/>
      <c r="AS24" s="3775"/>
      <c r="BA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75"/>
      <c r="AM25" s="3775"/>
      <c r="AN25" s="3775"/>
      <c r="AO25" s="3775"/>
      <c r="AP25" s="3775"/>
      <c r="AQ25" s="3775"/>
      <c r="AR25" s="3775"/>
      <c r="AS25" s="3775"/>
      <c r="BA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3818"/>
      <c r="AM26" s="3818"/>
      <c r="AN26" s="3818"/>
      <c r="AO26" s="3818"/>
      <c r="AP26" s="3818"/>
      <c r="AQ26" s="3818"/>
      <c r="AR26" s="3818"/>
      <c r="AS26" s="3818"/>
      <c r="BA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L27" s="3819"/>
      <c r="AM27" s="3819"/>
      <c r="AN27" s="3819"/>
      <c r="AO27" s="3819"/>
      <c r="AP27" s="3819"/>
      <c r="AQ27" s="3819"/>
      <c r="AR27" s="3819"/>
      <c r="AS27" s="3819"/>
      <c r="BA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820"/>
      <c r="AM28" s="3820"/>
      <c r="AN28" s="3820"/>
      <c r="AO28" s="3820"/>
      <c r="AP28" s="3820"/>
      <c r="AQ28" s="3820"/>
      <c r="AR28" s="3820"/>
      <c r="AS28" s="3820"/>
      <c r="AT28" s="622"/>
      <c r="BA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3821" t="str">
        <f>IF(TITLE_NAME_OR_PR_CHANGE="",IF(TITLE_NAME_OR_PR="","",TITLE_NAME_OR_PR),TITLE_NAME_OR_PR_CHANGE)</f>
        <v>Комитет по тарифному регулированию Мурманской области</v>
      </c>
      <c r="AM29" s="3821"/>
      <c r="AN29" s="3821"/>
      <c r="AO29" s="3821"/>
      <c r="AP29" s="3821"/>
      <c r="AQ29" s="3821"/>
      <c r="AR29" s="3821"/>
      <c r="AS29" s="3775"/>
      <c r="AT29" s="439"/>
      <c r="AU29" s="393"/>
      <c r="AV29" s="481"/>
      <c r="AW29" s="481"/>
      <c r="AX29" s="481"/>
      <c r="AY29" s="481"/>
      <c r="AZ29" s="481"/>
      <c r="BA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3822" t="str">
        <f>IF(TITLE_DATE_PR_CHANGE="",IF(TITLE_DATE_PR="","",TITLE_DATE_PR),TITLE_DATE_PR_CHANGE)</f>
        <v>45646</v>
      </c>
      <c r="AM30" s="3822"/>
      <c r="AN30" s="3822"/>
      <c r="AO30" s="3822"/>
      <c r="AP30" s="3822"/>
      <c r="AQ30" s="3822"/>
      <c r="AR30" s="3822"/>
      <c r="AS30" s="3775"/>
      <c r="AT30" s="439"/>
      <c r="AU30" s="393"/>
      <c r="AV30" s="481"/>
      <c r="AW30" s="481"/>
      <c r="AX30" s="481"/>
      <c r="AY30" s="481"/>
      <c r="AZ30" s="481"/>
      <c r="BA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3821" t="str">
        <f>IF(TITLE_NUMBER_PR_CHANGE="",IF(TITLE_NUMBER_PR="","",TITLE_NUMBER_PR),TITLE_NUMBER_PR_CHANGE)</f>
        <v>51/111</v>
      </c>
      <c r="AM31" s="3821"/>
      <c r="AN31" s="3821"/>
      <c r="AO31" s="3821"/>
      <c r="AP31" s="3821"/>
      <c r="AQ31" s="3821"/>
      <c r="AR31" s="3821"/>
      <c r="AS31" s="3775"/>
      <c r="AT31" s="439"/>
      <c r="AU31" s="393"/>
      <c r="AV31" s="481"/>
      <c r="AW31" s="481"/>
      <c r="AX31" s="481"/>
      <c r="AY31" s="481"/>
      <c r="AZ31" s="481"/>
      <c r="BA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3821" t="str">
        <f>IF(TITLE_IST_PUB_CHANGE="",IF(TITLE_IST_PUB="","",TITLE_IST_PUB),TITLE_IST_PUB_CHANGE)</f>
        <v>https://npa.gov-murman.ru/bitrix/components/b1team/govmurman.element.file/download.php?ID=537819&amp;FID=814581</v>
      </c>
      <c r="AM32" s="3821"/>
      <c r="AN32" s="3821"/>
      <c r="AO32" s="3821"/>
      <c r="AP32" s="3821"/>
      <c r="AQ32" s="3821"/>
      <c r="AR32" s="3821"/>
      <c r="AS32" s="3775"/>
      <c r="AT32" s="439"/>
      <c r="AU32" s="393"/>
      <c r="AV32" s="481"/>
      <c r="AW32" s="481"/>
      <c r="AX32" s="481"/>
      <c r="AY32" s="481"/>
      <c r="AZ32" s="481"/>
      <c r="BA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820"/>
      <c r="AM33" s="3820"/>
      <c r="AN33" s="3820"/>
      <c r="AO33" s="3820"/>
      <c r="AP33" s="3820"/>
      <c r="AQ33" s="3820"/>
      <c r="AR33" s="3820"/>
      <c r="AS33" s="3820"/>
      <c r="AT33" s="622"/>
      <c r="BA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3822" t="str">
        <f>IF(TITLE_DATE_PR_CHANGE="",IF(TITLE_DATE_PR="","",TITLE_DATE_PR),TITLE_DATE_PR_CHANGE)</f>
        <v>45646</v>
      </c>
      <c r="AM34" s="3822"/>
      <c r="AN34" s="3822"/>
      <c r="AO34" s="3822"/>
      <c r="AP34" s="3822"/>
      <c r="AQ34" s="3822"/>
      <c r="AR34" s="3822"/>
      <c r="AS34" s="3775"/>
      <c r="AT34" s="439"/>
      <c r="AU34" s="393"/>
      <c r="AV34" s="481"/>
      <c r="AW34" s="481"/>
      <c r="AX34" s="481"/>
      <c r="AY34" s="481"/>
      <c r="AZ34" s="481"/>
      <c r="BA34" s="531">
        <v>0</v>
      </c>
    </row>
    <row s="8328" customFormat="1" customHeight="1" ht="18.7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3821" t="str">
        <f>IF(TITLE_NUMBER_PR_CHANGE="",IF(TITLE_NUMBER_PR="","",TITLE_NUMBER_PR),TITLE_NUMBER_PR_CHANGE)</f>
        <v>51/111</v>
      </c>
      <c r="AM35" s="3821"/>
      <c r="AN35" s="3821"/>
      <c r="AO35" s="3821"/>
      <c r="AP35" s="3821"/>
      <c r="AQ35" s="3821"/>
      <c r="AR35" s="3821"/>
      <c r="AS35" s="3775"/>
      <c r="AT35" s="439"/>
      <c r="AU35" s="393"/>
      <c r="AV35" s="481"/>
      <c r="AW35" s="481"/>
      <c r="AX35" s="481"/>
      <c r="AY35" s="481"/>
      <c r="AZ35" s="481"/>
      <c r="BA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579</v>
      </c>
      <c r="AD36" s="439"/>
      <c r="AE36" s="439"/>
      <c r="AF36" s="439"/>
      <c r="AG36" s="439"/>
      <c r="AH36" s="439"/>
      <c r="AI36" s="439"/>
      <c r="AJ36" s="439"/>
      <c r="AK36" s="391" t="s">
        <v>579</v>
      </c>
      <c r="AL36" s="3775"/>
      <c r="AM36" s="3775"/>
      <c r="AN36" s="3775"/>
      <c r="AO36" s="3775"/>
      <c r="AP36" s="3775"/>
      <c r="AQ36" s="3775"/>
      <c r="AR36" s="3775"/>
      <c r="AS36" s="3823" t="s">
        <v>579</v>
      </c>
      <c r="AV36" s="481"/>
      <c r="AW36" s="481"/>
      <c r="AX36" s="481"/>
      <c r="AY36" s="481"/>
      <c r="AZ36" s="481"/>
      <c r="BA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824" t="s">
        <v>106</v>
      </c>
      <c r="AM37" s="3824"/>
      <c r="AN37" s="3824"/>
      <c r="AO37" s="3824"/>
      <c r="AP37" s="3824"/>
      <c r="AQ37" s="3824"/>
      <c r="AR37" s="3824"/>
      <c r="AS37" s="3824"/>
      <c r="BA37" s="1268">
        <v>14</v>
      </c>
    </row>
    <row customHeight="1" ht="15">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3825" t="s">
        <v>455</v>
      </c>
      <c r="AM38" s="3825"/>
      <c r="AN38" s="3825"/>
      <c r="AO38" s="3825"/>
      <c r="AP38" s="3825"/>
      <c r="AQ38" s="3825"/>
      <c r="AR38" s="3825"/>
      <c r="AS38" s="3825"/>
      <c r="AT38" s="2240"/>
      <c r="AU38" s="2240"/>
      <c r="BA38" s="1268"/>
    </row>
    <row customHeight="1" ht="14.699999999999998">
      <c r="Q39" s="489"/>
      <c r="R39" s="489"/>
      <c r="S39" s="2386" t="s">
        <v>90</v>
      </c>
      <c r="T39" s="2322" t="s">
        <v>580</v>
      </c>
      <c r="U39" s="414"/>
      <c r="V39" s="2387" t="s">
        <v>581</v>
      </c>
      <c r="W39" s="2388"/>
      <c r="X39" s="2404"/>
      <c r="Y39" s="2404"/>
      <c r="Z39" s="2388"/>
      <c r="AA39" s="2388"/>
      <c r="AB39" s="2389"/>
      <c r="AC39" s="2390" t="s">
        <v>582</v>
      </c>
      <c r="AD39" s="2387" t="s">
        <v>581</v>
      </c>
      <c r="AE39" s="2388"/>
      <c r="AF39" s="2404"/>
      <c r="AG39" s="2404"/>
      <c r="AH39" s="2388"/>
      <c r="AI39" s="2388"/>
      <c r="AJ39" s="2389"/>
      <c r="AK39" s="2390" t="s">
        <v>583</v>
      </c>
      <c r="AL39" s="3827" t="s">
        <v>581</v>
      </c>
      <c r="AM39" s="3828"/>
      <c r="AN39" s="3829"/>
      <c r="AO39" s="3829"/>
      <c r="AP39" s="3828"/>
      <c r="AQ39" s="3828"/>
      <c r="AR39" s="3830"/>
      <c r="AS39" s="3831" t="s">
        <v>582</v>
      </c>
      <c r="AT39" s="2393" t="s">
        <v>584</v>
      </c>
      <c r="AU39" s="2240"/>
      <c r="BA39" s="1268">
        <v>14</v>
      </c>
    </row>
    <row customHeight="1" ht="24">
      <c r="Q40" s="489"/>
      <c r="R40" s="489"/>
      <c r="S40" s="2386"/>
      <c r="T40" s="2322"/>
      <c r="U40" s="1144"/>
      <c r="V40" s="2405" t="s">
        <v>585</v>
      </c>
      <c r="W40" s="2407" t="s">
        <v>586</v>
      </c>
      <c r="X40" s="1489" t="s">
        <v>587</v>
      </c>
      <c r="Y40" s="1489"/>
      <c r="Z40" s="2382" t="s">
        <v>588</v>
      </c>
      <c r="AA40" s="2382"/>
      <c r="AB40" s="2376"/>
      <c r="AC40" s="2391"/>
      <c r="AD40" s="2405" t="s">
        <v>585</v>
      </c>
      <c r="AE40" s="2407" t="s">
        <v>586</v>
      </c>
      <c r="AF40" s="1489" t="s">
        <v>587</v>
      </c>
      <c r="AG40" s="1489"/>
      <c r="AH40" s="2382" t="s">
        <v>588</v>
      </c>
      <c r="AI40" s="2382"/>
      <c r="AJ40" s="2376"/>
      <c r="AK40" s="2391"/>
      <c r="AL40" s="3835" t="s">
        <v>585</v>
      </c>
      <c r="AM40" s="3836" t="s">
        <v>586</v>
      </c>
      <c r="AN40" s="3837" t="s">
        <v>587</v>
      </c>
      <c r="AO40" s="3837"/>
      <c r="AP40" s="3838" t="s">
        <v>588</v>
      </c>
      <c r="AQ40" s="3838"/>
      <c r="AR40" s="3839"/>
      <c r="AS40" s="3840"/>
      <c r="AT40" s="2394"/>
      <c r="AU40" s="2240"/>
      <c r="BA40" s="1268">
        <v>23</v>
      </c>
    </row>
    <row s="8380" customFormat="1" customHeight="1" ht="24">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M41" s="1475"/>
      <c r="N41" s="1475"/>
      <c r="O41" s="1475"/>
      <c r="P41" s="1441"/>
      <c r="Q41" s="489"/>
      <c r="R41" s="489"/>
      <c r="S41" s="2386"/>
      <c r="T41" s="2322"/>
      <c r="U41" s="415"/>
      <c r="V41" s="2406"/>
      <c r="W41" s="2408"/>
      <c r="X41" s="1486" t="s">
        <v>596</v>
      </c>
      <c r="Y41" s="1486" t="s">
        <v>597</v>
      </c>
      <c r="Z41" s="1447" t="s">
        <v>598</v>
      </c>
      <c r="AA41" s="2383" t="s">
        <v>599</v>
      </c>
      <c r="AB41" s="2384"/>
      <c r="AC41" s="2392"/>
      <c r="AD41" s="2406"/>
      <c r="AE41" s="2408"/>
      <c r="AF41" s="1486" t="s">
        <v>596</v>
      </c>
      <c r="AG41" s="1486" t="s">
        <v>597</v>
      </c>
      <c r="AH41" s="1447" t="s">
        <v>598</v>
      </c>
      <c r="AI41" s="2383" t="s">
        <v>599</v>
      </c>
      <c r="AJ41" s="2384"/>
      <c r="AK41" s="2392"/>
      <c r="AL41" s="3845"/>
      <c r="AM41" s="3846"/>
      <c r="AN41" s="3847" t="s">
        <v>596</v>
      </c>
      <c r="AO41" s="3847" t="s">
        <v>597</v>
      </c>
      <c r="AP41" s="3848" t="s">
        <v>598</v>
      </c>
      <c r="AQ41" s="3849" t="s">
        <v>599</v>
      </c>
      <c r="AR41" s="3848"/>
      <c r="AS41" s="3850"/>
      <c r="AT41" s="2395"/>
      <c r="AU41" s="2240"/>
      <c r="AV41" s="624"/>
      <c r="AW41" s="613"/>
      <c r="AX41" s="613"/>
      <c r="AY41" s="613"/>
      <c r="AZ41" s="613"/>
      <c r="BA41" s="695">
        <v>23</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3853">
        <f>OFFSET(AL42,0,-1)+1</f>
        <v>6</v>
      </c>
      <c r="AM42" s="3853"/>
      <c r="AN42" s="3854">
        <f>OFFSET(AN42,0,-1)+1</f>
        <v>1</v>
      </c>
      <c r="AO42" s="3854">
        <f>OFFSET(AO42,0,-1)+1</f>
        <v>2</v>
      </c>
      <c r="AP42" s="3853">
        <f>OFFSET(AP42,0,-1)+1</f>
        <v>3</v>
      </c>
      <c r="AQ42" s="3853">
        <f>OFFSET(AQ42,0,-1)+1</f>
        <v>4</v>
      </c>
      <c r="AR42" s="3853"/>
      <c r="AS42" s="3853">
        <f>OFFSET(AS42,0,-2)+1</f>
        <v>5</v>
      </c>
      <c r="AT42" s="1358">
        <f>OFFSET(AT42,0,-1)</f>
        <v>5</v>
      </c>
      <c r="AU42" s="1448">
        <f>OFFSET(AU42,0,-1)+1</f>
        <v>6</v>
      </c>
      <c r="AV42" s="624"/>
      <c r="AW42" s="624"/>
      <c r="AX42" s="624"/>
      <c r="AY42" s="624"/>
      <c r="AZ42" s="624"/>
      <c r="BA42" s="609">
        <v>0</v>
      </c>
    </row>
    <row customHeight="1" ht="22.049999999999997">
      <c r="A43" s="1476" t="s">
        <v>267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200</v>
      </c>
      <c r="U43" s="413"/>
      <c r="V43" s="2355"/>
      <c r="W43" s="2356"/>
      <c r="X43" s="2356"/>
      <c r="Y43" s="2356"/>
      <c r="Z43" s="2356"/>
      <c r="AA43" s="2356"/>
      <c r="AB43" s="2356"/>
      <c r="AC43" s="2357"/>
      <c r="AD43" s="2355" t="str">
        <f>INDEX(PT_DIFFERENTIATION_NTAR,MATCH(A43,PT_DIFFERENTIATION_NTAR_ID,0))</f>
        <v>Плата за услуги по поддержанию резервной тепловой мощности при отсутствии потребления тепловой энергии </v>
      </c>
      <c r="AE43" s="2356"/>
      <c r="AF43" s="2356"/>
      <c r="AG43" s="2356"/>
      <c r="AH43" s="2356"/>
      <c r="AI43" s="2356"/>
      <c r="AJ43" s="2356"/>
      <c r="AK43" s="2356"/>
      <c r="AL43" s="3776"/>
      <c r="AM43" s="3777"/>
      <c r="AN43" s="3777"/>
      <c r="AO43" s="3777"/>
      <c r="AP43" s="3777"/>
      <c r="AQ43" s="3777"/>
      <c r="AR43" s="3777"/>
      <c r="AS43" s="3778"/>
      <c r="AT43" s="2357"/>
      <c r="AU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613"/>
      <c r="AX43" s="613" t="str">
        <f>IF(T43="","",T43)</f>
        <v>Наименование тарифа</v>
      </c>
      <c r="AY43" s="613"/>
      <c r="AZ43" s="613"/>
      <c r="BA43" s="1268">
        <v>21</v>
      </c>
    </row>
    <row customHeight="1" ht="22.049999999999997">
      <c r="A44" s="1476" t="s">
        <v>267</v>
      </c>
      <c r="B44" s="1476" t="s">
        <v>268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552</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3776"/>
      <c r="AM44" s="3777"/>
      <c r="AN44" s="3777"/>
      <c r="AO44" s="3777"/>
      <c r="AP44" s="3777"/>
      <c r="AQ44" s="3777"/>
      <c r="AR44" s="3777"/>
      <c r="AS44" s="3778"/>
      <c r="AT44" s="2357"/>
      <c r="AU44" s="1371" t="s">
        <v>553</v>
      </c>
      <c r="AW44" s="613"/>
      <c r="AX44" s="613" t="str">
        <f>IF(T44="","",T44)</f>
        <v>Территория действия тарифа</v>
      </c>
      <c r="AY44" s="613"/>
      <c r="AZ44" s="613"/>
      <c r="BA44" s="1268">
        <v>21</v>
      </c>
    </row>
    <row customHeight="1" ht="24">
      <c r="A45" s="1476" t="s">
        <v>267</v>
      </c>
      <c r="B45" s="1476" t="s">
        <v>268</v>
      </c>
      <c r="C45" s="1476" t="s">
        <v>269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554</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76"/>
      <c r="AM45" s="3777"/>
      <c r="AN45" s="3777"/>
      <c r="AO45" s="3777"/>
      <c r="AP45" s="3777"/>
      <c r="AQ45" s="3777"/>
      <c r="AR45" s="3777"/>
      <c r="AS45" s="3778"/>
      <c r="AT45" s="2357"/>
      <c r="AU45" s="1371" t="s">
        <v>555</v>
      </c>
      <c r="AW45" s="613"/>
      <c r="AX45" s="613" t="str">
        <f>IF(T45="","",T45)</f>
        <v>Наименование системы теплоснабжения </v>
      </c>
      <c r="AY45" s="613"/>
      <c r="AZ45" s="613"/>
      <c r="BA45" s="1268">
        <v>23</v>
      </c>
    </row>
    <row customHeight="1" ht="22.049999999999997">
      <c r="A46" s="1476" t="s">
        <v>267</v>
      </c>
      <c r="B46" s="1476" t="s">
        <v>268</v>
      </c>
      <c r="C46" s="1476" t="s">
        <v>269</v>
      </c>
      <c r="D46" s="1476" t="s">
        <v>270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556</v>
      </c>
      <c r="U46" s="413"/>
      <c r="V46" s="2355"/>
      <c r="W46" s="2356"/>
      <c r="X46" s="2356"/>
      <c r="Y46" s="2356"/>
      <c r="Z46" s="2356"/>
      <c r="AA46" s="2356"/>
      <c r="AB46" s="2356"/>
      <c r="AC46" s="2357"/>
      <c r="AD46" s="2355" t="str">
        <f>INDEX(PT_DIFFERENTIATION_IST_TE,MATCH(D46,PT_DIFFERENTIATION_IST_TE_ID,0))</f>
        <v>Городской округ город-герой Мурманск (кроме п.Росляково)</v>
      </c>
      <c r="AE46" s="2356"/>
      <c r="AF46" s="2356"/>
      <c r="AG46" s="2356"/>
      <c r="AH46" s="2356"/>
      <c r="AI46" s="2356"/>
      <c r="AJ46" s="2356"/>
      <c r="AK46" s="2356"/>
      <c r="AL46" s="3776"/>
      <c r="AM46" s="3777"/>
      <c r="AN46" s="3777"/>
      <c r="AO46" s="3777"/>
      <c r="AP46" s="3777"/>
      <c r="AQ46" s="3777"/>
      <c r="AR46" s="3777"/>
      <c r="AS46" s="3778"/>
      <c r="AT46" s="2357"/>
      <c r="AU46" s="1371" t="s">
        <v>557</v>
      </c>
      <c r="AW46" s="613"/>
      <c r="AX46" s="613" t="str">
        <f>IF(T46="","",T46)</f>
        <v>Источник тепловой энергии  </v>
      </c>
      <c r="AY46" s="613"/>
      <c r="AZ46" s="613"/>
      <c r="BA46" s="1268">
        <v>21</v>
      </c>
    </row>
    <row customHeight="1" ht="49.5">
      <c r="A47" s="1476" t="s">
        <v>267</v>
      </c>
      <c r="B47" s="1476" t="s">
        <v>268</v>
      </c>
      <c r="C47" s="1476" t="s">
        <v>269</v>
      </c>
      <c r="D47" s="1476" t="s">
        <v>270</v>
      </c>
      <c r="E47" s="2372"/>
      <c r="F47" s="2372"/>
      <c r="G47" s="2372"/>
      <c r="H47" s="2372"/>
      <c r="I47" s="2369" t="str">
        <f>S46&amp;".1"</f>
        <v>1.1.1.1.1</v>
      </c>
      <c r="J47" s="1476"/>
      <c r="K47" s="1476"/>
      <c r="L47" s="1477" t="s">
        <v>558</v>
      </c>
      <c r="P47" s="2370">
        <v>1</v>
      </c>
      <c r="Q47" s="1444"/>
      <c r="R47" s="469"/>
      <c r="S47" s="1449" t="str">
        <f>$I47</f>
        <v>1.1.1.1.1</v>
      </c>
      <c r="T47" s="398" t="s">
        <v>559</v>
      </c>
      <c r="U47" s="413"/>
      <c r="V47" s="2358"/>
      <c r="W47" s="2359"/>
      <c r="X47" s="2359"/>
      <c r="Y47" s="2359"/>
      <c r="Z47" s="2359"/>
      <c r="AA47" s="2359"/>
      <c r="AB47" s="2359"/>
      <c r="AC47" s="2360"/>
      <c r="AD47" s="2358" t="s">
        <v>601</v>
      </c>
      <c r="AE47" s="2359"/>
      <c r="AF47" s="2359"/>
      <c r="AG47" s="2359"/>
      <c r="AH47" s="2359"/>
      <c r="AI47" s="2359"/>
      <c r="AJ47" s="2359"/>
      <c r="AK47" s="2359"/>
      <c r="AL47" s="3779"/>
      <c r="AM47" s="3780"/>
      <c r="AN47" s="3780"/>
      <c r="AO47" s="3780"/>
      <c r="AP47" s="3780"/>
      <c r="AQ47" s="3780"/>
      <c r="AR47" s="3780"/>
      <c r="AS47" s="3781"/>
      <c r="AT47" s="2360"/>
      <c r="AU47" s="1371" t="s">
        <v>560</v>
      </c>
      <c r="AW47" s="613"/>
      <c r="AX47" s="613" t="str">
        <f>IF(T47="","",T47)</f>
        <v>Схема подключения теплопотребляющей установки к коллектору источника тепловой энергии</v>
      </c>
      <c r="AY47" s="613"/>
      <c r="AZ47" s="613"/>
      <c r="BA47" s="1268">
        <v>47</v>
      </c>
    </row>
    <row customHeight="1" ht="22.049999999999997">
      <c r="A48" s="1476" t="s">
        <v>267</v>
      </c>
      <c r="B48" s="1476" t="s">
        <v>268</v>
      </c>
      <c r="C48" s="1476" t="s">
        <v>269</v>
      </c>
      <c r="D48" s="1476" t="s">
        <v>270</v>
      </c>
      <c r="E48" s="2372"/>
      <c r="F48" s="2372"/>
      <c r="G48" s="2372"/>
      <c r="H48" s="2372"/>
      <c r="I48" s="2399"/>
      <c r="J48" s="2369" t="str">
        <f>I47&amp;".1"</f>
        <v>1.1.1.1.1.1</v>
      </c>
      <c r="K48" s="1476"/>
      <c r="L48" s="1477" t="s">
        <v>561</v>
      </c>
      <c r="P48" s="2370"/>
      <c r="Q48" s="2370">
        <v>1</v>
      </c>
      <c r="R48" s="470"/>
      <c r="S48" s="1449" t="str">
        <f>$J48</f>
        <v>1.1.1.1.1.1</v>
      </c>
      <c r="T48" s="399" t="s">
        <v>562</v>
      </c>
      <c r="U48" s="413"/>
      <c r="V48" s="2358"/>
      <c r="W48" s="2359"/>
      <c r="X48" s="2359"/>
      <c r="Y48" s="2359"/>
      <c r="Z48" s="2359"/>
      <c r="AA48" s="2359"/>
      <c r="AB48" s="2359"/>
      <c r="AC48" s="2360"/>
      <c r="AD48" s="2358" t="s">
        <v>602</v>
      </c>
      <c r="AE48" s="2359"/>
      <c r="AF48" s="2359"/>
      <c r="AG48" s="2359"/>
      <c r="AH48" s="2359"/>
      <c r="AI48" s="2359"/>
      <c r="AJ48" s="2359"/>
      <c r="AK48" s="2359"/>
      <c r="AL48" s="3779"/>
      <c r="AM48" s="3780"/>
      <c r="AN48" s="3780"/>
      <c r="AO48" s="3780"/>
      <c r="AP48" s="3780"/>
      <c r="AQ48" s="3780"/>
      <c r="AR48" s="3780"/>
      <c r="AS48" s="3781"/>
      <c r="AT48" s="2360"/>
      <c r="AU48" s="1371" t="s">
        <v>563</v>
      </c>
      <c r="AW48" s="613"/>
      <c r="AX48" s="613" t="str">
        <f>IF(T48="","",T48)</f>
        <v>Группа потребителей</v>
      </c>
      <c r="AY48" s="613"/>
      <c r="AZ48" s="613"/>
      <c r="BA48" s="1268">
        <v>21</v>
      </c>
    </row>
    <row customHeight="1" ht="22.049999999999997">
      <c r="A49" s="1476" t="s">
        <v>267</v>
      </c>
      <c r="B49" s="1476" t="s">
        <v>268</v>
      </c>
      <c r="C49" s="1476" t="s">
        <v>269</v>
      </c>
      <c r="D49" s="1476" t="s">
        <v>270</v>
      </c>
      <c r="E49" s="2372"/>
      <c r="F49" s="2372"/>
      <c r="G49" s="2372"/>
      <c r="H49" s="2372"/>
      <c r="I49" s="2399"/>
      <c r="J49" s="2399"/>
      <c r="K49" s="2369" t="str">
        <f>J48&amp;".1"</f>
        <v>1.1.1.1.1.1.1</v>
      </c>
      <c r="L49" s="1477" t="s">
        <v>564</v>
      </c>
      <c r="P49" s="2370"/>
      <c r="Q49" s="2370"/>
      <c r="R49" s="470">
        <v>1</v>
      </c>
      <c r="S49" s="1449" t="str">
        <f>$K49</f>
        <v>1.1.1.1.1.1.1</v>
      </c>
      <c r="T49" s="1460" t="s">
        <v>603</v>
      </c>
      <c r="U49" s="413"/>
      <c r="V49" s="3855"/>
      <c r="W49" s="3855"/>
      <c r="X49" s="3855"/>
      <c r="Y49" s="3856"/>
      <c r="Z49" s="3857"/>
      <c r="AA49" s="3858" t="s">
        <v>63</v>
      </c>
      <c r="AB49" s="3857"/>
      <c r="AC49" s="3858" t="s">
        <v>63</v>
      </c>
      <c r="AD49" s="438"/>
      <c r="AE49" s="864">
        <v>705.55</v>
      </c>
      <c r="AF49" s="438"/>
      <c r="AG49" s="497"/>
      <c r="AH49" s="3786">
        <v>45658</v>
      </c>
      <c r="AI49" s="2220" t="s">
        <v>63</v>
      </c>
      <c r="AJ49" s="3859">
        <v>46022</v>
      </c>
      <c r="AK49" s="2220" t="s">
        <v>19</v>
      </c>
      <c r="AL49" s="3855"/>
      <c r="AM49" s="3855"/>
      <c r="AN49" s="3855"/>
      <c r="AO49" s="3856"/>
      <c r="AP49" s="3857"/>
      <c r="AQ49" s="3858" t="s">
        <v>63</v>
      </c>
      <c r="AR49" s="3857"/>
      <c r="AS49" s="3858" t="s">
        <v>63</v>
      </c>
      <c r="AT49" s="1461"/>
      <c r="AU49" s="2366" t="s">
        <v>565</v>
      </c>
      <c r="AV49" s="624">
        <f>STRCHECKDATE(V50:AT50)</f>
      </c>
      <c r="AW49" s="613"/>
      <c r="AX49" s="613" t="str">
        <f>IF(T49="","",T49)</f>
        <v>вода</v>
      </c>
      <c r="AY49" s="613"/>
      <c r="AZ49" s="613"/>
      <c r="BA49" s="1268">
        <v>21</v>
      </c>
    </row>
    <row customHeight="1" ht="1.05">
      <c r="A50" s="1476" t="s">
        <v>267</v>
      </c>
      <c r="B50" s="1476" t="s">
        <v>268</v>
      </c>
      <c r="C50" s="1476" t="s">
        <v>269</v>
      </c>
      <c r="D50" s="1476" t="s">
        <v>270</v>
      </c>
      <c r="E50" s="2372"/>
      <c r="F50" s="2372"/>
      <c r="G50" s="2372"/>
      <c r="H50" s="2372"/>
      <c r="I50" s="2399"/>
      <c r="J50" s="2399"/>
      <c r="K50" s="2369"/>
      <c r="L50" s="1477"/>
      <c r="P50" s="2370"/>
      <c r="Q50" s="2370"/>
      <c r="R50" s="470"/>
      <c r="S50" s="1455"/>
      <c r="T50" s="413"/>
      <c r="U50" s="413"/>
      <c r="V50" s="3855"/>
      <c r="W50" s="3855"/>
      <c r="X50" s="3855"/>
      <c r="Y50" s="3787" t="str">
        <f>Z49&amp;"-"&amp;AB49</f>
        <v>-</v>
      </c>
      <c r="Z50" s="3858"/>
      <c r="AA50" s="3858"/>
      <c r="AB50" s="3858"/>
      <c r="AC50" s="3858"/>
      <c r="AD50" s="438"/>
      <c r="AE50" s="438"/>
      <c r="AF50" s="438"/>
      <c r="AG50" s="441" t="str">
        <f>AH49&amp;"-"&amp;AJ49</f>
        <v>45658-46022</v>
      </c>
      <c r="AH50" s="2379"/>
      <c r="AI50" s="2220"/>
      <c r="AJ50" s="2401"/>
      <c r="AK50" s="2220"/>
      <c r="AL50" s="3855"/>
      <c r="AM50" s="3855"/>
      <c r="AN50" s="3855"/>
      <c r="AO50" s="3787" t="str">
        <f>AP49&amp;"-"&amp;AR49</f>
        <v>-</v>
      </c>
      <c r="AP50" s="3858"/>
      <c r="AQ50" s="3858"/>
      <c r="AR50" s="3858"/>
      <c r="AS50" s="3858"/>
      <c r="AT50" s="1462"/>
      <c r="AU50" s="2367"/>
      <c r="AW50" s="613"/>
      <c r="AX50" s="613" t="str">
        <f>IF(T50="","",T50)</f>
        <v/>
      </c>
      <c r="AY50" s="613"/>
      <c r="AZ50" s="613"/>
      <c r="BA50" s="1268">
        <v>1</v>
      </c>
    </row>
    <row customHeight="1" ht="11.549999999999999">
      <c r="A51" s="1476" t="s">
        <v>267</v>
      </c>
      <c r="B51" s="1476" t="s">
        <v>268</v>
      </c>
      <c r="C51" s="1476" t="s">
        <v>269</v>
      </c>
      <c r="D51" s="1476" t="s">
        <v>270</v>
      </c>
      <c r="E51" s="2372"/>
      <c r="F51" s="2372"/>
      <c r="G51" s="2372"/>
      <c r="H51" s="2372"/>
      <c r="I51" s="2399"/>
      <c r="J51" s="2369"/>
      <c r="K51" s="1476"/>
      <c r="L51" s="1477"/>
      <c r="P51" s="2370"/>
      <c r="Q51" s="2370"/>
      <c r="R51" s="469"/>
      <c r="S51" s="1391"/>
      <c r="T51" s="401" t="s">
        <v>566</v>
      </c>
      <c r="U51" s="480"/>
      <c r="V51" s="480"/>
      <c r="W51" s="480"/>
      <c r="X51" s="480"/>
      <c r="Y51" s="480"/>
      <c r="Z51" s="480"/>
      <c r="AA51" s="480"/>
      <c r="AB51" s="480"/>
      <c r="AC51" s="480"/>
      <c r="AD51" s="480"/>
      <c r="AE51" s="480"/>
      <c r="AF51" s="480"/>
      <c r="AG51" s="480"/>
      <c r="AH51" s="480"/>
      <c r="AI51" s="480"/>
      <c r="AJ51" s="480"/>
      <c r="AK51" s="480"/>
      <c r="AL51" s="3860"/>
      <c r="AM51" s="3861"/>
      <c r="AN51" s="3862"/>
      <c r="AO51" s="3863"/>
      <c r="AP51" s="3864"/>
      <c r="AQ51" s="3865"/>
      <c r="AR51" s="3866"/>
      <c r="AS51" s="3867"/>
      <c r="AT51" s="437"/>
      <c r="AU51" s="2368"/>
      <c r="AW51" s="613"/>
      <c r="AX51" s="613" t="str">
        <f>IF(T51="","",T51)</f>
        <v>Добавить вид теплоносителя (параметры теплоносителя)</v>
      </c>
      <c r="AY51" s="613"/>
      <c r="AZ51" s="613"/>
      <c r="BA51" s="1268">
        <v>11</v>
      </c>
    </row>
    <row customHeight="1" ht="11.549999999999999">
      <c r="A52" s="1476" t="s">
        <v>267</v>
      </c>
      <c r="B52" s="1476" t="s">
        <v>268</v>
      </c>
      <c r="C52" s="1476" t="s">
        <v>269</v>
      </c>
      <c r="D52" s="1476" t="s">
        <v>270</v>
      </c>
      <c r="E52" s="2372"/>
      <c r="F52" s="2372"/>
      <c r="G52" s="2372"/>
      <c r="H52" s="2372"/>
      <c r="I52" s="2369"/>
      <c r="J52" s="1476"/>
      <c r="K52" s="1476"/>
      <c r="L52" s="1477"/>
      <c r="P52" s="2370"/>
      <c r="Q52" s="1444"/>
      <c r="R52" s="469"/>
      <c r="S52" s="1391"/>
      <c r="T52" s="400" t="s">
        <v>567</v>
      </c>
      <c r="U52" s="480"/>
      <c r="V52" s="480"/>
      <c r="W52" s="480"/>
      <c r="X52" s="480"/>
      <c r="Y52" s="480"/>
      <c r="Z52" s="480"/>
      <c r="AA52" s="480"/>
      <c r="AB52" s="480"/>
      <c r="AC52" s="479"/>
      <c r="AD52" s="480"/>
      <c r="AE52" s="480"/>
      <c r="AF52" s="480"/>
      <c r="AG52" s="480"/>
      <c r="AH52" s="480"/>
      <c r="AI52" s="480"/>
      <c r="AJ52" s="480"/>
      <c r="AK52" s="479"/>
      <c r="AL52" s="3868"/>
      <c r="AM52" s="3869"/>
      <c r="AN52" s="3870"/>
      <c r="AO52" s="3871"/>
      <c r="AP52" s="3872"/>
      <c r="AQ52" s="3873"/>
      <c r="AR52" s="3874"/>
      <c r="AS52" s="3875"/>
      <c r="AT52" s="480"/>
      <c r="AU52" s="416"/>
      <c r="AW52" s="613"/>
      <c r="AX52" s="613" t="str">
        <f>IF(T52="","",T52)</f>
        <v>Добавить группу потребителей</v>
      </c>
      <c r="AY52" s="613"/>
      <c r="AZ52" s="613"/>
      <c r="BA52" s="1268">
        <v>11</v>
      </c>
    </row>
    <row customHeight="1" ht="14.699999999999998">
      <c r="A53" s="1476" t="s">
        <v>267</v>
      </c>
      <c r="B53" s="1476" t="s">
        <v>268</v>
      </c>
      <c r="C53" s="1476" t="s">
        <v>269</v>
      </c>
      <c r="D53" s="1476" t="s">
        <v>270</v>
      </c>
      <c r="E53" s="2372"/>
      <c r="F53" s="2372"/>
      <c r="G53" s="2372"/>
      <c r="H53" s="2371"/>
      <c r="I53" s="1476"/>
      <c r="J53" s="1476"/>
      <c r="K53" s="1476"/>
      <c r="L53" s="1477"/>
      <c r="M53" s="1478"/>
      <c r="N53" s="1478"/>
      <c r="O53" s="650"/>
      <c r="P53" s="473"/>
      <c r="Q53" s="488"/>
      <c r="R53" s="468"/>
      <c r="S53" s="1391"/>
      <c r="T53" s="478" t="s">
        <v>568</v>
      </c>
      <c r="U53" s="480"/>
      <c r="V53" s="480"/>
      <c r="W53" s="480"/>
      <c r="X53" s="480"/>
      <c r="Y53" s="480"/>
      <c r="Z53" s="480"/>
      <c r="AA53" s="480"/>
      <c r="AB53" s="480"/>
      <c r="AC53" s="479"/>
      <c r="AD53" s="480"/>
      <c r="AE53" s="480"/>
      <c r="AF53" s="480"/>
      <c r="AG53" s="480"/>
      <c r="AH53" s="480"/>
      <c r="AI53" s="480"/>
      <c r="AJ53" s="480"/>
      <c r="AK53" s="479"/>
      <c r="AL53" s="3876"/>
      <c r="AM53" s="3877"/>
      <c r="AN53" s="3878"/>
      <c r="AO53" s="3879"/>
      <c r="AP53" s="3880"/>
      <c r="AQ53" s="3881"/>
      <c r="AR53" s="3882"/>
      <c r="AS53" s="3883"/>
      <c r="AT53" s="480"/>
      <c r="AU53" s="416"/>
      <c r="AW53" s="613"/>
      <c r="AX53" s="613" t="str">
        <f>IF(T53="","",T53)</f>
        <v>Добавить схему подключения</v>
      </c>
      <c r="AY53" s="613"/>
      <c r="AZ53" s="613"/>
      <c r="BA53" s="1268">
        <v>14</v>
      </c>
    </row>
    <row s="9195" customFormat="1" customHeight="1" ht="21">
      <c r="A54" s="3885"/>
      <c r="B54" s="3885"/>
      <c r="C54" s="3885"/>
      <c r="D54" s="3885" t="s">
        <v>272</v>
      </c>
      <c r="E54" s="3886"/>
      <c r="F54" s="3886"/>
      <c r="G54" s="3886"/>
      <c r="H54" s="3887" t="s">
        <v>105</v>
      </c>
      <c r="I54" s="3885"/>
      <c r="J54" s="3885"/>
      <c r="K54" s="3885"/>
      <c r="L54" s="3888"/>
      <c r="M54" s="3889"/>
      <c r="N54" s="3889"/>
      <c r="O54" s="3889"/>
      <c r="P54" s="3890"/>
      <c r="Q54" s="3891"/>
      <c r="R54" s="3892"/>
      <c r="S54" s="3893" t="str">
        <f>INDEX(PT_DIFFERENTIATION_NUM_IST_TE,MATCH(D54,PT_DIFFERENTIATION_IST_TE_ID,0))</f>
        <v>1.1.1.2</v>
      </c>
      <c r="T54" s="3894" t="s">
        <v>556</v>
      </c>
      <c r="U54" s="3895"/>
      <c r="V54" s="3776"/>
      <c r="W54" s="3777"/>
      <c r="X54" s="3777"/>
      <c r="Y54" s="3777"/>
      <c r="Z54" s="3777"/>
      <c r="AA54" s="3777"/>
      <c r="AB54" s="3777"/>
      <c r="AC54" s="3778"/>
      <c r="AD54" s="3776" t="str">
        <f>INDEX(PT_DIFFERENTIATION_IST_TE,MATCH(D54,PT_DIFFERENTIATION_IST_TE_ID,0))</f>
        <v>Городской округ город-герой Мурманск (п. Росляково)</v>
      </c>
      <c r="AE54" s="3777"/>
      <c r="AF54" s="3777"/>
      <c r="AG54" s="3777"/>
      <c r="AH54" s="3777"/>
      <c r="AI54" s="3777"/>
      <c r="AJ54" s="3777"/>
      <c r="AK54" s="3777"/>
      <c r="AL54" s="3776"/>
      <c r="AM54" s="3777"/>
      <c r="AN54" s="3777"/>
      <c r="AO54" s="3777"/>
      <c r="AP54" s="3777"/>
      <c r="AQ54" s="3777"/>
      <c r="AR54" s="3777"/>
      <c r="AS54" s="3778"/>
      <c r="AT54" s="3778"/>
      <c r="AU54" s="3896" t="s">
        <v>557</v>
      </c>
      <c r="AV54" s="3823"/>
      <c r="AW54" s="3897"/>
      <c r="AX54" s="3897" t="str">
        <f>IF(T54="","",T54)</f>
        <v>Источник тепловой энергии  </v>
      </c>
      <c r="AY54" s="3897"/>
      <c r="AZ54" s="3897"/>
      <c r="BA54" s="3775">
        <v>0</v>
      </c>
    </row>
    <row s="9209" customFormat="1" customHeight="1" ht="47.25">
      <c r="A55" s="3885"/>
      <c r="B55" s="3885"/>
      <c r="C55" s="3885"/>
      <c r="D55" s="3885"/>
      <c r="E55" s="3886"/>
      <c r="F55" s="3886"/>
      <c r="G55" s="3886"/>
      <c r="H55" s="3886">
        <v>1</v>
      </c>
      <c r="I55" s="3899" t="str">
        <f>S54&amp;".1"</f>
        <v>1.1.1.2.1</v>
      </c>
      <c r="J55" s="3885"/>
      <c r="K55" s="3885"/>
      <c r="L55" s="3888" t="s">
        <v>558</v>
      </c>
      <c r="M55" s="3815"/>
      <c r="N55" s="3900"/>
      <c r="O55" s="3900"/>
      <c r="P55" s="3901">
        <v>1</v>
      </c>
      <c r="Q55" s="3901"/>
      <c r="R55" s="3902"/>
      <c r="S55" s="3893" t="str">
        <f>$I55</f>
        <v>1.1.1.2.1</v>
      </c>
      <c r="T55" s="3903" t="s">
        <v>559</v>
      </c>
      <c r="U55" s="3895"/>
      <c r="V55" s="3779"/>
      <c r="W55" s="3780"/>
      <c r="X55" s="3780"/>
      <c r="Y55" s="3780"/>
      <c r="Z55" s="3780"/>
      <c r="AA55" s="3780"/>
      <c r="AB55" s="3780"/>
      <c r="AC55" s="3781"/>
      <c r="AD55" s="3779" t="s">
        <v>601</v>
      </c>
      <c r="AE55" s="3780"/>
      <c r="AF55" s="3780"/>
      <c r="AG55" s="3780"/>
      <c r="AH55" s="3780"/>
      <c r="AI55" s="3780"/>
      <c r="AJ55" s="3780"/>
      <c r="AK55" s="3780"/>
      <c r="AL55" s="3779"/>
      <c r="AM55" s="3780"/>
      <c r="AN55" s="3780"/>
      <c r="AO55" s="3780"/>
      <c r="AP55" s="3780"/>
      <c r="AQ55" s="3780"/>
      <c r="AR55" s="3780"/>
      <c r="AS55" s="3781"/>
      <c r="AT55" s="3781"/>
      <c r="AU55" s="3896" t="s">
        <v>560</v>
      </c>
      <c r="AV55" s="3823"/>
      <c r="AW55" s="3897"/>
      <c r="AX55" s="3897" t="str">
        <f>IF(T55="","",T55)</f>
        <v>Схема подключения теплопотребляющей установки к коллектору источника тепловой энергии</v>
      </c>
      <c r="AY55" s="3897"/>
      <c r="AZ55" s="3897"/>
      <c r="BA55" s="3775">
        <v>0</v>
      </c>
    </row>
    <row s="9215" customFormat="1" customHeight="1" ht="21">
      <c r="A56" s="3885"/>
      <c r="B56" s="3885"/>
      <c r="C56" s="3885"/>
      <c r="D56" s="3885"/>
      <c r="E56" s="3886"/>
      <c r="F56" s="3886"/>
      <c r="G56" s="3886"/>
      <c r="H56" s="3886">
        <v>1</v>
      </c>
      <c r="I56" s="3905"/>
      <c r="J56" s="3899" t="str">
        <f>I55&amp;".1"</f>
        <v>1.1.1.2.1.1</v>
      </c>
      <c r="K56" s="3885"/>
      <c r="L56" s="3888" t="s">
        <v>561</v>
      </c>
      <c r="M56" s="3815"/>
      <c r="N56" s="3815"/>
      <c r="O56" s="3900"/>
      <c r="P56" s="3901"/>
      <c r="Q56" s="3901">
        <v>1</v>
      </c>
      <c r="R56" s="3906"/>
      <c r="S56" s="3893" t="str">
        <f>$J56</f>
        <v>1.1.1.2.1.1</v>
      </c>
      <c r="T56" s="3907" t="s">
        <v>562</v>
      </c>
      <c r="U56" s="3895"/>
      <c r="V56" s="3779"/>
      <c r="W56" s="3780"/>
      <c r="X56" s="3780"/>
      <c r="Y56" s="3780"/>
      <c r="Z56" s="3780"/>
      <c r="AA56" s="3780"/>
      <c r="AB56" s="3780"/>
      <c r="AC56" s="3781"/>
      <c r="AD56" s="3779" t="s">
        <v>602</v>
      </c>
      <c r="AE56" s="3780"/>
      <c r="AF56" s="3780"/>
      <c r="AG56" s="3780"/>
      <c r="AH56" s="3780"/>
      <c r="AI56" s="3780"/>
      <c r="AJ56" s="3780"/>
      <c r="AK56" s="3780"/>
      <c r="AL56" s="3779"/>
      <c r="AM56" s="3780"/>
      <c r="AN56" s="3780"/>
      <c r="AO56" s="3780"/>
      <c r="AP56" s="3780"/>
      <c r="AQ56" s="3780"/>
      <c r="AR56" s="3780"/>
      <c r="AS56" s="3781"/>
      <c r="AT56" s="3781"/>
      <c r="AU56" s="3896" t="s">
        <v>563</v>
      </c>
      <c r="AV56" s="3823"/>
      <c r="AW56" s="3897"/>
      <c r="AX56" s="3897" t="str">
        <f>IF(T56="","",T56)</f>
        <v>Группа потребителей</v>
      </c>
      <c r="AY56" s="3897"/>
      <c r="AZ56" s="3897"/>
      <c r="BA56" s="3775">
        <v>0</v>
      </c>
    </row>
    <row s="9219" customFormat="1" customHeight="1" ht="21">
      <c r="A57" s="3885"/>
      <c r="B57" s="3885"/>
      <c r="C57" s="3885"/>
      <c r="D57" s="3885"/>
      <c r="E57" s="3886"/>
      <c r="F57" s="3886"/>
      <c r="G57" s="3886"/>
      <c r="H57" s="3886">
        <v>1</v>
      </c>
      <c r="I57" s="3905"/>
      <c r="J57" s="3905"/>
      <c r="K57" s="3899" t="str">
        <f>J56&amp;".1"</f>
        <v>1.1.1.2.1.1.1</v>
      </c>
      <c r="L57" s="3888" t="s">
        <v>564</v>
      </c>
      <c r="M57" s="3815"/>
      <c r="N57" s="3815"/>
      <c r="O57" s="3815"/>
      <c r="P57" s="3901"/>
      <c r="Q57" s="3901"/>
      <c r="R57" s="3906">
        <v>1</v>
      </c>
      <c r="S57" s="3893" t="str">
        <f>$K57</f>
        <v>1.1.1.2.1.1.1</v>
      </c>
      <c r="T57" s="3909" t="s">
        <v>603</v>
      </c>
      <c r="U57" s="3895"/>
      <c r="V57" s="3855"/>
      <c r="W57" s="3855"/>
      <c r="X57" s="3855"/>
      <c r="Y57" s="3856"/>
      <c r="Z57" s="3857"/>
      <c r="AA57" s="3858" t="s">
        <v>63</v>
      </c>
      <c r="AB57" s="3857"/>
      <c r="AC57" s="3858" t="s">
        <v>63</v>
      </c>
      <c r="AD57" s="3783"/>
      <c r="AE57" s="3784">
        <v>705.55</v>
      </c>
      <c r="AF57" s="3783"/>
      <c r="AG57" s="3785"/>
      <c r="AH57" s="3786">
        <v>45658</v>
      </c>
      <c r="AI57" s="3191" t="s">
        <v>63</v>
      </c>
      <c r="AJ57" s="3786">
        <v>46022</v>
      </c>
      <c r="AK57" s="3191" t="s">
        <v>19</v>
      </c>
      <c r="AL57" s="3855"/>
      <c r="AM57" s="3855"/>
      <c r="AN57" s="3855"/>
      <c r="AO57" s="3856"/>
      <c r="AP57" s="3857"/>
      <c r="AQ57" s="3858" t="s">
        <v>63</v>
      </c>
      <c r="AR57" s="3857"/>
      <c r="AS57" s="3858" t="s">
        <v>63</v>
      </c>
      <c r="AT57" s="3783"/>
      <c r="AU57" s="3910" t="s">
        <v>565</v>
      </c>
      <c r="AV57" s="3823">
        <f>STRCHECKDATE(V58:AT58)</f>
      </c>
      <c r="AW57" s="3897"/>
      <c r="AX57" s="3897" t="str">
        <f>IF(T57="","",T57)</f>
        <v>вода</v>
      </c>
      <c r="AY57" s="3897"/>
      <c r="AZ57" s="3897"/>
      <c r="BA57" s="3775">
        <v>0</v>
      </c>
    </row>
    <row s="9222" customFormat="1" customHeight="1" ht="0.75">
      <c r="A58" s="3885"/>
      <c r="B58" s="3885"/>
      <c r="C58" s="3885"/>
      <c r="D58" s="3885"/>
      <c r="E58" s="3886"/>
      <c r="F58" s="3886"/>
      <c r="G58" s="3886"/>
      <c r="H58" s="3886">
        <v>1</v>
      </c>
      <c r="I58" s="3905"/>
      <c r="J58" s="3905"/>
      <c r="K58" s="3899"/>
      <c r="L58" s="3888"/>
      <c r="M58" s="3815"/>
      <c r="N58" s="3815"/>
      <c r="O58" s="3815"/>
      <c r="P58" s="3901"/>
      <c r="Q58" s="3901"/>
      <c r="R58" s="3906"/>
      <c r="S58" s="3912"/>
      <c r="T58" s="3895"/>
      <c r="U58" s="3895"/>
      <c r="V58" s="3855"/>
      <c r="W58" s="3855"/>
      <c r="X58" s="3855"/>
      <c r="Y58" s="3787" t="str">
        <f>Z57&amp;"-"&amp;AB57</f>
        <v>-</v>
      </c>
      <c r="Z58" s="3858"/>
      <c r="AA58" s="3858"/>
      <c r="AB58" s="3858"/>
      <c r="AC58" s="3858"/>
      <c r="AD58" s="3783"/>
      <c r="AE58" s="3783"/>
      <c r="AF58" s="3783"/>
      <c r="AG58" s="3787" t="str">
        <f>AH57&amp;"-"&amp;AJ57</f>
        <v>45658-46022</v>
      </c>
      <c r="AH58" s="3788"/>
      <c r="AI58" s="3191"/>
      <c r="AJ58" s="3788"/>
      <c r="AK58" s="3191"/>
      <c r="AL58" s="3855"/>
      <c r="AM58" s="3855"/>
      <c r="AN58" s="3855"/>
      <c r="AO58" s="3787" t="str">
        <f>AP57&amp;"-"&amp;AR57</f>
        <v>-</v>
      </c>
      <c r="AP58" s="3858"/>
      <c r="AQ58" s="3858"/>
      <c r="AR58" s="3858"/>
      <c r="AS58" s="3858"/>
      <c r="AT58" s="3783"/>
      <c r="AU58" s="3913"/>
      <c r="AV58" s="3823"/>
      <c r="AW58" s="3897"/>
      <c r="AX58" s="3897" t="str">
        <f>IF(T58="","",T58)</f>
        <v/>
      </c>
      <c r="AY58" s="3897"/>
      <c r="AZ58" s="3897"/>
      <c r="BA58" s="3775">
        <v>0</v>
      </c>
    </row>
    <row s="9225" customFormat="1" customHeight="1" ht="15">
      <c r="A59" s="3885"/>
      <c r="B59" s="3885"/>
      <c r="C59" s="3885"/>
      <c r="D59" s="3885"/>
      <c r="E59" s="3886"/>
      <c r="F59" s="3886"/>
      <c r="G59" s="3886"/>
      <c r="H59" s="3886">
        <v>1</v>
      </c>
      <c r="I59" s="3905"/>
      <c r="J59" s="3899"/>
      <c r="K59" s="3885"/>
      <c r="L59" s="3888"/>
      <c r="M59" s="3815"/>
      <c r="N59" s="3815"/>
      <c r="O59" s="3900"/>
      <c r="P59" s="3901"/>
      <c r="Q59" s="3901"/>
      <c r="R59" s="3902"/>
      <c r="S59" s="3915"/>
      <c r="T59" s="3916" t="s">
        <v>566</v>
      </c>
      <c r="U59" s="3917"/>
      <c r="V59" s="3918"/>
      <c r="W59" s="3919"/>
      <c r="X59" s="3920"/>
      <c r="Y59" s="3921"/>
      <c r="Z59" s="3922"/>
      <c r="AA59" s="3923"/>
      <c r="AB59" s="3924"/>
      <c r="AC59" s="3925"/>
      <c r="AD59" s="3926"/>
      <c r="AE59" s="3927"/>
      <c r="AF59" s="3928"/>
      <c r="AG59" s="3929"/>
      <c r="AH59" s="3930"/>
      <c r="AI59" s="3931"/>
      <c r="AJ59" s="3932"/>
      <c r="AK59" s="3933"/>
      <c r="AL59" s="3934"/>
      <c r="AM59" s="3935"/>
      <c r="AN59" s="3936"/>
      <c r="AO59" s="3937"/>
      <c r="AP59" s="3938"/>
      <c r="AQ59" s="3939"/>
      <c r="AR59" s="3940"/>
      <c r="AS59" s="3941"/>
      <c r="AT59" s="3942"/>
      <c r="AU59" s="3943"/>
      <c r="AV59" s="3823"/>
      <c r="AW59" s="3897"/>
      <c r="AX59" s="3897" t="str">
        <f>IF(T59="","",T59)</f>
        <v>Добавить вид теплоносителя (параметры теплоносителя)</v>
      </c>
      <c r="AY59" s="3897"/>
      <c r="AZ59" s="3897"/>
      <c r="BA59" s="3775">
        <v>0</v>
      </c>
    </row>
    <row s="9255" customFormat="1" customHeight="1" ht="15">
      <c r="A60" s="3885"/>
      <c r="B60" s="3885"/>
      <c r="C60" s="3885"/>
      <c r="D60" s="3885"/>
      <c r="E60" s="3886"/>
      <c r="F60" s="3886"/>
      <c r="G60" s="3886"/>
      <c r="H60" s="3886">
        <v>1</v>
      </c>
      <c r="I60" s="3899"/>
      <c r="J60" s="3885"/>
      <c r="K60" s="3885"/>
      <c r="L60" s="3888"/>
      <c r="M60" s="3815"/>
      <c r="N60" s="3900"/>
      <c r="O60" s="3900"/>
      <c r="P60" s="3901"/>
      <c r="Q60" s="3901"/>
      <c r="R60" s="3902"/>
      <c r="S60" s="3945"/>
      <c r="T60" s="3946" t="s">
        <v>567</v>
      </c>
      <c r="U60" s="3947"/>
      <c r="V60" s="3948"/>
      <c r="W60" s="3949"/>
      <c r="X60" s="3950"/>
      <c r="Y60" s="3951"/>
      <c r="Z60" s="3952"/>
      <c r="AA60" s="3953"/>
      <c r="AB60" s="3954"/>
      <c r="AC60" s="3955"/>
      <c r="AD60" s="3956"/>
      <c r="AE60" s="3957"/>
      <c r="AF60" s="3958"/>
      <c r="AG60" s="3959"/>
      <c r="AH60" s="3960"/>
      <c r="AI60" s="3961"/>
      <c r="AJ60" s="3962"/>
      <c r="AK60" s="3963"/>
      <c r="AL60" s="3964"/>
      <c r="AM60" s="3965"/>
      <c r="AN60" s="3966"/>
      <c r="AO60" s="3967"/>
      <c r="AP60" s="3968"/>
      <c r="AQ60" s="3969"/>
      <c r="AR60" s="3970"/>
      <c r="AS60" s="3971"/>
      <c r="AT60" s="3972"/>
      <c r="AU60" s="3973"/>
      <c r="AV60" s="3823"/>
      <c r="AW60" s="3897"/>
      <c r="AX60" s="3897" t="str">
        <f>IF(T60="","",T60)</f>
        <v>Добавить группу потребителей</v>
      </c>
      <c r="AY60" s="3897"/>
      <c r="AZ60" s="3897"/>
      <c r="BA60" s="3775">
        <v>0</v>
      </c>
    </row>
    <row s="9285" customFormat="1" customHeight="1" ht="14.25">
      <c r="A61" s="3885"/>
      <c r="B61" s="3885"/>
      <c r="C61" s="3885"/>
      <c r="D61" s="3885"/>
      <c r="E61" s="3886"/>
      <c r="F61" s="3886"/>
      <c r="G61" s="3886"/>
      <c r="H61" s="3887">
        <v>1</v>
      </c>
      <c r="I61" s="3885"/>
      <c r="J61" s="3885"/>
      <c r="K61" s="3885"/>
      <c r="L61" s="3888"/>
      <c r="M61" s="3889"/>
      <c r="N61" s="3889"/>
      <c r="O61" s="3815"/>
      <c r="P61" s="3975"/>
      <c r="Q61" s="3976"/>
      <c r="R61" s="3977"/>
      <c r="S61" s="3978"/>
      <c r="T61" s="3979" t="s">
        <v>568</v>
      </c>
      <c r="U61" s="3980"/>
      <c r="V61" s="3981"/>
      <c r="W61" s="3982"/>
      <c r="X61" s="3983"/>
      <c r="Y61" s="3984"/>
      <c r="Z61" s="3985"/>
      <c r="AA61" s="3986"/>
      <c r="AB61" s="3987"/>
      <c r="AC61" s="3988"/>
      <c r="AD61" s="3989"/>
      <c r="AE61" s="3990"/>
      <c r="AF61" s="3991"/>
      <c r="AG61" s="3992"/>
      <c r="AH61" s="3993"/>
      <c r="AI61" s="3994"/>
      <c r="AJ61" s="3995"/>
      <c r="AK61" s="3996"/>
      <c r="AL61" s="3997"/>
      <c r="AM61" s="3998"/>
      <c r="AN61" s="3999"/>
      <c r="AO61" s="4000"/>
      <c r="AP61" s="4001"/>
      <c r="AQ61" s="4002"/>
      <c r="AR61" s="4003"/>
      <c r="AS61" s="4004"/>
      <c r="AT61" s="4005"/>
      <c r="AU61" s="4006"/>
      <c r="AV61" s="3823"/>
      <c r="AW61" s="3897"/>
      <c r="AX61" s="3897" t="str">
        <f>IF(T61="","",T61)</f>
        <v>Добавить схему подключения</v>
      </c>
      <c r="AY61" s="3897"/>
      <c r="AZ61" s="3897"/>
      <c r="BA61" s="3775">
        <v>0</v>
      </c>
    </row>
    <row s="8192" customFormat="1" customHeight="1" ht="1.05">
      <c r="A62" s="1456" t="s">
        <v>267</v>
      </c>
      <c r="B62" s="1456" t="s">
        <v>268</v>
      </c>
      <c r="C62" s="1456" t="s">
        <v>269</v>
      </c>
      <c r="D62" s="1427"/>
      <c r="E62" s="2372"/>
      <c r="F62" s="2372"/>
      <c r="G62" s="2371"/>
      <c r="H62" s="1427"/>
      <c r="I62" s="1427"/>
      <c r="J62" s="1427"/>
      <c r="K62" s="1427"/>
      <c r="L62" s="1452"/>
      <c r="M62" s="1428"/>
      <c r="N62" s="1428"/>
      <c r="P62" s="1429"/>
      <c r="Q62" s="1430"/>
      <c r="R62" s="1429"/>
      <c r="S62" s="1435"/>
      <c r="T62" s="1438" t="s">
        <v>273</v>
      </c>
      <c r="U62" s="1437"/>
      <c r="V62" s="1437"/>
      <c r="W62" s="1437"/>
      <c r="X62" s="1437"/>
      <c r="Y62" s="1437"/>
      <c r="Z62" s="1437"/>
      <c r="AA62" s="1437"/>
      <c r="AB62" s="1437"/>
      <c r="AC62" s="1437"/>
      <c r="AD62" s="1437"/>
      <c r="AE62" s="1437"/>
      <c r="AF62" s="1437"/>
      <c r="AG62" s="1437"/>
      <c r="AH62" s="1437"/>
      <c r="AI62" s="1437"/>
      <c r="AJ62" s="1437"/>
      <c r="AK62" s="1437"/>
      <c r="AL62" s="3814"/>
      <c r="AM62" s="3814"/>
      <c r="AN62" s="3814"/>
      <c r="AO62" s="3814"/>
      <c r="AP62" s="3814"/>
      <c r="AQ62" s="3814"/>
      <c r="AR62" s="3814"/>
      <c r="AS62" s="3814"/>
      <c r="AT62" s="1437"/>
      <c r="AU62" s="1437"/>
      <c r="AW62" s="902"/>
      <c r="AX62" s="902" t="str">
        <f>IF(T62="","",T62)</f>
        <v>Добавить источник для дифференциации</v>
      </c>
      <c r="AY62" s="902"/>
      <c r="AZ62" s="902"/>
      <c r="BA62" s="631">
        <v>1</v>
      </c>
    </row>
    <row s="8192" customFormat="1" customHeight="1" ht="1.05">
      <c r="A63" s="1456" t="s">
        <v>267</v>
      </c>
      <c r="B63" s="1456" t="s">
        <v>268</v>
      </c>
      <c r="C63" s="1427"/>
      <c r="D63" s="1427"/>
      <c r="E63" s="2372"/>
      <c r="F63" s="2371"/>
      <c r="G63" s="1427"/>
      <c r="H63" s="1427"/>
      <c r="I63" s="1427"/>
      <c r="J63" s="1427"/>
      <c r="K63" s="1427"/>
      <c r="L63" s="1452"/>
      <c r="M63" s="1434"/>
      <c r="N63" s="1434"/>
      <c r="P63" s="1429"/>
      <c r="Q63" s="1430"/>
      <c r="R63" s="1429"/>
      <c r="S63" s="1435"/>
      <c r="T63" s="1438" t="s">
        <v>274</v>
      </c>
      <c r="U63" s="1437"/>
      <c r="V63" s="1437"/>
      <c r="W63" s="1437"/>
      <c r="X63" s="1437"/>
      <c r="Y63" s="1437"/>
      <c r="Z63" s="1437"/>
      <c r="AA63" s="1437"/>
      <c r="AB63" s="1437"/>
      <c r="AC63" s="1437"/>
      <c r="AD63" s="1437"/>
      <c r="AE63" s="1437"/>
      <c r="AF63" s="1437"/>
      <c r="AG63" s="1437"/>
      <c r="AH63" s="1437"/>
      <c r="AI63" s="1437"/>
      <c r="AJ63" s="1437"/>
      <c r="AK63" s="1437"/>
      <c r="AL63" s="3814"/>
      <c r="AM63" s="3814"/>
      <c r="AN63" s="3814"/>
      <c r="AO63" s="3814"/>
      <c r="AP63" s="3814"/>
      <c r="AQ63" s="3814"/>
      <c r="AR63" s="3814"/>
      <c r="AS63" s="3814"/>
      <c r="AT63" s="1437"/>
      <c r="AU63" s="1437"/>
      <c r="AW63" s="902"/>
      <c r="AX63" s="902" t="str">
        <f>IF(T63="","",T63)</f>
        <v>Добавить централизованную систему для дифференциации</v>
      </c>
      <c r="AY63" s="902"/>
      <c r="AZ63" s="902"/>
      <c r="BA63" s="631">
        <v>1</v>
      </c>
    </row>
    <row s="9318" customFormat="1" customHeight="1" ht="21">
      <c r="A64" s="3885"/>
      <c r="B64" s="3885" t="s">
        <v>275</v>
      </c>
      <c r="C64" s="3885"/>
      <c r="D64" s="3885"/>
      <c r="E64" s="3886"/>
      <c r="F64" s="3887" t="s">
        <v>105</v>
      </c>
      <c r="G64" s="3885"/>
      <c r="H64" s="3885"/>
      <c r="I64" s="3885"/>
      <c r="J64" s="3885"/>
      <c r="K64" s="3885"/>
      <c r="L64" s="3888"/>
      <c r="M64" s="3889"/>
      <c r="N64" s="3889"/>
      <c r="O64" s="3889"/>
      <c r="P64" s="4008"/>
      <c r="Q64" s="3891"/>
      <c r="R64" s="3892"/>
      <c r="S64" s="3893" t="str">
        <f>INDEX(PT_DIFFERENTIATION_NUM_TER,MATCH(B64,PT_DIFFERENTIATION_TER_ID,0))</f>
        <v>1.2</v>
      </c>
      <c r="T64" s="4009" t="s">
        <v>552</v>
      </c>
      <c r="U64" s="3895"/>
      <c r="V64" s="3776"/>
      <c r="W64" s="3777"/>
      <c r="X64" s="3777"/>
      <c r="Y64" s="3777"/>
      <c r="Z64" s="3777"/>
      <c r="AA64" s="3777"/>
      <c r="AB64" s="3777"/>
      <c r="AC64" s="3778"/>
      <c r="AD64" s="3776" t="str">
        <f>INDEX(PT_DIFFERENTIATION_TER,MATCH(B64,PT_DIFFERENTIATION_TER_ID,0))</f>
        <v>Территория 2</v>
      </c>
      <c r="AE64" s="3777"/>
      <c r="AF64" s="3777"/>
      <c r="AG64" s="3777"/>
      <c r="AH64" s="3777"/>
      <c r="AI64" s="3777"/>
      <c r="AJ64" s="3777"/>
      <c r="AK64" s="3777"/>
      <c r="AL64" s="3776"/>
      <c r="AM64" s="3777"/>
      <c r="AN64" s="3777"/>
      <c r="AO64" s="3777"/>
      <c r="AP64" s="3777"/>
      <c r="AQ64" s="3777"/>
      <c r="AR64" s="3777"/>
      <c r="AS64" s="3778"/>
      <c r="AT64" s="3778"/>
      <c r="AU64" s="3896" t="s">
        <v>553</v>
      </c>
      <c r="AV64" s="3823"/>
      <c r="AW64" s="3897"/>
      <c r="AX64" s="3897" t="str">
        <f>IF(T64="","",T64)</f>
        <v>Территория действия тарифа</v>
      </c>
      <c r="AY64" s="3897"/>
      <c r="AZ64" s="3897"/>
      <c r="BA64" s="3775">
        <v>0</v>
      </c>
    </row>
    <row s="9321" customFormat="1" customHeight="1" ht="23.25">
      <c r="A65" s="3885"/>
      <c r="B65" s="3885"/>
      <c r="C65" s="3885" t="s">
        <v>276</v>
      </c>
      <c r="D65" s="3885"/>
      <c r="E65" s="3886"/>
      <c r="F65" s="3886">
        <v>1</v>
      </c>
      <c r="G65" s="3887">
        <v>1</v>
      </c>
      <c r="H65" s="3885"/>
      <c r="I65" s="3885"/>
      <c r="J65" s="3885"/>
      <c r="K65" s="3885"/>
      <c r="L65" s="3888"/>
      <c r="M65" s="3889"/>
      <c r="N65" s="3889"/>
      <c r="O65" s="3889"/>
      <c r="P65" s="3890"/>
      <c r="Q65" s="3891"/>
      <c r="R65" s="3892"/>
      <c r="S65" s="3893" t="str">
        <f>INDEX(PT_DIFFERENTIATION_NUM_CS,MATCH(C65,PT_DIFFERENTIATION_CS_ID,0))</f>
        <v>1.2.1</v>
      </c>
      <c r="T65" s="4011" t="s">
        <v>554</v>
      </c>
      <c r="U65" s="3895"/>
      <c r="V65" s="3776"/>
      <c r="W65" s="3777"/>
      <c r="X65" s="3777"/>
      <c r="Y65" s="3777"/>
      <c r="Z65" s="3777"/>
      <c r="AA65" s="3777"/>
      <c r="AB65" s="3777"/>
      <c r="AC65" s="3778"/>
      <c r="AD65" s="3776" t="str">
        <f>INDEX(PT_DIFFERENTIATION_CS,MATCH(C65,PT_DIFFERENTIATION_CS_ID,0))</f>
        <v>без дифференциации</v>
      </c>
      <c r="AE65" s="3777"/>
      <c r="AF65" s="3777"/>
      <c r="AG65" s="3777"/>
      <c r="AH65" s="3777"/>
      <c r="AI65" s="3777"/>
      <c r="AJ65" s="3777"/>
      <c r="AK65" s="3777"/>
      <c r="AL65" s="3776"/>
      <c r="AM65" s="3777"/>
      <c r="AN65" s="3777"/>
      <c r="AO65" s="3777"/>
      <c r="AP65" s="3777"/>
      <c r="AQ65" s="3777"/>
      <c r="AR65" s="3777"/>
      <c r="AS65" s="3778"/>
      <c r="AT65" s="3778"/>
      <c r="AU65" s="3896" t="s">
        <v>555</v>
      </c>
      <c r="AV65" s="3823"/>
      <c r="AW65" s="3897"/>
      <c r="AX65" s="3897" t="str">
        <f>IF(T65="","",T65)</f>
        <v>Наименование системы теплоснабжения </v>
      </c>
      <c r="AY65" s="3897"/>
      <c r="AZ65" s="3897"/>
      <c r="BA65" s="3775">
        <v>0</v>
      </c>
    </row>
    <row s="9323" customFormat="1" customHeight="1" ht="21">
      <c r="A66" s="3885"/>
      <c r="B66" s="3885"/>
      <c r="C66" s="3885"/>
      <c r="D66" s="3885" t="s">
        <v>277</v>
      </c>
      <c r="E66" s="3886"/>
      <c r="F66" s="3886">
        <v>1</v>
      </c>
      <c r="G66" s="3886"/>
      <c r="H66" s="3887">
        <v>1</v>
      </c>
      <c r="I66" s="3885"/>
      <c r="J66" s="3885"/>
      <c r="K66" s="3885"/>
      <c r="L66" s="3888"/>
      <c r="M66" s="3889"/>
      <c r="N66" s="3889"/>
      <c r="O66" s="3889"/>
      <c r="P66" s="3890"/>
      <c r="Q66" s="3891"/>
      <c r="R66" s="3892"/>
      <c r="S66" s="3893" t="str">
        <f>INDEX(PT_DIFFERENTIATION_NUM_IST_TE,MATCH(D66,PT_DIFFERENTIATION_IST_TE_ID,0))</f>
        <v>1.2.1.1</v>
      </c>
      <c r="T66" s="3894" t="s">
        <v>556</v>
      </c>
      <c r="U66" s="3895"/>
      <c r="V66" s="3776"/>
      <c r="W66" s="3777"/>
      <c r="X66" s="3777"/>
      <c r="Y66" s="3777"/>
      <c r="Z66" s="3777"/>
      <c r="AA66" s="3777"/>
      <c r="AB66" s="3777"/>
      <c r="AC66" s="3778"/>
      <c r="AD66" s="3776" t="str">
        <f>INDEX(PT_DIFFERENTIATION_IST_TE,MATCH(D66,PT_DIFFERENTIATION_IST_TE_ID,0))</f>
        <v>без дифференциации</v>
      </c>
      <c r="AE66" s="3777"/>
      <c r="AF66" s="3777"/>
      <c r="AG66" s="3777"/>
      <c r="AH66" s="3777"/>
      <c r="AI66" s="3777"/>
      <c r="AJ66" s="3777"/>
      <c r="AK66" s="3777"/>
      <c r="AL66" s="3776"/>
      <c r="AM66" s="3777"/>
      <c r="AN66" s="3777"/>
      <c r="AO66" s="3777"/>
      <c r="AP66" s="3777"/>
      <c r="AQ66" s="3777"/>
      <c r="AR66" s="3777"/>
      <c r="AS66" s="3778"/>
      <c r="AT66" s="3778"/>
      <c r="AU66" s="3896" t="s">
        <v>557</v>
      </c>
      <c r="AV66" s="3823"/>
      <c r="AW66" s="3897"/>
      <c r="AX66" s="3897" t="str">
        <f>IF(T66="","",T66)</f>
        <v>Источник тепловой энергии  </v>
      </c>
      <c r="AY66" s="3897"/>
      <c r="AZ66" s="3897"/>
      <c r="BA66" s="3775">
        <v>0</v>
      </c>
    </row>
    <row s="9324" customFormat="1" customHeight="1" ht="47.25">
      <c r="A67" s="3885"/>
      <c r="B67" s="3885"/>
      <c r="C67" s="3885"/>
      <c r="D67" s="3885"/>
      <c r="E67" s="3886"/>
      <c r="F67" s="3886">
        <v>1</v>
      </c>
      <c r="G67" s="3886"/>
      <c r="H67" s="3886"/>
      <c r="I67" s="3899" t="str">
        <f>S66&amp;".1"</f>
        <v>1.2.1.1.1</v>
      </c>
      <c r="J67" s="3885"/>
      <c r="K67" s="3885"/>
      <c r="L67" s="3888" t="s">
        <v>558</v>
      </c>
      <c r="M67" s="3815"/>
      <c r="N67" s="3900"/>
      <c r="O67" s="3900"/>
      <c r="P67" s="3901">
        <v>1</v>
      </c>
      <c r="Q67" s="3901"/>
      <c r="R67" s="3902"/>
      <c r="S67" s="3893" t="str">
        <f>$I67</f>
        <v>1.2.1.1.1</v>
      </c>
      <c r="T67" s="3903" t="s">
        <v>559</v>
      </c>
      <c r="U67" s="3895"/>
      <c r="V67" s="3779"/>
      <c r="W67" s="3780"/>
      <c r="X67" s="3780"/>
      <c r="Y67" s="3780"/>
      <c r="Z67" s="3780"/>
      <c r="AA67" s="3780"/>
      <c r="AB67" s="3780"/>
      <c r="AC67" s="3781"/>
      <c r="AD67" s="3779" t="s">
        <v>601</v>
      </c>
      <c r="AE67" s="3780"/>
      <c r="AF67" s="3780"/>
      <c r="AG67" s="3780"/>
      <c r="AH67" s="3780"/>
      <c r="AI67" s="3780"/>
      <c r="AJ67" s="3780"/>
      <c r="AK67" s="3780"/>
      <c r="AL67" s="3779"/>
      <c r="AM67" s="3780"/>
      <c r="AN67" s="3780"/>
      <c r="AO67" s="3780"/>
      <c r="AP67" s="3780"/>
      <c r="AQ67" s="3780"/>
      <c r="AR67" s="3780"/>
      <c r="AS67" s="3781"/>
      <c r="AT67" s="3781"/>
      <c r="AU67" s="3896" t="s">
        <v>560</v>
      </c>
      <c r="AV67" s="3823"/>
      <c r="AW67" s="3897"/>
      <c r="AX67" s="3897" t="str">
        <f>IF(T67="","",T67)</f>
        <v>Схема подключения теплопотребляющей установки к коллектору источника тепловой энергии</v>
      </c>
      <c r="AY67" s="3897"/>
      <c r="AZ67" s="3897"/>
      <c r="BA67" s="3775">
        <v>0</v>
      </c>
    </row>
    <row s="9325" customFormat="1" customHeight="1" ht="21">
      <c r="A68" s="3885"/>
      <c r="B68" s="3885"/>
      <c r="C68" s="3885"/>
      <c r="D68" s="3885"/>
      <c r="E68" s="3886"/>
      <c r="F68" s="3886">
        <v>1</v>
      </c>
      <c r="G68" s="3886"/>
      <c r="H68" s="3886"/>
      <c r="I68" s="3905"/>
      <c r="J68" s="3899" t="str">
        <f>I67&amp;".1"</f>
        <v>1.2.1.1.1.1</v>
      </c>
      <c r="K68" s="3885"/>
      <c r="L68" s="3888" t="s">
        <v>561</v>
      </c>
      <c r="M68" s="3815"/>
      <c r="N68" s="3815"/>
      <c r="O68" s="3900"/>
      <c r="P68" s="3901"/>
      <c r="Q68" s="3901">
        <v>1</v>
      </c>
      <c r="R68" s="3906"/>
      <c r="S68" s="3893" t="str">
        <f>$J68</f>
        <v>1.2.1.1.1.1</v>
      </c>
      <c r="T68" s="3907" t="s">
        <v>562</v>
      </c>
      <c r="U68" s="3895"/>
      <c r="V68" s="3779"/>
      <c r="W68" s="3780"/>
      <c r="X68" s="3780"/>
      <c r="Y68" s="3780"/>
      <c r="Z68" s="3780"/>
      <c r="AA68" s="3780"/>
      <c r="AB68" s="3780"/>
      <c r="AC68" s="3781"/>
      <c r="AD68" s="3779" t="s">
        <v>602</v>
      </c>
      <c r="AE68" s="3780"/>
      <c r="AF68" s="3780"/>
      <c r="AG68" s="3780"/>
      <c r="AH68" s="3780"/>
      <c r="AI68" s="3780"/>
      <c r="AJ68" s="3780"/>
      <c r="AK68" s="3780"/>
      <c r="AL68" s="3779"/>
      <c r="AM68" s="3780"/>
      <c r="AN68" s="3780"/>
      <c r="AO68" s="3780"/>
      <c r="AP68" s="3780"/>
      <c r="AQ68" s="3780"/>
      <c r="AR68" s="3780"/>
      <c r="AS68" s="3781"/>
      <c r="AT68" s="3781"/>
      <c r="AU68" s="3896" t="s">
        <v>563</v>
      </c>
      <c r="AV68" s="3823"/>
      <c r="AW68" s="3897"/>
      <c r="AX68" s="3897" t="str">
        <f>IF(T68="","",T68)</f>
        <v>Группа потребителей</v>
      </c>
      <c r="AY68" s="3897"/>
      <c r="AZ68" s="3897"/>
      <c r="BA68" s="3775">
        <v>0</v>
      </c>
    </row>
    <row s="9326" customFormat="1" customHeight="1" ht="21">
      <c r="A69" s="3885"/>
      <c r="B69" s="3885"/>
      <c r="C69" s="3885"/>
      <c r="D69" s="3885"/>
      <c r="E69" s="3886"/>
      <c r="F69" s="3886">
        <v>1</v>
      </c>
      <c r="G69" s="3886"/>
      <c r="H69" s="3886"/>
      <c r="I69" s="3905"/>
      <c r="J69" s="3905"/>
      <c r="K69" s="3899" t="str">
        <f>J68&amp;".1"</f>
        <v>1.2.1.1.1.1.1</v>
      </c>
      <c r="L69" s="3888" t="s">
        <v>564</v>
      </c>
      <c r="M69" s="3815"/>
      <c r="N69" s="3815"/>
      <c r="O69" s="3815"/>
      <c r="P69" s="3901"/>
      <c r="Q69" s="3901"/>
      <c r="R69" s="3906">
        <v>1</v>
      </c>
      <c r="S69" s="3893" t="str">
        <f>$K69</f>
        <v>1.2.1.1.1.1.1</v>
      </c>
      <c r="T69" s="3909" t="s">
        <v>603</v>
      </c>
      <c r="U69" s="3895"/>
      <c r="V69" s="3855"/>
      <c r="W69" s="3855"/>
      <c r="X69" s="3855"/>
      <c r="Y69" s="3856"/>
      <c r="Z69" s="3857"/>
      <c r="AA69" s="3858" t="s">
        <v>63</v>
      </c>
      <c r="AB69" s="3857"/>
      <c r="AC69" s="3858" t="s">
        <v>63</v>
      </c>
      <c r="AD69" s="3783"/>
      <c r="AE69" s="3784">
        <v>705.55</v>
      </c>
      <c r="AF69" s="3783"/>
      <c r="AG69" s="3785"/>
      <c r="AH69" s="3786">
        <v>45658</v>
      </c>
      <c r="AI69" s="3191" t="s">
        <v>63</v>
      </c>
      <c r="AJ69" s="3786">
        <v>46022</v>
      </c>
      <c r="AK69" s="3191" t="s">
        <v>19</v>
      </c>
      <c r="AL69" s="3855"/>
      <c r="AM69" s="3855"/>
      <c r="AN69" s="3855"/>
      <c r="AO69" s="3856"/>
      <c r="AP69" s="3857"/>
      <c r="AQ69" s="3858" t="s">
        <v>63</v>
      </c>
      <c r="AR69" s="3857"/>
      <c r="AS69" s="3858" t="s">
        <v>63</v>
      </c>
      <c r="AT69" s="3783"/>
      <c r="AU69" s="3910" t="s">
        <v>565</v>
      </c>
      <c r="AV69" s="3823">
        <f>STRCHECKDATE(V70:AT70)</f>
      </c>
      <c r="AW69" s="3897"/>
      <c r="AX69" s="3897" t="str">
        <f>IF(T69="","",T69)</f>
        <v>вода</v>
      </c>
      <c r="AY69" s="3897"/>
      <c r="AZ69" s="3897"/>
      <c r="BA69" s="3775">
        <v>0</v>
      </c>
    </row>
    <row s="9327" customFormat="1" customHeight="1" ht="0.75">
      <c r="A70" s="3885"/>
      <c r="B70" s="3885"/>
      <c r="C70" s="3885"/>
      <c r="D70" s="3885"/>
      <c r="E70" s="3886"/>
      <c r="F70" s="3886">
        <v>1</v>
      </c>
      <c r="G70" s="3886"/>
      <c r="H70" s="3886"/>
      <c r="I70" s="3905"/>
      <c r="J70" s="3905"/>
      <c r="K70" s="3899"/>
      <c r="L70" s="3888"/>
      <c r="M70" s="3815"/>
      <c r="N70" s="3815"/>
      <c r="O70" s="3815"/>
      <c r="P70" s="3901"/>
      <c r="Q70" s="3901"/>
      <c r="R70" s="3906"/>
      <c r="S70" s="3912"/>
      <c r="T70" s="3895"/>
      <c r="U70" s="3895"/>
      <c r="V70" s="3855"/>
      <c r="W70" s="3855"/>
      <c r="X70" s="3855"/>
      <c r="Y70" s="3787" t="str">
        <f>Z69&amp;"-"&amp;AB69</f>
        <v>-</v>
      </c>
      <c r="Z70" s="3858"/>
      <c r="AA70" s="3858"/>
      <c r="AB70" s="3858"/>
      <c r="AC70" s="3858"/>
      <c r="AD70" s="3783"/>
      <c r="AE70" s="3783"/>
      <c r="AF70" s="3783"/>
      <c r="AG70" s="3787" t="str">
        <f>AH69&amp;"-"&amp;AJ69</f>
        <v>45658-46022</v>
      </c>
      <c r="AH70" s="3788"/>
      <c r="AI70" s="3191"/>
      <c r="AJ70" s="3788"/>
      <c r="AK70" s="3191"/>
      <c r="AL70" s="3855"/>
      <c r="AM70" s="3855"/>
      <c r="AN70" s="3855"/>
      <c r="AO70" s="3787" t="str">
        <f>AP69&amp;"-"&amp;AR69</f>
        <v>-</v>
      </c>
      <c r="AP70" s="3858"/>
      <c r="AQ70" s="3858"/>
      <c r="AR70" s="3858"/>
      <c r="AS70" s="3858"/>
      <c r="AT70" s="3783"/>
      <c r="AU70" s="3913"/>
      <c r="AV70" s="3823"/>
      <c r="AW70" s="3897"/>
      <c r="AX70" s="3897" t="str">
        <f>IF(T70="","",T70)</f>
        <v/>
      </c>
      <c r="AY70" s="3897"/>
      <c r="AZ70" s="3897"/>
      <c r="BA70" s="3775">
        <v>0</v>
      </c>
    </row>
    <row s="9328" customFormat="1" customHeight="1" ht="15">
      <c r="A71" s="3885"/>
      <c r="B71" s="3885"/>
      <c r="C71" s="3885"/>
      <c r="D71" s="3885"/>
      <c r="E71" s="3886"/>
      <c r="F71" s="3886">
        <v>1</v>
      </c>
      <c r="G71" s="3886"/>
      <c r="H71" s="3886"/>
      <c r="I71" s="3905"/>
      <c r="J71" s="3899"/>
      <c r="K71" s="3885"/>
      <c r="L71" s="3888"/>
      <c r="M71" s="3815"/>
      <c r="N71" s="3815"/>
      <c r="O71" s="3900"/>
      <c r="P71" s="3901"/>
      <c r="Q71" s="3901"/>
      <c r="R71" s="3902"/>
      <c r="S71" s="4018"/>
      <c r="T71" s="4019" t="s">
        <v>566</v>
      </c>
      <c r="U71" s="4020"/>
      <c r="V71" s="4021"/>
      <c r="W71" s="4022"/>
      <c r="X71" s="4023"/>
      <c r="Y71" s="4024"/>
      <c r="Z71" s="4025"/>
      <c r="AA71" s="4026"/>
      <c r="AB71" s="4027"/>
      <c r="AC71" s="4028"/>
      <c r="AD71" s="4029"/>
      <c r="AE71" s="4030"/>
      <c r="AF71" s="4031"/>
      <c r="AG71" s="4032"/>
      <c r="AH71" s="4033"/>
      <c r="AI71" s="4034"/>
      <c r="AJ71" s="4035"/>
      <c r="AK71" s="4036"/>
      <c r="AL71" s="4037"/>
      <c r="AM71" s="4038"/>
      <c r="AN71" s="4039"/>
      <c r="AO71" s="4040"/>
      <c r="AP71" s="4041"/>
      <c r="AQ71" s="4042"/>
      <c r="AR71" s="4043"/>
      <c r="AS71" s="4044"/>
      <c r="AT71" s="4045"/>
      <c r="AU71" s="3943"/>
      <c r="AV71" s="3823"/>
      <c r="AW71" s="3897"/>
      <c r="AX71" s="3897" t="str">
        <f>IF(T71="","",T71)</f>
        <v>Добавить вид теплоносителя (параметры теплоносителя)</v>
      </c>
      <c r="AY71" s="3897"/>
      <c r="AZ71" s="3897"/>
      <c r="BA71" s="3775">
        <v>0</v>
      </c>
    </row>
    <row s="9357" customFormat="1" customHeight="1" ht="15">
      <c r="A72" s="3885"/>
      <c r="B72" s="3885"/>
      <c r="C72" s="3885"/>
      <c r="D72" s="3885"/>
      <c r="E72" s="3886"/>
      <c r="F72" s="3886">
        <v>1</v>
      </c>
      <c r="G72" s="3886"/>
      <c r="H72" s="3886"/>
      <c r="I72" s="3899"/>
      <c r="J72" s="3885"/>
      <c r="K72" s="3885"/>
      <c r="L72" s="3888"/>
      <c r="M72" s="3815"/>
      <c r="N72" s="3900"/>
      <c r="O72" s="3900"/>
      <c r="P72" s="3901"/>
      <c r="Q72" s="3901"/>
      <c r="R72" s="3902"/>
      <c r="S72" s="4047"/>
      <c r="T72" s="4048" t="s">
        <v>567</v>
      </c>
      <c r="U72" s="4049"/>
      <c r="V72" s="4050"/>
      <c r="W72" s="4051"/>
      <c r="X72" s="4052"/>
      <c r="Y72" s="4053"/>
      <c r="Z72" s="4054"/>
      <c r="AA72" s="4055"/>
      <c r="AB72" s="4056"/>
      <c r="AC72" s="4057"/>
      <c r="AD72" s="4058"/>
      <c r="AE72" s="4059"/>
      <c r="AF72" s="4060"/>
      <c r="AG72" s="4061"/>
      <c r="AH72" s="4062"/>
      <c r="AI72" s="4063"/>
      <c r="AJ72" s="4064"/>
      <c r="AK72" s="4065"/>
      <c r="AL72" s="4066"/>
      <c r="AM72" s="4067"/>
      <c r="AN72" s="4068"/>
      <c r="AO72" s="4069"/>
      <c r="AP72" s="4070"/>
      <c r="AQ72" s="4071"/>
      <c r="AR72" s="4072"/>
      <c r="AS72" s="4073"/>
      <c r="AT72" s="4074"/>
      <c r="AU72" s="4075"/>
      <c r="AV72" s="3823"/>
      <c r="AW72" s="3897"/>
      <c r="AX72" s="3897" t="str">
        <f>IF(T72="","",T72)</f>
        <v>Добавить группу потребителей</v>
      </c>
      <c r="AY72" s="3897"/>
      <c r="AZ72" s="3897"/>
      <c r="BA72" s="3775">
        <v>0</v>
      </c>
    </row>
    <row s="9387" customFormat="1" customHeight="1" ht="14.25">
      <c r="A73" s="3885"/>
      <c r="B73" s="3885"/>
      <c r="C73" s="3885"/>
      <c r="D73" s="3885"/>
      <c r="E73" s="3886"/>
      <c r="F73" s="3886">
        <v>1</v>
      </c>
      <c r="G73" s="3886"/>
      <c r="H73" s="3887"/>
      <c r="I73" s="3885"/>
      <c r="J73" s="3885"/>
      <c r="K73" s="3885"/>
      <c r="L73" s="3888"/>
      <c r="M73" s="3889"/>
      <c r="N73" s="3889"/>
      <c r="O73" s="3815"/>
      <c r="P73" s="3975"/>
      <c r="Q73" s="3976"/>
      <c r="R73" s="3977"/>
      <c r="S73" s="4077"/>
      <c r="T73" s="4078" t="s">
        <v>568</v>
      </c>
      <c r="U73" s="4079"/>
      <c r="V73" s="4080"/>
      <c r="W73" s="4081"/>
      <c r="X73" s="4082"/>
      <c r="Y73" s="4083"/>
      <c r="Z73" s="4084"/>
      <c r="AA73" s="4085"/>
      <c r="AB73" s="4086"/>
      <c r="AC73" s="4087"/>
      <c r="AD73" s="4088"/>
      <c r="AE73" s="4089"/>
      <c r="AF73" s="4090"/>
      <c r="AG73" s="4091"/>
      <c r="AH73" s="4092"/>
      <c r="AI73" s="4093"/>
      <c r="AJ73" s="4094"/>
      <c r="AK73" s="4095"/>
      <c r="AL73" s="4096"/>
      <c r="AM73" s="4097"/>
      <c r="AN73" s="4098"/>
      <c r="AO73" s="4099"/>
      <c r="AP73" s="4100"/>
      <c r="AQ73" s="4101"/>
      <c r="AR73" s="4102"/>
      <c r="AS73" s="4103"/>
      <c r="AT73" s="4104"/>
      <c r="AU73" s="4105"/>
      <c r="AV73" s="3823"/>
      <c r="AW73" s="3897"/>
      <c r="AX73" s="3897" t="str">
        <f>IF(T73="","",T73)</f>
        <v>Добавить схему подключения</v>
      </c>
      <c r="AY73" s="3897"/>
      <c r="AZ73" s="3897"/>
      <c r="BA73" s="3775">
        <v>0</v>
      </c>
    </row>
    <row s="9417" customFormat="1" customHeight="1" ht="0.75">
      <c r="A74" s="4107"/>
      <c r="B74" s="4107"/>
      <c r="C74" s="4107"/>
      <c r="D74" s="4107"/>
      <c r="E74" s="3886"/>
      <c r="F74" s="3886">
        <v>1</v>
      </c>
      <c r="G74" s="3887"/>
      <c r="H74" s="4107"/>
      <c r="I74" s="4107"/>
      <c r="J74" s="4107"/>
      <c r="K74" s="4107"/>
      <c r="L74" s="4108"/>
      <c r="M74" s="4109"/>
      <c r="N74" s="4109"/>
      <c r="O74" s="3823"/>
      <c r="P74" s="4110"/>
      <c r="Q74" s="4111"/>
      <c r="R74" s="4110"/>
      <c r="S74" s="4112"/>
      <c r="T74" s="4113" t="s">
        <v>273</v>
      </c>
      <c r="U74" s="3813"/>
      <c r="V74" s="3813"/>
      <c r="W74" s="3813"/>
      <c r="X74" s="3813"/>
      <c r="Y74" s="3813"/>
      <c r="Z74" s="3813"/>
      <c r="AA74" s="3813"/>
      <c r="AB74" s="3813"/>
      <c r="AC74" s="3813"/>
      <c r="AD74" s="3813"/>
      <c r="AE74" s="3813"/>
      <c r="AF74" s="3813"/>
      <c r="AG74" s="3813"/>
      <c r="AH74" s="3813"/>
      <c r="AI74" s="3813"/>
      <c r="AJ74" s="3813"/>
      <c r="AK74" s="3813"/>
      <c r="AL74" s="3813"/>
      <c r="AM74" s="3813"/>
      <c r="AN74" s="3813"/>
      <c r="AO74" s="3813"/>
      <c r="AP74" s="3813"/>
      <c r="AQ74" s="3813"/>
      <c r="AR74" s="3813"/>
      <c r="AS74" s="3813"/>
      <c r="AT74" s="3813"/>
      <c r="AU74" s="3813"/>
      <c r="AV74" s="3823"/>
      <c r="AW74" s="3897"/>
      <c r="AX74" s="3897" t="str">
        <f>IF(T74="","",T74)</f>
        <v>Добавить источник для дифференциации</v>
      </c>
      <c r="AY74" s="3897"/>
      <c r="AZ74" s="3897"/>
      <c r="BA74" s="3823">
        <v>0</v>
      </c>
    </row>
    <row s="9425" customFormat="1" customHeight="1" ht="0.75">
      <c r="A75" s="4107"/>
      <c r="B75" s="4107"/>
      <c r="C75" s="4107"/>
      <c r="D75" s="4107"/>
      <c r="E75" s="3886"/>
      <c r="F75" s="3887">
        <v>1</v>
      </c>
      <c r="G75" s="4107"/>
      <c r="H75" s="4107"/>
      <c r="I75" s="4107"/>
      <c r="J75" s="4107"/>
      <c r="K75" s="4107"/>
      <c r="L75" s="4108"/>
      <c r="M75" s="4115"/>
      <c r="N75" s="4115"/>
      <c r="O75" s="3823"/>
      <c r="P75" s="4110"/>
      <c r="Q75" s="4111"/>
      <c r="R75" s="4110"/>
      <c r="S75" s="4116"/>
      <c r="T75" s="4117" t="s">
        <v>274</v>
      </c>
      <c r="U75" s="3814"/>
      <c r="V75" s="3814"/>
      <c r="W75" s="3814"/>
      <c r="X75" s="3814"/>
      <c r="Y75" s="3814"/>
      <c r="Z75" s="3814"/>
      <c r="AA75" s="3814"/>
      <c r="AB75" s="3814"/>
      <c r="AC75" s="3814"/>
      <c r="AD75" s="3814"/>
      <c r="AE75" s="3814"/>
      <c r="AF75" s="3814"/>
      <c r="AG75" s="3814"/>
      <c r="AH75" s="3814"/>
      <c r="AI75" s="3814"/>
      <c r="AJ75" s="3814"/>
      <c r="AK75" s="3814"/>
      <c r="AL75" s="3814"/>
      <c r="AM75" s="3814"/>
      <c r="AN75" s="3814"/>
      <c r="AO75" s="3814"/>
      <c r="AP75" s="3814"/>
      <c r="AQ75" s="3814"/>
      <c r="AR75" s="3814"/>
      <c r="AS75" s="3814"/>
      <c r="AT75" s="3814"/>
      <c r="AU75" s="3814"/>
      <c r="AV75" s="3823"/>
      <c r="AW75" s="3897"/>
      <c r="AX75" s="3897" t="str">
        <f>IF(T75="","",T75)</f>
        <v>Добавить централизованную систему для дифференциации</v>
      </c>
      <c r="AY75" s="3897"/>
      <c r="AZ75" s="3897"/>
      <c r="BA75" s="3823">
        <v>0</v>
      </c>
    </row>
    <row s="9429" customFormat="1" customHeight="1" ht="21">
      <c r="A76" s="3885"/>
      <c r="B76" s="3885" t="s">
        <v>278</v>
      </c>
      <c r="C76" s="3885"/>
      <c r="D76" s="3885"/>
      <c r="E76" s="3886"/>
      <c r="F76" s="3887" t="s">
        <v>92</v>
      </c>
      <c r="G76" s="3885"/>
      <c r="H76" s="3885"/>
      <c r="I76" s="3885"/>
      <c r="J76" s="3885"/>
      <c r="K76" s="3885"/>
      <c r="L76" s="3888"/>
      <c r="M76" s="3889"/>
      <c r="N76" s="3889"/>
      <c r="O76" s="3889"/>
      <c r="P76" s="4008"/>
      <c r="Q76" s="3891"/>
      <c r="R76" s="3892"/>
      <c r="S76" s="3893" t="str">
        <f>INDEX(PT_DIFFERENTIATION_NUM_TER,MATCH(B76,PT_DIFFERENTIATION_TER_ID,0))</f>
        <v>1.3</v>
      </c>
      <c r="T76" s="4009" t="s">
        <v>552</v>
      </c>
      <c r="U76" s="3895"/>
      <c r="V76" s="3776"/>
      <c r="W76" s="3777"/>
      <c r="X76" s="3777"/>
      <c r="Y76" s="3777"/>
      <c r="Z76" s="3777"/>
      <c r="AA76" s="3777"/>
      <c r="AB76" s="3777"/>
      <c r="AC76" s="3778"/>
      <c r="AD76" s="3776" t="str">
        <f>INDEX(PT_DIFFERENTIATION_TER,MATCH(B76,PT_DIFFERENTIATION_TER_ID,0))</f>
        <v>Территория 3</v>
      </c>
      <c r="AE76" s="3777"/>
      <c r="AF76" s="3777"/>
      <c r="AG76" s="3777"/>
      <c r="AH76" s="3777"/>
      <c r="AI76" s="3777"/>
      <c r="AJ76" s="3777"/>
      <c r="AK76" s="3777"/>
      <c r="AL76" s="3776"/>
      <c r="AM76" s="3777"/>
      <c r="AN76" s="3777"/>
      <c r="AO76" s="3777"/>
      <c r="AP76" s="3777"/>
      <c r="AQ76" s="3777"/>
      <c r="AR76" s="3777"/>
      <c r="AS76" s="3778"/>
      <c r="AT76" s="3778"/>
      <c r="AU76" s="3896" t="s">
        <v>553</v>
      </c>
      <c r="AV76" s="3823"/>
      <c r="AW76" s="3897"/>
      <c r="AX76" s="3897" t="str">
        <f>IF(T76="","",T76)</f>
        <v>Территория действия тарифа</v>
      </c>
      <c r="AY76" s="3897"/>
      <c r="AZ76" s="3897"/>
      <c r="BA76" s="3775">
        <v>0</v>
      </c>
    </row>
    <row s="9430" customFormat="1" customHeight="1" ht="23.25">
      <c r="A77" s="3885"/>
      <c r="B77" s="3885"/>
      <c r="C77" s="3885" t="s">
        <v>279</v>
      </c>
      <c r="D77" s="3885"/>
      <c r="E77" s="3886"/>
      <c r="F77" s="3886" t="s">
        <v>105</v>
      </c>
      <c r="G77" s="3887">
        <v>1</v>
      </c>
      <c r="H77" s="3885"/>
      <c r="I77" s="3885"/>
      <c r="J77" s="3885"/>
      <c r="K77" s="3885"/>
      <c r="L77" s="3888"/>
      <c r="M77" s="3889"/>
      <c r="N77" s="3889"/>
      <c r="O77" s="3889"/>
      <c r="P77" s="3890"/>
      <c r="Q77" s="3891"/>
      <c r="R77" s="3892"/>
      <c r="S77" s="3893" t="str">
        <f>INDEX(PT_DIFFERENTIATION_NUM_CS,MATCH(C77,PT_DIFFERENTIATION_CS_ID,0))</f>
        <v>1.3.1</v>
      </c>
      <c r="T77" s="4011" t="s">
        <v>554</v>
      </c>
      <c r="U77" s="3895"/>
      <c r="V77" s="3776"/>
      <c r="W77" s="3777"/>
      <c r="X77" s="3777"/>
      <c r="Y77" s="3777"/>
      <c r="Z77" s="3777"/>
      <c r="AA77" s="3777"/>
      <c r="AB77" s="3777"/>
      <c r="AC77" s="3778"/>
      <c r="AD77" s="3776" t="str">
        <f>INDEX(PT_DIFFERENTIATION_CS,MATCH(C77,PT_DIFFERENTIATION_CS_ID,0))</f>
        <v>без дифференциации</v>
      </c>
      <c r="AE77" s="3777"/>
      <c r="AF77" s="3777"/>
      <c r="AG77" s="3777"/>
      <c r="AH77" s="3777"/>
      <c r="AI77" s="3777"/>
      <c r="AJ77" s="3777"/>
      <c r="AK77" s="3777"/>
      <c r="AL77" s="3776"/>
      <c r="AM77" s="3777"/>
      <c r="AN77" s="3777"/>
      <c r="AO77" s="3777"/>
      <c r="AP77" s="3777"/>
      <c r="AQ77" s="3777"/>
      <c r="AR77" s="3777"/>
      <c r="AS77" s="3778"/>
      <c r="AT77" s="3778"/>
      <c r="AU77" s="3896" t="s">
        <v>555</v>
      </c>
      <c r="AV77" s="3823"/>
      <c r="AW77" s="3897"/>
      <c r="AX77" s="3897" t="str">
        <f>IF(T77="","",T77)</f>
        <v>Наименование системы теплоснабжения </v>
      </c>
      <c r="AY77" s="3897"/>
      <c r="AZ77" s="3897"/>
      <c r="BA77" s="3775">
        <v>0</v>
      </c>
    </row>
    <row s="9431" customFormat="1" customHeight="1" ht="21">
      <c r="A78" s="3885"/>
      <c r="B78" s="3885"/>
      <c r="C78" s="3885"/>
      <c r="D78" s="3885" t="s">
        <v>280</v>
      </c>
      <c r="E78" s="3886"/>
      <c r="F78" s="3886" t="s">
        <v>105</v>
      </c>
      <c r="G78" s="3886"/>
      <c r="H78" s="3887">
        <v>1</v>
      </c>
      <c r="I78" s="3885"/>
      <c r="J78" s="3885"/>
      <c r="K78" s="3885"/>
      <c r="L78" s="3888"/>
      <c r="M78" s="3889"/>
      <c r="N78" s="3889"/>
      <c r="O78" s="3889"/>
      <c r="P78" s="3890"/>
      <c r="Q78" s="3891"/>
      <c r="R78" s="3892"/>
      <c r="S78" s="3893" t="str">
        <f>INDEX(PT_DIFFERENTIATION_NUM_IST_TE,MATCH(D78,PT_DIFFERENTIATION_IST_TE_ID,0))</f>
        <v>1.3.1.1</v>
      </c>
      <c r="T78" s="3894" t="s">
        <v>556</v>
      </c>
      <c r="U78" s="3895"/>
      <c r="V78" s="3776"/>
      <c r="W78" s="3777"/>
      <c r="X78" s="3777"/>
      <c r="Y78" s="3777"/>
      <c r="Z78" s="3777"/>
      <c r="AA78" s="3777"/>
      <c r="AB78" s="3777"/>
      <c r="AC78" s="3778"/>
      <c r="AD78" s="3776" t="str">
        <f>INDEX(PT_DIFFERENTIATION_IST_TE,MATCH(D78,PT_DIFFERENTIATION_IST_TE_ID,0))</f>
        <v>без дифференциации</v>
      </c>
      <c r="AE78" s="3777"/>
      <c r="AF78" s="3777"/>
      <c r="AG78" s="3777"/>
      <c r="AH78" s="3777"/>
      <c r="AI78" s="3777"/>
      <c r="AJ78" s="3777"/>
      <c r="AK78" s="3777"/>
      <c r="AL78" s="3776"/>
      <c r="AM78" s="3777"/>
      <c r="AN78" s="3777"/>
      <c r="AO78" s="3777"/>
      <c r="AP78" s="3777"/>
      <c r="AQ78" s="3777"/>
      <c r="AR78" s="3777"/>
      <c r="AS78" s="3778"/>
      <c r="AT78" s="3778"/>
      <c r="AU78" s="3896" t="s">
        <v>557</v>
      </c>
      <c r="AV78" s="3823"/>
      <c r="AW78" s="3897"/>
      <c r="AX78" s="3897" t="str">
        <f>IF(T78="","",T78)</f>
        <v>Источник тепловой энергии  </v>
      </c>
      <c r="AY78" s="3897"/>
      <c r="AZ78" s="3897"/>
      <c r="BA78" s="3775">
        <v>0</v>
      </c>
    </row>
    <row s="9432" customFormat="1" customHeight="1" ht="47.25">
      <c r="A79" s="3885"/>
      <c r="B79" s="3885"/>
      <c r="C79" s="3885"/>
      <c r="D79" s="3885"/>
      <c r="E79" s="3886"/>
      <c r="F79" s="3886" t="s">
        <v>105</v>
      </c>
      <c r="G79" s="3886"/>
      <c r="H79" s="3886"/>
      <c r="I79" s="3899" t="str">
        <f>S78&amp;".1"</f>
        <v>1.3.1.1.1</v>
      </c>
      <c r="J79" s="3885"/>
      <c r="K79" s="3885"/>
      <c r="L79" s="3888" t="s">
        <v>558</v>
      </c>
      <c r="M79" s="3815"/>
      <c r="N79" s="3900"/>
      <c r="O79" s="3900"/>
      <c r="P79" s="3901">
        <v>1</v>
      </c>
      <c r="Q79" s="3901"/>
      <c r="R79" s="3902"/>
      <c r="S79" s="3893" t="str">
        <f>$I79</f>
        <v>1.3.1.1.1</v>
      </c>
      <c r="T79" s="3903" t="s">
        <v>559</v>
      </c>
      <c r="U79" s="3895"/>
      <c r="V79" s="3779"/>
      <c r="W79" s="3780"/>
      <c r="X79" s="3780"/>
      <c r="Y79" s="3780"/>
      <c r="Z79" s="3780"/>
      <c r="AA79" s="3780"/>
      <c r="AB79" s="3780"/>
      <c r="AC79" s="3781"/>
      <c r="AD79" s="3779" t="s">
        <v>601</v>
      </c>
      <c r="AE79" s="3780"/>
      <c r="AF79" s="3780"/>
      <c r="AG79" s="3780"/>
      <c r="AH79" s="3780"/>
      <c r="AI79" s="3780"/>
      <c r="AJ79" s="3780"/>
      <c r="AK79" s="3780"/>
      <c r="AL79" s="3779"/>
      <c r="AM79" s="3780"/>
      <c r="AN79" s="3780"/>
      <c r="AO79" s="3780"/>
      <c r="AP79" s="3780"/>
      <c r="AQ79" s="3780"/>
      <c r="AR79" s="3780"/>
      <c r="AS79" s="3781"/>
      <c r="AT79" s="3781"/>
      <c r="AU79" s="3896" t="s">
        <v>560</v>
      </c>
      <c r="AV79" s="3823"/>
      <c r="AW79" s="3897"/>
      <c r="AX79" s="3897" t="str">
        <f>IF(T79="","",T79)</f>
        <v>Схема подключения теплопотребляющей установки к коллектору источника тепловой энергии</v>
      </c>
      <c r="AY79" s="3897"/>
      <c r="AZ79" s="3897"/>
      <c r="BA79" s="3775">
        <v>0</v>
      </c>
    </row>
    <row s="9433" customFormat="1" customHeight="1" ht="21">
      <c r="A80" s="3885"/>
      <c r="B80" s="3885"/>
      <c r="C80" s="3885"/>
      <c r="D80" s="3885"/>
      <c r="E80" s="3886"/>
      <c r="F80" s="3886" t="s">
        <v>105</v>
      </c>
      <c r="G80" s="3886"/>
      <c r="H80" s="3886"/>
      <c r="I80" s="3905"/>
      <c r="J80" s="3899" t="str">
        <f>I79&amp;".1"</f>
        <v>1.3.1.1.1.1</v>
      </c>
      <c r="K80" s="3885"/>
      <c r="L80" s="3888" t="s">
        <v>561</v>
      </c>
      <c r="M80" s="3815"/>
      <c r="N80" s="3815"/>
      <c r="O80" s="3900"/>
      <c r="P80" s="3901"/>
      <c r="Q80" s="3901">
        <v>1</v>
      </c>
      <c r="R80" s="3906"/>
      <c r="S80" s="3893" t="str">
        <f>$J80</f>
        <v>1.3.1.1.1.1</v>
      </c>
      <c r="T80" s="3907" t="s">
        <v>562</v>
      </c>
      <c r="U80" s="3895"/>
      <c r="V80" s="3779"/>
      <c r="W80" s="3780"/>
      <c r="X80" s="3780"/>
      <c r="Y80" s="3780"/>
      <c r="Z80" s="3780"/>
      <c r="AA80" s="3780"/>
      <c r="AB80" s="3780"/>
      <c r="AC80" s="3781"/>
      <c r="AD80" s="3779" t="s">
        <v>602</v>
      </c>
      <c r="AE80" s="3780"/>
      <c r="AF80" s="3780"/>
      <c r="AG80" s="3780"/>
      <c r="AH80" s="3780"/>
      <c r="AI80" s="3780"/>
      <c r="AJ80" s="3780"/>
      <c r="AK80" s="3780"/>
      <c r="AL80" s="3779"/>
      <c r="AM80" s="3780"/>
      <c r="AN80" s="3780"/>
      <c r="AO80" s="3780"/>
      <c r="AP80" s="3780"/>
      <c r="AQ80" s="3780"/>
      <c r="AR80" s="3780"/>
      <c r="AS80" s="3781"/>
      <c r="AT80" s="3781"/>
      <c r="AU80" s="3896" t="s">
        <v>563</v>
      </c>
      <c r="AV80" s="3823"/>
      <c r="AW80" s="3897"/>
      <c r="AX80" s="3897" t="str">
        <f>IF(T80="","",T80)</f>
        <v>Группа потребителей</v>
      </c>
      <c r="AY80" s="3897"/>
      <c r="AZ80" s="3897"/>
      <c r="BA80" s="3775">
        <v>0</v>
      </c>
    </row>
    <row s="9434" customFormat="1" customHeight="1" ht="21">
      <c r="A81" s="3885"/>
      <c r="B81" s="3885"/>
      <c r="C81" s="3885"/>
      <c r="D81" s="3885"/>
      <c r="E81" s="3886"/>
      <c r="F81" s="3886" t="s">
        <v>105</v>
      </c>
      <c r="G81" s="3886"/>
      <c r="H81" s="3886"/>
      <c r="I81" s="3905"/>
      <c r="J81" s="3905"/>
      <c r="K81" s="3899" t="str">
        <f>J80&amp;".1"</f>
        <v>1.3.1.1.1.1.1</v>
      </c>
      <c r="L81" s="3888" t="s">
        <v>564</v>
      </c>
      <c r="M81" s="3815"/>
      <c r="N81" s="3815"/>
      <c r="O81" s="3815"/>
      <c r="P81" s="3901"/>
      <c r="Q81" s="3901"/>
      <c r="R81" s="3906">
        <v>1</v>
      </c>
      <c r="S81" s="3893" t="str">
        <f>$K81</f>
        <v>1.3.1.1.1.1.1</v>
      </c>
      <c r="T81" s="3909" t="s">
        <v>603</v>
      </c>
      <c r="U81" s="3895"/>
      <c r="V81" s="3855"/>
      <c r="W81" s="3855"/>
      <c r="X81" s="3855"/>
      <c r="Y81" s="3856"/>
      <c r="Z81" s="3857"/>
      <c r="AA81" s="3858" t="s">
        <v>63</v>
      </c>
      <c r="AB81" s="3857"/>
      <c r="AC81" s="3858" t="s">
        <v>63</v>
      </c>
      <c r="AD81" s="3783"/>
      <c r="AE81" s="3784">
        <v>705.55</v>
      </c>
      <c r="AF81" s="3783"/>
      <c r="AG81" s="3785"/>
      <c r="AH81" s="3786">
        <v>45658</v>
      </c>
      <c r="AI81" s="3191" t="s">
        <v>63</v>
      </c>
      <c r="AJ81" s="3786">
        <v>46022</v>
      </c>
      <c r="AK81" s="3191" t="s">
        <v>19</v>
      </c>
      <c r="AL81" s="3855"/>
      <c r="AM81" s="3855"/>
      <c r="AN81" s="3855"/>
      <c r="AO81" s="3856"/>
      <c r="AP81" s="3857"/>
      <c r="AQ81" s="3858" t="s">
        <v>63</v>
      </c>
      <c r="AR81" s="3857"/>
      <c r="AS81" s="3858" t="s">
        <v>63</v>
      </c>
      <c r="AT81" s="3783"/>
      <c r="AU81" s="3910" t="s">
        <v>565</v>
      </c>
      <c r="AV81" s="3823">
        <f>STRCHECKDATE(V82:AT82)</f>
      </c>
      <c r="AW81" s="3897"/>
      <c r="AX81" s="3897" t="str">
        <f>IF(T81="","",T81)</f>
        <v>вода</v>
      </c>
      <c r="AY81" s="3897"/>
      <c r="AZ81" s="3897"/>
      <c r="BA81" s="3775">
        <v>0</v>
      </c>
    </row>
    <row s="9435" customFormat="1" customHeight="1" ht="0.75">
      <c r="A82" s="3885"/>
      <c r="B82" s="3885"/>
      <c r="C82" s="3885"/>
      <c r="D82" s="3885"/>
      <c r="E82" s="3886"/>
      <c r="F82" s="3886" t="s">
        <v>105</v>
      </c>
      <c r="G82" s="3886"/>
      <c r="H82" s="3886"/>
      <c r="I82" s="3905"/>
      <c r="J82" s="3905"/>
      <c r="K82" s="3899"/>
      <c r="L82" s="3888"/>
      <c r="M82" s="3815"/>
      <c r="N82" s="3815"/>
      <c r="O82" s="3815"/>
      <c r="P82" s="3901"/>
      <c r="Q82" s="3901"/>
      <c r="R82" s="3906"/>
      <c r="S82" s="3912"/>
      <c r="T82" s="3895"/>
      <c r="U82" s="3895"/>
      <c r="V82" s="3855"/>
      <c r="W82" s="3855"/>
      <c r="X82" s="3855"/>
      <c r="Y82" s="3787" t="str">
        <f>Z81&amp;"-"&amp;AB81</f>
        <v>-</v>
      </c>
      <c r="Z82" s="3858"/>
      <c r="AA82" s="3858"/>
      <c r="AB82" s="3858"/>
      <c r="AC82" s="3858"/>
      <c r="AD82" s="3783"/>
      <c r="AE82" s="3783"/>
      <c r="AF82" s="3783"/>
      <c r="AG82" s="3787" t="str">
        <f>AH81&amp;"-"&amp;AJ81</f>
        <v>45658-46022</v>
      </c>
      <c r="AH82" s="3788"/>
      <c r="AI82" s="3191"/>
      <c r="AJ82" s="3788"/>
      <c r="AK82" s="3191"/>
      <c r="AL82" s="3855"/>
      <c r="AM82" s="3855"/>
      <c r="AN82" s="3855"/>
      <c r="AO82" s="3787" t="str">
        <f>AP81&amp;"-"&amp;AR81</f>
        <v>-</v>
      </c>
      <c r="AP82" s="3858"/>
      <c r="AQ82" s="3858"/>
      <c r="AR82" s="3858"/>
      <c r="AS82" s="3858"/>
      <c r="AT82" s="3783"/>
      <c r="AU82" s="3913"/>
      <c r="AV82" s="3823"/>
      <c r="AW82" s="3897"/>
      <c r="AX82" s="3897" t="str">
        <f>IF(T82="","",T82)</f>
        <v/>
      </c>
      <c r="AY82" s="3897"/>
      <c r="AZ82" s="3897"/>
      <c r="BA82" s="3775">
        <v>0</v>
      </c>
    </row>
    <row s="9436" customFormat="1" customHeight="1" ht="15">
      <c r="A83" s="3885"/>
      <c r="B83" s="3885"/>
      <c r="C83" s="3885"/>
      <c r="D83" s="3885"/>
      <c r="E83" s="3886"/>
      <c r="F83" s="3886" t="s">
        <v>105</v>
      </c>
      <c r="G83" s="3886"/>
      <c r="H83" s="3886"/>
      <c r="I83" s="3905"/>
      <c r="J83" s="3899"/>
      <c r="K83" s="3885"/>
      <c r="L83" s="3888"/>
      <c r="M83" s="3815"/>
      <c r="N83" s="3815"/>
      <c r="O83" s="3900"/>
      <c r="P83" s="3901"/>
      <c r="Q83" s="3901"/>
      <c r="R83" s="3902"/>
      <c r="S83" s="4126"/>
      <c r="T83" s="4127" t="s">
        <v>566</v>
      </c>
      <c r="U83" s="4128"/>
      <c r="V83" s="4129"/>
      <c r="W83" s="4130"/>
      <c r="X83" s="4131"/>
      <c r="Y83" s="4132"/>
      <c r="Z83" s="4133"/>
      <c r="AA83" s="4134"/>
      <c r="AB83" s="4135"/>
      <c r="AC83" s="4136"/>
      <c r="AD83" s="4137"/>
      <c r="AE83" s="4138"/>
      <c r="AF83" s="4139"/>
      <c r="AG83" s="4140"/>
      <c r="AH83" s="4141"/>
      <c r="AI83" s="4142"/>
      <c r="AJ83" s="4143"/>
      <c r="AK83" s="4144"/>
      <c r="AL83" s="4145"/>
      <c r="AM83" s="4146"/>
      <c r="AN83" s="4147"/>
      <c r="AO83" s="4148"/>
      <c r="AP83" s="4149"/>
      <c r="AQ83" s="4150"/>
      <c r="AR83" s="4151"/>
      <c r="AS83" s="4152"/>
      <c r="AT83" s="4153"/>
      <c r="AU83" s="3943"/>
      <c r="AV83" s="3823"/>
      <c r="AW83" s="3897"/>
      <c r="AX83" s="3897" t="str">
        <f>IF(T83="","",T83)</f>
        <v>Добавить вид теплоносителя (параметры теплоносителя)</v>
      </c>
      <c r="AY83" s="3897"/>
      <c r="AZ83" s="3897"/>
      <c r="BA83" s="3775">
        <v>0</v>
      </c>
    </row>
    <row s="9465" customFormat="1" customHeight="1" ht="15">
      <c r="A84" s="3885"/>
      <c r="B84" s="3885"/>
      <c r="C84" s="3885"/>
      <c r="D84" s="3885"/>
      <c r="E84" s="3886"/>
      <c r="F84" s="3886" t="s">
        <v>105</v>
      </c>
      <c r="G84" s="3886"/>
      <c r="H84" s="3886"/>
      <c r="I84" s="3899"/>
      <c r="J84" s="3885"/>
      <c r="K84" s="3885"/>
      <c r="L84" s="3888"/>
      <c r="M84" s="3815"/>
      <c r="N84" s="3900"/>
      <c r="O84" s="3900"/>
      <c r="P84" s="3901"/>
      <c r="Q84" s="3901"/>
      <c r="R84" s="3902"/>
      <c r="S84" s="4155"/>
      <c r="T84" s="4156" t="s">
        <v>567</v>
      </c>
      <c r="U84" s="4157"/>
      <c r="V84" s="4158"/>
      <c r="W84" s="4159"/>
      <c r="X84" s="4160"/>
      <c r="Y84" s="4161"/>
      <c r="Z84" s="4162"/>
      <c r="AA84" s="4163"/>
      <c r="AB84" s="4164"/>
      <c r="AC84" s="4165"/>
      <c r="AD84" s="4166"/>
      <c r="AE84" s="4167"/>
      <c r="AF84" s="4168"/>
      <c r="AG84" s="4169"/>
      <c r="AH84" s="4170"/>
      <c r="AI84" s="4171"/>
      <c r="AJ84" s="4172"/>
      <c r="AK84" s="4173"/>
      <c r="AL84" s="4174"/>
      <c r="AM84" s="4175"/>
      <c r="AN84" s="4176"/>
      <c r="AO84" s="4177"/>
      <c r="AP84" s="4178"/>
      <c r="AQ84" s="4179"/>
      <c r="AR84" s="4180"/>
      <c r="AS84" s="4181"/>
      <c r="AT84" s="4182"/>
      <c r="AU84" s="4183"/>
      <c r="AV84" s="3823"/>
      <c r="AW84" s="3897"/>
      <c r="AX84" s="3897" t="str">
        <f>IF(T84="","",T84)</f>
        <v>Добавить группу потребителей</v>
      </c>
      <c r="AY84" s="3897"/>
      <c r="AZ84" s="3897"/>
      <c r="BA84" s="3775">
        <v>0</v>
      </c>
    </row>
    <row s="9495" customFormat="1" customHeight="1" ht="14.25">
      <c r="A85" s="3885"/>
      <c r="B85" s="3885"/>
      <c r="C85" s="3885"/>
      <c r="D85" s="3885"/>
      <c r="E85" s="3886"/>
      <c r="F85" s="3886" t="s">
        <v>105</v>
      </c>
      <c r="G85" s="3886"/>
      <c r="H85" s="3887"/>
      <c r="I85" s="3885"/>
      <c r="J85" s="3885"/>
      <c r="K85" s="3885"/>
      <c r="L85" s="3888"/>
      <c r="M85" s="3889"/>
      <c r="N85" s="3889"/>
      <c r="O85" s="3815"/>
      <c r="P85" s="3975"/>
      <c r="Q85" s="3976"/>
      <c r="R85" s="3977"/>
      <c r="S85" s="4185"/>
      <c r="T85" s="4186" t="s">
        <v>568</v>
      </c>
      <c r="U85" s="4187"/>
      <c r="V85" s="4188"/>
      <c r="W85" s="4189"/>
      <c r="X85" s="4190"/>
      <c r="Y85" s="4191"/>
      <c r="Z85" s="4192"/>
      <c r="AA85" s="4193"/>
      <c r="AB85" s="4194"/>
      <c r="AC85" s="4195"/>
      <c r="AD85" s="4196"/>
      <c r="AE85" s="4197"/>
      <c r="AF85" s="4198"/>
      <c r="AG85" s="4199"/>
      <c r="AH85" s="4200"/>
      <c r="AI85" s="4201"/>
      <c r="AJ85" s="4202"/>
      <c r="AK85" s="4203"/>
      <c r="AL85" s="4204"/>
      <c r="AM85" s="4205"/>
      <c r="AN85" s="4206"/>
      <c r="AO85" s="4207"/>
      <c r="AP85" s="4208"/>
      <c r="AQ85" s="4209"/>
      <c r="AR85" s="4210"/>
      <c r="AS85" s="4211"/>
      <c r="AT85" s="4212"/>
      <c r="AU85" s="4213"/>
      <c r="AV85" s="3823"/>
      <c r="AW85" s="3897"/>
      <c r="AX85" s="3897" t="str">
        <f>IF(T85="","",T85)</f>
        <v>Добавить схему подключения</v>
      </c>
      <c r="AY85" s="3897"/>
      <c r="AZ85" s="3897"/>
      <c r="BA85" s="3775">
        <v>0</v>
      </c>
    </row>
    <row s="9525" customFormat="1" customHeight="1" ht="0.75">
      <c r="A86" s="4107"/>
      <c r="B86" s="4107"/>
      <c r="C86" s="4107"/>
      <c r="D86" s="4107"/>
      <c r="E86" s="3886"/>
      <c r="F86" s="3886" t="s">
        <v>105</v>
      </c>
      <c r="G86" s="3887"/>
      <c r="H86" s="4107"/>
      <c r="I86" s="4107"/>
      <c r="J86" s="4107"/>
      <c r="K86" s="4107"/>
      <c r="L86" s="4108"/>
      <c r="M86" s="4109"/>
      <c r="N86" s="4109"/>
      <c r="O86" s="3823"/>
      <c r="P86" s="4110"/>
      <c r="Q86" s="4111"/>
      <c r="R86" s="4110"/>
      <c r="S86" s="4112"/>
      <c r="T86" s="4113" t="s">
        <v>273</v>
      </c>
      <c r="U86" s="3813"/>
      <c r="V86" s="3813"/>
      <c r="W86" s="3813"/>
      <c r="X86" s="3813"/>
      <c r="Y86" s="3813"/>
      <c r="Z86" s="3813"/>
      <c r="AA86" s="3813"/>
      <c r="AB86" s="3813"/>
      <c r="AC86" s="3813"/>
      <c r="AD86" s="3813"/>
      <c r="AE86" s="3813"/>
      <c r="AF86" s="3813"/>
      <c r="AG86" s="3813"/>
      <c r="AH86" s="3813"/>
      <c r="AI86" s="3813"/>
      <c r="AJ86" s="3813"/>
      <c r="AK86" s="3813"/>
      <c r="AL86" s="3813"/>
      <c r="AM86" s="3813"/>
      <c r="AN86" s="3813"/>
      <c r="AO86" s="3813"/>
      <c r="AP86" s="3813"/>
      <c r="AQ86" s="3813"/>
      <c r="AR86" s="3813"/>
      <c r="AS86" s="3813"/>
      <c r="AT86" s="3813"/>
      <c r="AU86" s="3813"/>
      <c r="AV86" s="3823"/>
      <c r="AW86" s="3897"/>
      <c r="AX86" s="3897" t="str">
        <f>IF(T86="","",T86)</f>
        <v>Добавить источник для дифференциации</v>
      </c>
      <c r="AY86" s="3897"/>
      <c r="AZ86" s="3897"/>
      <c r="BA86" s="3823">
        <v>0</v>
      </c>
    </row>
    <row s="9526" customFormat="1" customHeight="1" ht="0.75">
      <c r="A87" s="4107"/>
      <c r="B87" s="4107"/>
      <c r="C87" s="4107"/>
      <c r="D87" s="4107"/>
      <c r="E87" s="3886"/>
      <c r="F87" s="3887" t="s">
        <v>105</v>
      </c>
      <c r="G87" s="4107"/>
      <c r="H87" s="4107"/>
      <c r="I87" s="4107"/>
      <c r="J87" s="4107"/>
      <c r="K87" s="4107"/>
      <c r="L87" s="4108"/>
      <c r="M87" s="4115"/>
      <c r="N87" s="4115"/>
      <c r="O87" s="3823"/>
      <c r="P87" s="4110"/>
      <c r="Q87" s="4111"/>
      <c r="R87" s="4110"/>
      <c r="S87" s="4116"/>
      <c r="T87" s="4117" t="s">
        <v>274</v>
      </c>
      <c r="U87" s="3814"/>
      <c r="V87" s="3814"/>
      <c r="W87" s="3814"/>
      <c r="X87" s="3814"/>
      <c r="Y87" s="3814"/>
      <c r="Z87" s="3814"/>
      <c r="AA87" s="3814"/>
      <c r="AB87" s="3814"/>
      <c r="AC87" s="3814"/>
      <c r="AD87" s="3814"/>
      <c r="AE87" s="3814"/>
      <c r="AF87" s="3814"/>
      <c r="AG87" s="3814"/>
      <c r="AH87" s="3814"/>
      <c r="AI87" s="3814"/>
      <c r="AJ87" s="3814"/>
      <c r="AK87" s="3814"/>
      <c r="AL87" s="3814"/>
      <c r="AM87" s="3814"/>
      <c r="AN87" s="3814"/>
      <c r="AO87" s="3814"/>
      <c r="AP87" s="3814"/>
      <c r="AQ87" s="3814"/>
      <c r="AR87" s="3814"/>
      <c r="AS87" s="3814"/>
      <c r="AT87" s="3814"/>
      <c r="AU87" s="3814"/>
      <c r="AV87" s="3823"/>
      <c r="AW87" s="3897"/>
      <c r="AX87" s="3897" t="str">
        <f>IF(T87="","",T87)</f>
        <v>Добавить централизованную систему для дифференциации</v>
      </c>
      <c r="AY87" s="3897"/>
      <c r="AZ87" s="3897"/>
      <c r="BA87" s="3823">
        <v>0</v>
      </c>
    </row>
    <row s="9527" customFormat="1" customHeight="1" ht="21">
      <c r="A88" s="3885"/>
      <c r="B88" s="3885" t="s">
        <v>281</v>
      </c>
      <c r="C88" s="3885"/>
      <c r="D88" s="3885"/>
      <c r="E88" s="3886"/>
      <c r="F88" s="3887" t="s">
        <v>93</v>
      </c>
      <c r="G88" s="3885"/>
      <c r="H88" s="3885"/>
      <c r="I88" s="3885"/>
      <c r="J88" s="3885"/>
      <c r="K88" s="3885"/>
      <c r="L88" s="3888"/>
      <c r="M88" s="3889"/>
      <c r="N88" s="3889"/>
      <c r="O88" s="3889"/>
      <c r="P88" s="4008"/>
      <c r="Q88" s="3891"/>
      <c r="R88" s="3892"/>
      <c r="S88" s="3893" t="str">
        <f>INDEX(PT_DIFFERENTIATION_NUM_TER,MATCH(B88,PT_DIFFERENTIATION_TER_ID,0))</f>
        <v>1.4</v>
      </c>
      <c r="T88" s="4009" t="s">
        <v>552</v>
      </c>
      <c r="U88" s="3895"/>
      <c r="V88" s="3776"/>
      <c r="W88" s="3777"/>
      <c r="X88" s="3777"/>
      <c r="Y88" s="3777"/>
      <c r="Z88" s="3777"/>
      <c r="AA88" s="3777"/>
      <c r="AB88" s="3777"/>
      <c r="AC88" s="3778"/>
      <c r="AD88" s="3776" t="str">
        <f>INDEX(PT_DIFFERENTIATION_TER,MATCH(B88,PT_DIFFERENTIATION_TER_ID,0))</f>
        <v>Территория 4</v>
      </c>
      <c r="AE88" s="3777"/>
      <c r="AF88" s="3777"/>
      <c r="AG88" s="3777"/>
      <c r="AH88" s="3777"/>
      <c r="AI88" s="3777"/>
      <c r="AJ88" s="3777"/>
      <c r="AK88" s="3777"/>
      <c r="AL88" s="3776"/>
      <c r="AM88" s="3777"/>
      <c r="AN88" s="3777"/>
      <c r="AO88" s="3777"/>
      <c r="AP88" s="3777"/>
      <c r="AQ88" s="3777"/>
      <c r="AR88" s="3777"/>
      <c r="AS88" s="3778"/>
      <c r="AT88" s="3778"/>
      <c r="AU88" s="3896" t="s">
        <v>553</v>
      </c>
      <c r="AV88" s="3823"/>
      <c r="AW88" s="3897"/>
      <c r="AX88" s="3897" t="str">
        <f>IF(T88="","",T88)</f>
        <v>Территория действия тарифа</v>
      </c>
      <c r="AY88" s="3897"/>
      <c r="AZ88" s="3897"/>
      <c r="BA88" s="3775">
        <v>0</v>
      </c>
    </row>
    <row s="9528" customFormat="1" customHeight="1" ht="23.25">
      <c r="A89" s="3885"/>
      <c r="B89" s="3885"/>
      <c r="C89" s="3885" t="s">
        <v>282</v>
      </c>
      <c r="D89" s="3885"/>
      <c r="E89" s="3886"/>
      <c r="F89" s="3886" t="s">
        <v>92</v>
      </c>
      <c r="G89" s="3887">
        <v>1</v>
      </c>
      <c r="H89" s="3885"/>
      <c r="I89" s="3885"/>
      <c r="J89" s="3885"/>
      <c r="K89" s="3885"/>
      <c r="L89" s="3888"/>
      <c r="M89" s="3889"/>
      <c r="N89" s="3889"/>
      <c r="O89" s="3889"/>
      <c r="P89" s="3890"/>
      <c r="Q89" s="3891"/>
      <c r="R89" s="3892"/>
      <c r="S89" s="3893" t="str">
        <f>INDEX(PT_DIFFERENTIATION_NUM_CS,MATCH(C89,PT_DIFFERENTIATION_CS_ID,0))</f>
        <v>1.4.1</v>
      </c>
      <c r="T89" s="4011" t="s">
        <v>554</v>
      </c>
      <c r="U89" s="3895"/>
      <c r="V89" s="3776"/>
      <c r="W89" s="3777"/>
      <c r="X89" s="3777"/>
      <c r="Y89" s="3777"/>
      <c r="Z89" s="3777"/>
      <c r="AA89" s="3777"/>
      <c r="AB89" s="3777"/>
      <c r="AC89" s="3778"/>
      <c r="AD89" s="3776" t="str">
        <f>INDEX(PT_DIFFERENTIATION_CS,MATCH(C89,PT_DIFFERENTIATION_CS_ID,0))</f>
        <v>без дифференциации</v>
      </c>
      <c r="AE89" s="3777"/>
      <c r="AF89" s="3777"/>
      <c r="AG89" s="3777"/>
      <c r="AH89" s="3777"/>
      <c r="AI89" s="3777"/>
      <c r="AJ89" s="3777"/>
      <c r="AK89" s="3777"/>
      <c r="AL89" s="3776"/>
      <c r="AM89" s="3777"/>
      <c r="AN89" s="3777"/>
      <c r="AO89" s="3777"/>
      <c r="AP89" s="3777"/>
      <c r="AQ89" s="3777"/>
      <c r="AR89" s="3777"/>
      <c r="AS89" s="3778"/>
      <c r="AT89" s="3778"/>
      <c r="AU89" s="3896" t="s">
        <v>555</v>
      </c>
      <c r="AV89" s="3823"/>
      <c r="AW89" s="3897"/>
      <c r="AX89" s="3897" t="str">
        <f>IF(T89="","",T89)</f>
        <v>Наименование системы теплоснабжения </v>
      </c>
      <c r="AY89" s="3897"/>
      <c r="AZ89" s="3897"/>
      <c r="BA89" s="3775">
        <v>0</v>
      </c>
    </row>
    <row s="9529" customFormat="1" customHeight="1" ht="21">
      <c r="A90" s="3885"/>
      <c r="B90" s="3885"/>
      <c r="C90" s="3885"/>
      <c r="D90" s="3885" t="s">
        <v>283</v>
      </c>
      <c r="E90" s="3886"/>
      <c r="F90" s="3886" t="s">
        <v>92</v>
      </c>
      <c r="G90" s="3886"/>
      <c r="H90" s="3887">
        <v>1</v>
      </c>
      <c r="I90" s="3885"/>
      <c r="J90" s="3885"/>
      <c r="K90" s="3885"/>
      <c r="L90" s="3888"/>
      <c r="M90" s="3889"/>
      <c r="N90" s="3889"/>
      <c r="O90" s="3889"/>
      <c r="P90" s="3890"/>
      <c r="Q90" s="3891"/>
      <c r="R90" s="3892"/>
      <c r="S90" s="3893" t="str">
        <f>INDEX(PT_DIFFERENTIATION_NUM_IST_TE,MATCH(D90,PT_DIFFERENTIATION_IST_TE_ID,0))</f>
        <v>1.4.1.1</v>
      </c>
      <c r="T90" s="3894" t="s">
        <v>556</v>
      </c>
      <c r="U90" s="3895"/>
      <c r="V90" s="3776"/>
      <c r="W90" s="3777"/>
      <c r="X90" s="3777"/>
      <c r="Y90" s="3777"/>
      <c r="Z90" s="3777"/>
      <c r="AA90" s="3777"/>
      <c r="AB90" s="3777"/>
      <c r="AC90" s="3778"/>
      <c r="AD90" s="3776" t="str">
        <f>INDEX(PT_DIFFERENTIATION_IST_TE,MATCH(D90,PT_DIFFERENTIATION_IST_TE_ID,0))</f>
        <v>без дифференциации</v>
      </c>
      <c r="AE90" s="3777"/>
      <c r="AF90" s="3777"/>
      <c r="AG90" s="3777"/>
      <c r="AH90" s="3777"/>
      <c r="AI90" s="3777"/>
      <c r="AJ90" s="3777"/>
      <c r="AK90" s="3777"/>
      <c r="AL90" s="3776"/>
      <c r="AM90" s="3777"/>
      <c r="AN90" s="3777"/>
      <c r="AO90" s="3777"/>
      <c r="AP90" s="3777"/>
      <c r="AQ90" s="3777"/>
      <c r="AR90" s="3777"/>
      <c r="AS90" s="3778"/>
      <c r="AT90" s="3778"/>
      <c r="AU90" s="3896" t="s">
        <v>557</v>
      </c>
      <c r="AV90" s="3823"/>
      <c r="AW90" s="3897"/>
      <c r="AX90" s="3897" t="str">
        <f>IF(T90="","",T90)</f>
        <v>Источник тепловой энергии  </v>
      </c>
      <c r="AY90" s="3897"/>
      <c r="AZ90" s="3897"/>
      <c r="BA90" s="3775">
        <v>0</v>
      </c>
    </row>
    <row s="9530" customFormat="1" customHeight="1" ht="47.25">
      <c r="A91" s="3885"/>
      <c r="B91" s="3885"/>
      <c r="C91" s="3885"/>
      <c r="D91" s="3885"/>
      <c r="E91" s="3886"/>
      <c r="F91" s="3886" t="s">
        <v>92</v>
      </c>
      <c r="G91" s="3886"/>
      <c r="H91" s="3886"/>
      <c r="I91" s="3899" t="str">
        <f>S90&amp;".1"</f>
        <v>1.4.1.1.1</v>
      </c>
      <c r="J91" s="3885"/>
      <c r="K91" s="3885"/>
      <c r="L91" s="3888" t="s">
        <v>558</v>
      </c>
      <c r="M91" s="3815"/>
      <c r="N91" s="3900"/>
      <c r="O91" s="3900"/>
      <c r="P91" s="3901">
        <v>1</v>
      </c>
      <c r="Q91" s="3901"/>
      <c r="R91" s="3902"/>
      <c r="S91" s="3893" t="str">
        <f>$I91</f>
        <v>1.4.1.1.1</v>
      </c>
      <c r="T91" s="3903" t="s">
        <v>559</v>
      </c>
      <c r="U91" s="3895"/>
      <c r="V91" s="3779"/>
      <c r="W91" s="3780"/>
      <c r="X91" s="3780"/>
      <c r="Y91" s="3780"/>
      <c r="Z91" s="3780"/>
      <c r="AA91" s="3780"/>
      <c r="AB91" s="3780"/>
      <c r="AC91" s="3781"/>
      <c r="AD91" s="3779" t="s">
        <v>601</v>
      </c>
      <c r="AE91" s="3780"/>
      <c r="AF91" s="3780"/>
      <c r="AG91" s="3780"/>
      <c r="AH91" s="3780"/>
      <c r="AI91" s="3780"/>
      <c r="AJ91" s="3780"/>
      <c r="AK91" s="3780"/>
      <c r="AL91" s="3779"/>
      <c r="AM91" s="3780"/>
      <c r="AN91" s="3780"/>
      <c r="AO91" s="3780"/>
      <c r="AP91" s="3780"/>
      <c r="AQ91" s="3780"/>
      <c r="AR91" s="3780"/>
      <c r="AS91" s="3781"/>
      <c r="AT91" s="3781"/>
      <c r="AU91" s="3896" t="s">
        <v>560</v>
      </c>
      <c r="AV91" s="3823"/>
      <c r="AW91" s="3897"/>
      <c r="AX91" s="3897" t="str">
        <f>IF(T91="","",T91)</f>
        <v>Схема подключения теплопотребляющей установки к коллектору источника тепловой энергии</v>
      </c>
      <c r="AY91" s="3897"/>
      <c r="AZ91" s="3897"/>
      <c r="BA91" s="3775">
        <v>0</v>
      </c>
    </row>
    <row s="9531" customFormat="1" customHeight="1" ht="21">
      <c r="A92" s="3885"/>
      <c r="B92" s="3885"/>
      <c r="C92" s="3885"/>
      <c r="D92" s="3885"/>
      <c r="E92" s="3886"/>
      <c r="F92" s="3886" t="s">
        <v>92</v>
      </c>
      <c r="G92" s="3886"/>
      <c r="H92" s="3886"/>
      <c r="I92" s="3905"/>
      <c r="J92" s="3899" t="str">
        <f>I91&amp;".1"</f>
        <v>1.4.1.1.1.1</v>
      </c>
      <c r="K92" s="3885"/>
      <c r="L92" s="3888" t="s">
        <v>561</v>
      </c>
      <c r="M92" s="3815"/>
      <c r="N92" s="3815"/>
      <c r="O92" s="3900"/>
      <c r="P92" s="3901"/>
      <c r="Q92" s="3901">
        <v>1</v>
      </c>
      <c r="R92" s="3906"/>
      <c r="S92" s="3893" t="str">
        <f>$J92</f>
        <v>1.4.1.1.1.1</v>
      </c>
      <c r="T92" s="3907" t="s">
        <v>562</v>
      </c>
      <c r="U92" s="3895"/>
      <c r="V92" s="3779"/>
      <c r="W92" s="3780"/>
      <c r="X92" s="3780"/>
      <c r="Y92" s="3780"/>
      <c r="Z92" s="3780"/>
      <c r="AA92" s="3780"/>
      <c r="AB92" s="3780"/>
      <c r="AC92" s="3781"/>
      <c r="AD92" s="3779" t="s">
        <v>602</v>
      </c>
      <c r="AE92" s="3780"/>
      <c r="AF92" s="3780"/>
      <c r="AG92" s="3780"/>
      <c r="AH92" s="3780"/>
      <c r="AI92" s="3780"/>
      <c r="AJ92" s="3780"/>
      <c r="AK92" s="3780"/>
      <c r="AL92" s="3779"/>
      <c r="AM92" s="3780"/>
      <c r="AN92" s="3780"/>
      <c r="AO92" s="3780"/>
      <c r="AP92" s="3780"/>
      <c r="AQ92" s="3780"/>
      <c r="AR92" s="3780"/>
      <c r="AS92" s="3781"/>
      <c r="AT92" s="3781"/>
      <c r="AU92" s="3896" t="s">
        <v>563</v>
      </c>
      <c r="AV92" s="3823"/>
      <c r="AW92" s="3897"/>
      <c r="AX92" s="3897" t="str">
        <f>IF(T92="","",T92)</f>
        <v>Группа потребителей</v>
      </c>
      <c r="AY92" s="3897"/>
      <c r="AZ92" s="3897"/>
      <c r="BA92" s="3775">
        <v>0</v>
      </c>
    </row>
    <row s="9532" customFormat="1" customHeight="1" ht="21">
      <c r="A93" s="3885"/>
      <c r="B93" s="3885"/>
      <c r="C93" s="3885"/>
      <c r="D93" s="3885"/>
      <c r="E93" s="3886"/>
      <c r="F93" s="3886" t="s">
        <v>92</v>
      </c>
      <c r="G93" s="3886"/>
      <c r="H93" s="3886"/>
      <c r="I93" s="3905"/>
      <c r="J93" s="3905"/>
      <c r="K93" s="3899" t="str">
        <f>J92&amp;".1"</f>
        <v>1.4.1.1.1.1.1</v>
      </c>
      <c r="L93" s="3888" t="s">
        <v>564</v>
      </c>
      <c r="M93" s="3815"/>
      <c r="N93" s="3815"/>
      <c r="O93" s="3815"/>
      <c r="P93" s="3901"/>
      <c r="Q93" s="3901"/>
      <c r="R93" s="3906">
        <v>1</v>
      </c>
      <c r="S93" s="3893" t="str">
        <f>$K93</f>
        <v>1.4.1.1.1.1.1</v>
      </c>
      <c r="T93" s="3909" t="s">
        <v>603</v>
      </c>
      <c r="U93" s="3895"/>
      <c r="V93" s="3855"/>
      <c r="W93" s="3855"/>
      <c r="X93" s="3855"/>
      <c r="Y93" s="3856"/>
      <c r="Z93" s="3857"/>
      <c r="AA93" s="3858" t="s">
        <v>63</v>
      </c>
      <c r="AB93" s="3857"/>
      <c r="AC93" s="3858" t="s">
        <v>63</v>
      </c>
      <c r="AD93" s="3783"/>
      <c r="AE93" s="3784">
        <v>705.55</v>
      </c>
      <c r="AF93" s="3783"/>
      <c r="AG93" s="3785"/>
      <c r="AH93" s="3786">
        <v>45658</v>
      </c>
      <c r="AI93" s="3191" t="s">
        <v>63</v>
      </c>
      <c r="AJ93" s="3786">
        <v>46022</v>
      </c>
      <c r="AK93" s="3191" t="s">
        <v>19</v>
      </c>
      <c r="AL93" s="3855"/>
      <c r="AM93" s="3855"/>
      <c r="AN93" s="3855"/>
      <c r="AO93" s="3856"/>
      <c r="AP93" s="3857"/>
      <c r="AQ93" s="3858" t="s">
        <v>63</v>
      </c>
      <c r="AR93" s="3857"/>
      <c r="AS93" s="3858" t="s">
        <v>63</v>
      </c>
      <c r="AT93" s="3783"/>
      <c r="AU93" s="3910" t="s">
        <v>565</v>
      </c>
      <c r="AV93" s="3823">
        <f>STRCHECKDATE(V94:AT94)</f>
      </c>
      <c r="AW93" s="3897"/>
      <c r="AX93" s="3897" t="str">
        <f>IF(T93="","",T93)</f>
        <v>вода</v>
      </c>
      <c r="AY93" s="3897"/>
      <c r="AZ93" s="3897"/>
      <c r="BA93" s="3775">
        <v>0</v>
      </c>
    </row>
    <row s="9533" customFormat="1" customHeight="1" ht="0.75">
      <c r="A94" s="3885"/>
      <c r="B94" s="3885"/>
      <c r="C94" s="3885"/>
      <c r="D94" s="3885"/>
      <c r="E94" s="3886"/>
      <c r="F94" s="3886" t="s">
        <v>92</v>
      </c>
      <c r="G94" s="3886"/>
      <c r="H94" s="3886"/>
      <c r="I94" s="3905"/>
      <c r="J94" s="3905"/>
      <c r="K94" s="3899"/>
      <c r="L94" s="3888"/>
      <c r="M94" s="3815"/>
      <c r="N94" s="3815"/>
      <c r="O94" s="3815"/>
      <c r="P94" s="3901"/>
      <c r="Q94" s="3901"/>
      <c r="R94" s="3906"/>
      <c r="S94" s="3912"/>
      <c r="T94" s="3895"/>
      <c r="U94" s="3895"/>
      <c r="V94" s="3855"/>
      <c r="W94" s="3855"/>
      <c r="X94" s="3855"/>
      <c r="Y94" s="3787" t="str">
        <f>Z93&amp;"-"&amp;AB93</f>
        <v>-</v>
      </c>
      <c r="Z94" s="3858"/>
      <c r="AA94" s="3858"/>
      <c r="AB94" s="3858"/>
      <c r="AC94" s="3858"/>
      <c r="AD94" s="3783"/>
      <c r="AE94" s="3783"/>
      <c r="AF94" s="3783"/>
      <c r="AG94" s="3787" t="str">
        <f>AH93&amp;"-"&amp;AJ93</f>
        <v>45658-46022</v>
      </c>
      <c r="AH94" s="3788"/>
      <c r="AI94" s="3191"/>
      <c r="AJ94" s="3788"/>
      <c r="AK94" s="3191"/>
      <c r="AL94" s="3855"/>
      <c r="AM94" s="3855"/>
      <c r="AN94" s="3855"/>
      <c r="AO94" s="3787" t="str">
        <f>AP93&amp;"-"&amp;AR93</f>
        <v>-</v>
      </c>
      <c r="AP94" s="3858"/>
      <c r="AQ94" s="3858"/>
      <c r="AR94" s="3858"/>
      <c r="AS94" s="3858"/>
      <c r="AT94" s="3783"/>
      <c r="AU94" s="3913"/>
      <c r="AV94" s="3823"/>
      <c r="AW94" s="3897"/>
      <c r="AX94" s="3897" t="str">
        <f>IF(T94="","",T94)</f>
        <v/>
      </c>
      <c r="AY94" s="3897"/>
      <c r="AZ94" s="3897"/>
      <c r="BA94" s="3775">
        <v>0</v>
      </c>
    </row>
    <row s="9534" customFormat="1" customHeight="1" ht="15">
      <c r="A95" s="3885"/>
      <c r="B95" s="3885"/>
      <c r="C95" s="3885"/>
      <c r="D95" s="3885"/>
      <c r="E95" s="3886"/>
      <c r="F95" s="3886" t="s">
        <v>92</v>
      </c>
      <c r="G95" s="3886"/>
      <c r="H95" s="3886"/>
      <c r="I95" s="3905"/>
      <c r="J95" s="3899"/>
      <c r="K95" s="3885"/>
      <c r="L95" s="3888"/>
      <c r="M95" s="3815"/>
      <c r="N95" s="3815"/>
      <c r="O95" s="3900"/>
      <c r="P95" s="3901"/>
      <c r="Q95" s="3901"/>
      <c r="R95" s="3902"/>
      <c r="S95" s="4224"/>
      <c r="T95" s="4225" t="s">
        <v>566</v>
      </c>
      <c r="U95" s="4226"/>
      <c r="V95" s="4227"/>
      <c r="W95" s="4228"/>
      <c r="X95" s="4229"/>
      <c r="Y95" s="4230"/>
      <c r="Z95" s="4231"/>
      <c r="AA95" s="4232"/>
      <c r="AB95" s="4233"/>
      <c r="AC95" s="4234"/>
      <c r="AD95" s="4235"/>
      <c r="AE95" s="4236"/>
      <c r="AF95" s="4237"/>
      <c r="AG95" s="4238"/>
      <c r="AH95" s="4239"/>
      <c r="AI95" s="4240"/>
      <c r="AJ95" s="4241"/>
      <c r="AK95" s="4242"/>
      <c r="AL95" s="4243"/>
      <c r="AM95" s="4244"/>
      <c r="AN95" s="4245"/>
      <c r="AO95" s="4246"/>
      <c r="AP95" s="4247"/>
      <c r="AQ95" s="4248"/>
      <c r="AR95" s="4249"/>
      <c r="AS95" s="4250"/>
      <c r="AT95" s="4251"/>
      <c r="AU95" s="3943"/>
      <c r="AV95" s="3823"/>
      <c r="AW95" s="3897"/>
      <c r="AX95" s="3897" t="str">
        <f>IF(T95="","",T95)</f>
        <v>Добавить вид теплоносителя (параметры теплоносителя)</v>
      </c>
      <c r="AY95" s="3897"/>
      <c r="AZ95" s="3897"/>
      <c r="BA95" s="3775">
        <v>0</v>
      </c>
    </row>
    <row s="9563" customFormat="1" customHeight="1" ht="15">
      <c r="A96" s="3885"/>
      <c r="B96" s="3885"/>
      <c r="C96" s="3885"/>
      <c r="D96" s="3885"/>
      <c r="E96" s="3886"/>
      <c r="F96" s="3886" t="s">
        <v>92</v>
      </c>
      <c r="G96" s="3886"/>
      <c r="H96" s="3886"/>
      <c r="I96" s="3899"/>
      <c r="J96" s="3885"/>
      <c r="K96" s="3885"/>
      <c r="L96" s="3888"/>
      <c r="M96" s="3815"/>
      <c r="N96" s="3900"/>
      <c r="O96" s="3900"/>
      <c r="P96" s="3901"/>
      <c r="Q96" s="3901"/>
      <c r="R96" s="3902"/>
      <c r="S96" s="4253"/>
      <c r="T96" s="4254" t="s">
        <v>567</v>
      </c>
      <c r="U96" s="4255"/>
      <c r="V96" s="4256"/>
      <c r="W96" s="4257"/>
      <c r="X96" s="4258"/>
      <c r="Y96" s="4259"/>
      <c r="Z96" s="4260"/>
      <c r="AA96" s="4261"/>
      <c r="AB96" s="4262"/>
      <c r="AC96" s="4263"/>
      <c r="AD96" s="4264"/>
      <c r="AE96" s="4265"/>
      <c r="AF96" s="4266"/>
      <c r="AG96" s="4267"/>
      <c r="AH96" s="4268"/>
      <c r="AI96" s="4269"/>
      <c r="AJ96" s="4270"/>
      <c r="AK96" s="4271"/>
      <c r="AL96" s="4272"/>
      <c r="AM96" s="4273"/>
      <c r="AN96" s="4274"/>
      <c r="AO96" s="4275"/>
      <c r="AP96" s="4276"/>
      <c r="AQ96" s="4277"/>
      <c r="AR96" s="4278"/>
      <c r="AS96" s="4279"/>
      <c r="AT96" s="4280"/>
      <c r="AU96" s="4281"/>
      <c r="AV96" s="3823"/>
      <c r="AW96" s="3897"/>
      <c r="AX96" s="3897" t="str">
        <f>IF(T96="","",T96)</f>
        <v>Добавить группу потребителей</v>
      </c>
      <c r="AY96" s="3897"/>
      <c r="AZ96" s="3897"/>
      <c r="BA96" s="3775">
        <v>0</v>
      </c>
    </row>
    <row s="9593" customFormat="1" customHeight="1" ht="14.25">
      <c r="A97" s="3885"/>
      <c r="B97" s="3885"/>
      <c r="C97" s="3885"/>
      <c r="D97" s="3885"/>
      <c r="E97" s="3886"/>
      <c r="F97" s="3886" t="s">
        <v>92</v>
      </c>
      <c r="G97" s="3886"/>
      <c r="H97" s="3887"/>
      <c r="I97" s="3885"/>
      <c r="J97" s="3885"/>
      <c r="K97" s="3885"/>
      <c r="L97" s="3888"/>
      <c r="M97" s="3889"/>
      <c r="N97" s="3889"/>
      <c r="O97" s="3815"/>
      <c r="P97" s="3975"/>
      <c r="Q97" s="3976"/>
      <c r="R97" s="3977"/>
      <c r="S97" s="4283"/>
      <c r="T97" s="4284" t="s">
        <v>568</v>
      </c>
      <c r="U97" s="4285"/>
      <c r="V97" s="4286"/>
      <c r="W97" s="4287"/>
      <c r="X97" s="4288"/>
      <c r="Y97" s="4289"/>
      <c r="Z97" s="4290"/>
      <c r="AA97" s="4291"/>
      <c r="AB97" s="4292"/>
      <c r="AC97" s="4293"/>
      <c r="AD97" s="4294"/>
      <c r="AE97" s="4295"/>
      <c r="AF97" s="4296"/>
      <c r="AG97" s="4297"/>
      <c r="AH97" s="4298"/>
      <c r="AI97" s="4299"/>
      <c r="AJ97" s="4300"/>
      <c r="AK97" s="4301"/>
      <c r="AL97" s="4302"/>
      <c r="AM97" s="4303"/>
      <c r="AN97" s="4304"/>
      <c r="AO97" s="4305"/>
      <c r="AP97" s="4306"/>
      <c r="AQ97" s="4307"/>
      <c r="AR97" s="4308"/>
      <c r="AS97" s="4309"/>
      <c r="AT97" s="4310"/>
      <c r="AU97" s="4311"/>
      <c r="AV97" s="3823"/>
      <c r="AW97" s="3897"/>
      <c r="AX97" s="3897" t="str">
        <f>IF(T97="","",T97)</f>
        <v>Добавить схему подключения</v>
      </c>
      <c r="AY97" s="3897"/>
      <c r="AZ97" s="3897"/>
      <c r="BA97" s="3775">
        <v>0</v>
      </c>
    </row>
    <row s="9623" customFormat="1" customHeight="1" ht="0.75">
      <c r="A98" s="4107"/>
      <c r="B98" s="4107"/>
      <c r="C98" s="4107"/>
      <c r="D98" s="4107"/>
      <c r="E98" s="3886"/>
      <c r="F98" s="3886" t="s">
        <v>92</v>
      </c>
      <c r="G98" s="3887"/>
      <c r="H98" s="4107"/>
      <c r="I98" s="4107"/>
      <c r="J98" s="4107"/>
      <c r="K98" s="4107"/>
      <c r="L98" s="4108"/>
      <c r="M98" s="4109"/>
      <c r="N98" s="4109"/>
      <c r="O98" s="3823"/>
      <c r="P98" s="4110"/>
      <c r="Q98" s="4111"/>
      <c r="R98" s="4110"/>
      <c r="S98" s="4112"/>
      <c r="T98" s="4113" t="s">
        <v>273</v>
      </c>
      <c r="U98" s="3813"/>
      <c r="V98" s="3813"/>
      <c r="W98" s="3813"/>
      <c r="X98" s="3813"/>
      <c r="Y98" s="3813"/>
      <c r="Z98" s="3813"/>
      <c r="AA98" s="3813"/>
      <c r="AB98" s="3813"/>
      <c r="AC98" s="3813"/>
      <c r="AD98" s="3813"/>
      <c r="AE98" s="3813"/>
      <c r="AF98" s="3813"/>
      <c r="AG98" s="3813"/>
      <c r="AH98" s="3813"/>
      <c r="AI98" s="3813"/>
      <c r="AJ98" s="3813"/>
      <c r="AK98" s="3813"/>
      <c r="AL98" s="3813"/>
      <c r="AM98" s="3813"/>
      <c r="AN98" s="3813"/>
      <c r="AO98" s="3813"/>
      <c r="AP98" s="3813"/>
      <c r="AQ98" s="3813"/>
      <c r="AR98" s="3813"/>
      <c r="AS98" s="3813"/>
      <c r="AT98" s="3813"/>
      <c r="AU98" s="3813"/>
      <c r="AV98" s="3823"/>
      <c r="AW98" s="3897"/>
      <c r="AX98" s="3897" t="str">
        <f>IF(T98="","",T98)</f>
        <v>Добавить источник для дифференциации</v>
      </c>
      <c r="AY98" s="3897"/>
      <c r="AZ98" s="3897"/>
      <c r="BA98" s="3823">
        <v>0</v>
      </c>
    </row>
    <row s="9624" customFormat="1" customHeight="1" ht="0.75">
      <c r="A99" s="4107"/>
      <c r="B99" s="4107"/>
      <c r="C99" s="4107"/>
      <c r="D99" s="4107"/>
      <c r="E99" s="3886"/>
      <c r="F99" s="3887" t="s">
        <v>92</v>
      </c>
      <c r="G99" s="4107"/>
      <c r="H99" s="4107"/>
      <c r="I99" s="4107"/>
      <c r="J99" s="4107"/>
      <c r="K99" s="4107"/>
      <c r="L99" s="4108"/>
      <c r="M99" s="4115"/>
      <c r="N99" s="4115"/>
      <c r="O99" s="3823"/>
      <c r="P99" s="4110"/>
      <c r="Q99" s="4111"/>
      <c r="R99" s="4110"/>
      <c r="S99" s="4116"/>
      <c r="T99" s="4117" t="s">
        <v>274</v>
      </c>
      <c r="U99" s="3814"/>
      <c r="V99" s="3814"/>
      <c r="W99" s="3814"/>
      <c r="X99" s="3814"/>
      <c r="Y99" s="3814"/>
      <c r="Z99" s="3814"/>
      <c r="AA99" s="3814"/>
      <c r="AB99" s="3814"/>
      <c r="AC99" s="3814"/>
      <c r="AD99" s="3814"/>
      <c r="AE99" s="3814"/>
      <c r="AF99" s="3814"/>
      <c r="AG99" s="3814"/>
      <c r="AH99" s="3814"/>
      <c r="AI99" s="3814"/>
      <c r="AJ99" s="3814"/>
      <c r="AK99" s="3814"/>
      <c r="AL99" s="3814"/>
      <c r="AM99" s="3814"/>
      <c r="AN99" s="3814"/>
      <c r="AO99" s="3814"/>
      <c r="AP99" s="3814"/>
      <c r="AQ99" s="3814"/>
      <c r="AR99" s="3814"/>
      <c r="AS99" s="3814"/>
      <c r="AT99" s="3814"/>
      <c r="AU99" s="3814"/>
      <c r="AV99" s="3823"/>
      <c r="AW99" s="3897"/>
      <c r="AX99" s="3897" t="str">
        <f>IF(T99="","",T99)</f>
        <v>Добавить централизованную систему для дифференциации</v>
      </c>
      <c r="AY99" s="3897"/>
      <c r="AZ99" s="3897"/>
      <c r="BA99" s="3823">
        <v>0</v>
      </c>
    </row>
    <row s="9625" customFormat="1" customHeight="1" ht="21">
      <c r="A100" s="3885"/>
      <c r="B100" s="3885" t="s">
        <v>284</v>
      </c>
      <c r="C100" s="3885"/>
      <c r="D100" s="3885"/>
      <c r="E100" s="3886"/>
      <c r="F100" s="3887" t="s">
        <v>120</v>
      </c>
      <c r="G100" s="3885"/>
      <c r="H100" s="3885"/>
      <c r="I100" s="3885"/>
      <c r="J100" s="3885"/>
      <c r="K100" s="3885"/>
      <c r="L100" s="3888"/>
      <c r="M100" s="3889"/>
      <c r="N100" s="3889"/>
      <c r="O100" s="3889"/>
      <c r="P100" s="4008"/>
      <c r="Q100" s="3891"/>
      <c r="R100" s="3892"/>
      <c r="S100" s="3893" t="str">
        <f>INDEX(PT_DIFFERENTIATION_NUM_TER,MATCH(B100,PT_DIFFERENTIATION_TER_ID,0))</f>
        <v>1.5</v>
      </c>
      <c r="T100" s="4009" t="s">
        <v>552</v>
      </c>
      <c r="U100" s="3895"/>
      <c r="V100" s="3776"/>
      <c r="W100" s="3777"/>
      <c r="X100" s="3777"/>
      <c r="Y100" s="3777"/>
      <c r="Z100" s="3777"/>
      <c r="AA100" s="3777"/>
      <c r="AB100" s="3777"/>
      <c r="AC100" s="3778"/>
      <c r="AD100" s="3776" t="str">
        <f>INDEX(PT_DIFFERENTIATION_TER,MATCH(B100,PT_DIFFERENTIATION_TER_ID,0))</f>
        <v>Территория 5</v>
      </c>
      <c r="AE100" s="3777"/>
      <c r="AF100" s="3777"/>
      <c r="AG100" s="3777"/>
      <c r="AH100" s="3777"/>
      <c r="AI100" s="3777"/>
      <c r="AJ100" s="3777"/>
      <c r="AK100" s="3777"/>
      <c r="AL100" s="3776"/>
      <c r="AM100" s="3777"/>
      <c r="AN100" s="3777"/>
      <c r="AO100" s="3777"/>
      <c r="AP100" s="3777"/>
      <c r="AQ100" s="3777"/>
      <c r="AR100" s="3777"/>
      <c r="AS100" s="3778"/>
      <c r="AT100" s="3778"/>
      <c r="AU100" s="3896" t="s">
        <v>553</v>
      </c>
      <c r="AV100" s="3823"/>
      <c r="AW100" s="3897"/>
      <c r="AX100" s="3897" t="str">
        <f>IF(T100="","",T100)</f>
        <v>Территория действия тарифа</v>
      </c>
      <c r="AY100" s="3897"/>
      <c r="AZ100" s="3897"/>
      <c r="BA100" s="3775">
        <v>0</v>
      </c>
    </row>
    <row s="9626" customFormat="1" customHeight="1" ht="23.25">
      <c r="A101" s="3885"/>
      <c r="B101" s="3885"/>
      <c r="C101" s="3885" t="s">
        <v>285</v>
      </c>
      <c r="D101" s="3885"/>
      <c r="E101" s="3886"/>
      <c r="F101" s="3886" t="s">
        <v>93</v>
      </c>
      <c r="G101" s="3887">
        <v>1</v>
      </c>
      <c r="H101" s="3885"/>
      <c r="I101" s="3885"/>
      <c r="J101" s="3885"/>
      <c r="K101" s="3885"/>
      <c r="L101" s="3888"/>
      <c r="M101" s="3889"/>
      <c r="N101" s="3889"/>
      <c r="O101" s="3889"/>
      <c r="P101" s="3890"/>
      <c r="Q101" s="3891"/>
      <c r="R101" s="3892"/>
      <c r="S101" s="3893" t="str">
        <f>INDEX(PT_DIFFERENTIATION_NUM_CS,MATCH(C101,PT_DIFFERENTIATION_CS_ID,0))</f>
        <v>1.5.1</v>
      </c>
      <c r="T101" s="4011" t="s">
        <v>554</v>
      </c>
      <c r="U101" s="3895"/>
      <c r="V101" s="3776"/>
      <c r="W101" s="3777"/>
      <c r="X101" s="3777"/>
      <c r="Y101" s="3777"/>
      <c r="Z101" s="3777"/>
      <c r="AA101" s="3777"/>
      <c r="AB101" s="3777"/>
      <c r="AC101" s="3778"/>
      <c r="AD101" s="3776" t="str">
        <f>INDEX(PT_DIFFERENTIATION_CS,MATCH(C101,PT_DIFFERENTIATION_CS_ID,0))</f>
        <v>без дифференциации</v>
      </c>
      <c r="AE101" s="3777"/>
      <c r="AF101" s="3777"/>
      <c r="AG101" s="3777"/>
      <c r="AH101" s="3777"/>
      <c r="AI101" s="3777"/>
      <c r="AJ101" s="3777"/>
      <c r="AK101" s="3777"/>
      <c r="AL101" s="3776"/>
      <c r="AM101" s="3777"/>
      <c r="AN101" s="3777"/>
      <c r="AO101" s="3777"/>
      <c r="AP101" s="3777"/>
      <c r="AQ101" s="3777"/>
      <c r="AR101" s="3777"/>
      <c r="AS101" s="3778"/>
      <c r="AT101" s="3778"/>
      <c r="AU101" s="3896" t="s">
        <v>555</v>
      </c>
      <c r="AV101" s="3823"/>
      <c r="AW101" s="3897"/>
      <c r="AX101" s="3897" t="str">
        <f>IF(T101="","",T101)</f>
        <v>Наименование системы теплоснабжения </v>
      </c>
      <c r="AY101" s="3897"/>
      <c r="AZ101" s="3897"/>
      <c r="BA101" s="3775">
        <v>0</v>
      </c>
    </row>
    <row s="9627" customFormat="1" customHeight="1" ht="21">
      <c r="A102" s="3885"/>
      <c r="B102" s="3885"/>
      <c r="C102" s="3885"/>
      <c r="D102" s="3885" t="s">
        <v>286</v>
      </c>
      <c r="E102" s="3886"/>
      <c r="F102" s="3886" t="s">
        <v>93</v>
      </c>
      <c r="G102" s="3886"/>
      <c r="H102" s="3887">
        <v>1</v>
      </c>
      <c r="I102" s="3885"/>
      <c r="J102" s="3885"/>
      <c r="K102" s="3885"/>
      <c r="L102" s="3888"/>
      <c r="M102" s="3889"/>
      <c r="N102" s="3889"/>
      <c r="O102" s="3889"/>
      <c r="P102" s="3890"/>
      <c r="Q102" s="3891"/>
      <c r="R102" s="3892"/>
      <c r="S102" s="3893" t="str">
        <f>INDEX(PT_DIFFERENTIATION_NUM_IST_TE,MATCH(D102,PT_DIFFERENTIATION_IST_TE_ID,0))</f>
        <v>1.5.1.1</v>
      </c>
      <c r="T102" s="3894" t="s">
        <v>556</v>
      </c>
      <c r="U102" s="3895"/>
      <c r="V102" s="3776"/>
      <c r="W102" s="3777"/>
      <c r="X102" s="3777"/>
      <c r="Y102" s="3777"/>
      <c r="Z102" s="3777"/>
      <c r="AA102" s="3777"/>
      <c r="AB102" s="3777"/>
      <c r="AC102" s="3778"/>
      <c r="AD102" s="3776" t="str">
        <f>INDEX(PT_DIFFERENTIATION_IST_TE,MATCH(D102,PT_DIFFERENTIATION_IST_TE_ID,0))</f>
        <v>без дифференциации</v>
      </c>
      <c r="AE102" s="3777"/>
      <c r="AF102" s="3777"/>
      <c r="AG102" s="3777"/>
      <c r="AH102" s="3777"/>
      <c r="AI102" s="3777"/>
      <c r="AJ102" s="3777"/>
      <c r="AK102" s="3777"/>
      <c r="AL102" s="3776"/>
      <c r="AM102" s="3777"/>
      <c r="AN102" s="3777"/>
      <c r="AO102" s="3777"/>
      <c r="AP102" s="3777"/>
      <c r="AQ102" s="3777"/>
      <c r="AR102" s="3777"/>
      <c r="AS102" s="3778"/>
      <c r="AT102" s="3778"/>
      <c r="AU102" s="3896" t="s">
        <v>557</v>
      </c>
      <c r="AV102" s="3823"/>
      <c r="AW102" s="3897"/>
      <c r="AX102" s="3897" t="str">
        <f>IF(T102="","",T102)</f>
        <v>Источник тепловой энергии  </v>
      </c>
      <c r="AY102" s="3897"/>
      <c r="AZ102" s="3897"/>
      <c r="BA102" s="3775">
        <v>0</v>
      </c>
    </row>
    <row s="9628" customFormat="1" customHeight="1" ht="47.25">
      <c r="A103" s="3885"/>
      <c r="B103" s="3885"/>
      <c r="C103" s="3885"/>
      <c r="D103" s="3885"/>
      <c r="E103" s="3886"/>
      <c r="F103" s="3886" t="s">
        <v>93</v>
      </c>
      <c r="G103" s="3886"/>
      <c r="H103" s="3886"/>
      <c r="I103" s="3899" t="str">
        <f>S102&amp;".1"</f>
        <v>1.5.1.1.1</v>
      </c>
      <c r="J103" s="3885"/>
      <c r="K103" s="3885"/>
      <c r="L103" s="3888" t="s">
        <v>558</v>
      </c>
      <c r="M103" s="3815"/>
      <c r="N103" s="3900"/>
      <c r="O103" s="3900"/>
      <c r="P103" s="3901">
        <v>1</v>
      </c>
      <c r="Q103" s="3901"/>
      <c r="R103" s="3902"/>
      <c r="S103" s="3893" t="str">
        <f>$I103</f>
        <v>1.5.1.1.1</v>
      </c>
      <c r="T103" s="3903" t="s">
        <v>559</v>
      </c>
      <c r="U103" s="3895"/>
      <c r="V103" s="3779"/>
      <c r="W103" s="3780"/>
      <c r="X103" s="3780"/>
      <c r="Y103" s="3780"/>
      <c r="Z103" s="3780"/>
      <c r="AA103" s="3780"/>
      <c r="AB103" s="3780"/>
      <c r="AC103" s="3781"/>
      <c r="AD103" s="3779" t="s">
        <v>601</v>
      </c>
      <c r="AE103" s="3780"/>
      <c r="AF103" s="3780"/>
      <c r="AG103" s="3780"/>
      <c r="AH103" s="3780"/>
      <c r="AI103" s="3780"/>
      <c r="AJ103" s="3780"/>
      <c r="AK103" s="3780"/>
      <c r="AL103" s="3779"/>
      <c r="AM103" s="3780"/>
      <c r="AN103" s="3780"/>
      <c r="AO103" s="3780"/>
      <c r="AP103" s="3780"/>
      <c r="AQ103" s="3780"/>
      <c r="AR103" s="3780"/>
      <c r="AS103" s="3781"/>
      <c r="AT103" s="3781"/>
      <c r="AU103" s="3896" t="s">
        <v>560</v>
      </c>
      <c r="AV103" s="3823"/>
      <c r="AW103" s="3897"/>
      <c r="AX103" s="3897" t="str">
        <f>IF(T103="","",T103)</f>
        <v>Схема подключения теплопотребляющей установки к коллектору источника тепловой энергии</v>
      </c>
      <c r="AY103" s="3897"/>
      <c r="AZ103" s="3897"/>
      <c r="BA103" s="3775">
        <v>0</v>
      </c>
    </row>
    <row s="9629" customFormat="1" customHeight="1" ht="21">
      <c r="A104" s="3885"/>
      <c r="B104" s="3885"/>
      <c r="C104" s="3885"/>
      <c r="D104" s="3885"/>
      <c r="E104" s="3886"/>
      <c r="F104" s="3886" t="s">
        <v>93</v>
      </c>
      <c r="G104" s="3886"/>
      <c r="H104" s="3886"/>
      <c r="I104" s="3905"/>
      <c r="J104" s="3899" t="str">
        <f>I103&amp;".1"</f>
        <v>1.5.1.1.1.1</v>
      </c>
      <c r="K104" s="3885"/>
      <c r="L104" s="3888" t="s">
        <v>561</v>
      </c>
      <c r="M104" s="3815"/>
      <c r="N104" s="3815"/>
      <c r="O104" s="3900"/>
      <c r="P104" s="3901"/>
      <c r="Q104" s="3901">
        <v>1</v>
      </c>
      <c r="R104" s="3906"/>
      <c r="S104" s="3893" t="str">
        <f>$J104</f>
        <v>1.5.1.1.1.1</v>
      </c>
      <c r="T104" s="3907" t="s">
        <v>562</v>
      </c>
      <c r="U104" s="3895"/>
      <c r="V104" s="3779"/>
      <c r="W104" s="3780"/>
      <c r="X104" s="3780"/>
      <c r="Y104" s="3780"/>
      <c r="Z104" s="3780"/>
      <c r="AA104" s="3780"/>
      <c r="AB104" s="3780"/>
      <c r="AC104" s="3781"/>
      <c r="AD104" s="3779" t="s">
        <v>602</v>
      </c>
      <c r="AE104" s="3780"/>
      <c r="AF104" s="3780"/>
      <c r="AG104" s="3780"/>
      <c r="AH104" s="3780"/>
      <c r="AI104" s="3780"/>
      <c r="AJ104" s="3780"/>
      <c r="AK104" s="3780"/>
      <c r="AL104" s="3779"/>
      <c r="AM104" s="3780"/>
      <c r="AN104" s="3780"/>
      <c r="AO104" s="3780"/>
      <c r="AP104" s="3780"/>
      <c r="AQ104" s="3780"/>
      <c r="AR104" s="3780"/>
      <c r="AS104" s="3781"/>
      <c r="AT104" s="3781"/>
      <c r="AU104" s="3896" t="s">
        <v>563</v>
      </c>
      <c r="AV104" s="3823"/>
      <c r="AW104" s="3897"/>
      <c r="AX104" s="3897" t="str">
        <f>IF(T104="","",T104)</f>
        <v>Группа потребителей</v>
      </c>
      <c r="AY104" s="3897"/>
      <c r="AZ104" s="3897"/>
      <c r="BA104" s="3775">
        <v>0</v>
      </c>
    </row>
    <row s="9630" customFormat="1" customHeight="1" ht="21">
      <c r="A105" s="3885"/>
      <c r="B105" s="3885"/>
      <c r="C105" s="3885"/>
      <c r="D105" s="3885"/>
      <c r="E105" s="3886"/>
      <c r="F105" s="3886" t="s">
        <v>93</v>
      </c>
      <c r="G105" s="3886"/>
      <c r="H105" s="3886"/>
      <c r="I105" s="3905"/>
      <c r="J105" s="3905"/>
      <c r="K105" s="3899" t="str">
        <f>J104&amp;".1"</f>
        <v>1.5.1.1.1.1.1</v>
      </c>
      <c r="L105" s="3888" t="s">
        <v>564</v>
      </c>
      <c r="M105" s="3815"/>
      <c r="N105" s="3815"/>
      <c r="O105" s="3815"/>
      <c r="P105" s="3901"/>
      <c r="Q105" s="3901"/>
      <c r="R105" s="3906">
        <v>1</v>
      </c>
      <c r="S105" s="3893" t="str">
        <f>$K105</f>
        <v>1.5.1.1.1.1.1</v>
      </c>
      <c r="T105" s="3909" t="s">
        <v>603</v>
      </c>
      <c r="U105" s="3895"/>
      <c r="V105" s="3855"/>
      <c r="W105" s="3855"/>
      <c r="X105" s="3855"/>
      <c r="Y105" s="3856"/>
      <c r="Z105" s="3857"/>
      <c r="AA105" s="3858" t="s">
        <v>63</v>
      </c>
      <c r="AB105" s="3857"/>
      <c r="AC105" s="3858" t="s">
        <v>63</v>
      </c>
      <c r="AD105" s="3783"/>
      <c r="AE105" s="3784">
        <v>705.55</v>
      </c>
      <c r="AF105" s="3783"/>
      <c r="AG105" s="3785"/>
      <c r="AH105" s="3786">
        <v>45658</v>
      </c>
      <c r="AI105" s="3191" t="s">
        <v>63</v>
      </c>
      <c r="AJ105" s="3786">
        <v>46022</v>
      </c>
      <c r="AK105" s="3191" t="s">
        <v>19</v>
      </c>
      <c r="AL105" s="3855"/>
      <c r="AM105" s="3855"/>
      <c r="AN105" s="3855"/>
      <c r="AO105" s="3856"/>
      <c r="AP105" s="3857"/>
      <c r="AQ105" s="3858" t="s">
        <v>63</v>
      </c>
      <c r="AR105" s="3857"/>
      <c r="AS105" s="3858" t="s">
        <v>63</v>
      </c>
      <c r="AT105" s="3783"/>
      <c r="AU105" s="3910" t="s">
        <v>565</v>
      </c>
      <c r="AV105" s="3823">
        <f>STRCHECKDATE(V106:AT106)</f>
      </c>
      <c r="AW105" s="3897"/>
      <c r="AX105" s="3897" t="str">
        <f>IF(T105="","",T105)</f>
        <v>вода</v>
      </c>
      <c r="AY105" s="3897"/>
      <c r="AZ105" s="3897"/>
      <c r="BA105" s="3775">
        <v>0</v>
      </c>
    </row>
    <row s="9631" customFormat="1" customHeight="1" ht="0.75">
      <c r="A106" s="3885"/>
      <c r="B106" s="3885"/>
      <c r="C106" s="3885"/>
      <c r="D106" s="3885"/>
      <c r="E106" s="3886"/>
      <c r="F106" s="3886" t="s">
        <v>93</v>
      </c>
      <c r="G106" s="3886"/>
      <c r="H106" s="3886"/>
      <c r="I106" s="3905"/>
      <c r="J106" s="3905"/>
      <c r="K106" s="3899"/>
      <c r="L106" s="3888"/>
      <c r="M106" s="3815"/>
      <c r="N106" s="3815"/>
      <c r="O106" s="3815"/>
      <c r="P106" s="3901"/>
      <c r="Q106" s="3901"/>
      <c r="R106" s="3906"/>
      <c r="S106" s="3912"/>
      <c r="T106" s="3895"/>
      <c r="U106" s="3895"/>
      <c r="V106" s="3855"/>
      <c r="W106" s="3855"/>
      <c r="X106" s="3855"/>
      <c r="Y106" s="3787" t="str">
        <f>Z105&amp;"-"&amp;AB105</f>
        <v>-</v>
      </c>
      <c r="Z106" s="3858"/>
      <c r="AA106" s="3858"/>
      <c r="AB106" s="3858"/>
      <c r="AC106" s="3858"/>
      <c r="AD106" s="3783"/>
      <c r="AE106" s="3783"/>
      <c r="AF106" s="3783"/>
      <c r="AG106" s="3787" t="str">
        <f>AH105&amp;"-"&amp;AJ105</f>
        <v>45658-46022</v>
      </c>
      <c r="AH106" s="3788"/>
      <c r="AI106" s="3191"/>
      <c r="AJ106" s="3788"/>
      <c r="AK106" s="3191"/>
      <c r="AL106" s="3855"/>
      <c r="AM106" s="3855"/>
      <c r="AN106" s="3855"/>
      <c r="AO106" s="3787" t="str">
        <f>AP105&amp;"-"&amp;AR105</f>
        <v>-</v>
      </c>
      <c r="AP106" s="3858"/>
      <c r="AQ106" s="3858"/>
      <c r="AR106" s="3858"/>
      <c r="AS106" s="3858"/>
      <c r="AT106" s="3783"/>
      <c r="AU106" s="3913"/>
      <c r="AV106" s="3823"/>
      <c r="AW106" s="3897"/>
      <c r="AX106" s="3897" t="str">
        <f>IF(T106="","",T106)</f>
        <v/>
      </c>
      <c r="AY106" s="3897"/>
      <c r="AZ106" s="3897"/>
      <c r="BA106" s="3775">
        <v>0</v>
      </c>
    </row>
    <row s="9632" customFormat="1" customHeight="1" ht="15">
      <c r="A107" s="3885"/>
      <c r="B107" s="3885"/>
      <c r="C107" s="3885"/>
      <c r="D107" s="3885"/>
      <c r="E107" s="3886"/>
      <c r="F107" s="3886" t="s">
        <v>93</v>
      </c>
      <c r="G107" s="3886"/>
      <c r="H107" s="3886"/>
      <c r="I107" s="3905"/>
      <c r="J107" s="3899"/>
      <c r="K107" s="3885"/>
      <c r="L107" s="3888"/>
      <c r="M107" s="3815"/>
      <c r="N107" s="3815"/>
      <c r="O107" s="3900"/>
      <c r="P107" s="3901"/>
      <c r="Q107" s="3901"/>
      <c r="R107" s="3902"/>
      <c r="S107" s="4322"/>
      <c r="T107" s="4323" t="s">
        <v>566</v>
      </c>
      <c r="U107" s="4324"/>
      <c r="V107" s="4325"/>
      <c r="W107" s="4326"/>
      <c r="X107" s="4327"/>
      <c r="Y107" s="4328"/>
      <c r="Z107" s="4329"/>
      <c r="AA107" s="4330"/>
      <c r="AB107" s="4331"/>
      <c r="AC107" s="4332"/>
      <c r="AD107" s="4333"/>
      <c r="AE107" s="4334"/>
      <c r="AF107" s="4335"/>
      <c r="AG107" s="4336"/>
      <c r="AH107" s="4337"/>
      <c r="AI107" s="4338"/>
      <c r="AJ107" s="4339"/>
      <c r="AK107" s="4340"/>
      <c r="AL107" s="4341"/>
      <c r="AM107" s="4342"/>
      <c r="AN107" s="4343"/>
      <c r="AO107" s="4344"/>
      <c r="AP107" s="4345"/>
      <c r="AQ107" s="4346"/>
      <c r="AR107" s="4347"/>
      <c r="AS107" s="4348"/>
      <c r="AT107" s="4349"/>
      <c r="AU107" s="3943"/>
      <c r="AV107" s="3823"/>
      <c r="AW107" s="3897"/>
      <c r="AX107" s="3897" t="str">
        <f>IF(T107="","",T107)</f>
        <v>Добавить вид теплоносителя (параметры теплоносителя)</v>
      </c>
      <c r="AY107" s="3897"/>
      <c r="AZ107" s="3897"/>
      <c r="BA107" s="3775">
        <v>0</v>
      </c>
    </row>
    <row s="9661" customFormat="1" customHeight="1" ht="15">
      <c r="A108" s="3885"/>
      <c r="B108" s="3885"/>
      <c r="C108" s="3885"/>
      <c r="D108" s="3885"/>
      <c r="E108" s="3886"/>
      <c r="F108" s="3886" t="s">
        <v>93</v>
      </c>
      <c r="G108" s="3886"/>
      <c r="H108" s="3886"/>
      <c r="I108" s="3899"/>
      <c r="J108" s="3885"/>
      <c r="K108" s="3885"/>
      <c r="L108" s="3888"/>
      <c r="M108" s="3815"/>
      <c r="N108" s="3900"/>
      <c r="O108" s="3900"/>
      <c r="P108" s="3901"/>
      <c r="Q108" s="3901"/>
      <c r="R108" s="3902"/>
      <c r="S108" s="4351"/>
      <c r="T108" s="4352" t="s">
        <v>567</v>
      </c>
      <c r="U108" s="4353"/>
      <c r="V108" s="4354"/>
      <c r="W108" s="4355"/>
      <c r="X108" s="4356"/>
      <c r="Y108" s="4357"/>
      <c r="Z108" s="4358"/>
      <c r="AA108" s="4359"/>
      <c r="AB108" s="4360"/>
      <c r="AC108" s="4361"/>
      <c r="AD108" s="4362"/>
      <c r="AE108" s="4363"/>
      <c r="AF108" s="4364"/>
      <c r="AG108" s="4365"/>
      <c r="AH108" s="4366"/>
      <c r="AI108" s="4367"/>
      <c r="AJ108" s="4368"/>
      <c r="AK108" s="4369"/>
      <c r="AL108" s="4370"/>
      <c r="AM108" s="4371"/>
      <c r="AN108" s="4372"/>
      <c r="AO108" s="4373"/>
      <c r="AP108" s="4374"/>
      <c r="AQ108" s="4375"/>
      <c r="AR108" s="4376"/>
      <c r="AS108" s="4377"/>
      <c r="AT108" s="4378"/>
      <c r="AU108" s="4379"/>
      <c r="AV108" s="3823"/>
      <c r="AW108" s="3897"/>
      <c r="AX108" s="3897" t="str">
        <f>IF(T108="","",T108)</f>
        <v>Добавить группу потребителей</v>
      </c>
      <c r="AY108" s="3897"/>
      <c r="AZ108" s="3897"/>
      <c r="BA108" s="3775">
        <v>0</v>
      </c>
    </row>
    <row s="9691" customFormat="1" customHeight="1" ht="14.25">
      <c r="A109" s="3885"/>
      <c r="B109" s="3885"/>
      <c r="C109" s="3885"/>
      <c r="D109" s="3885"/>
      <c r="E109" s="3886"/>
      <c r="F109" s="3886" t="s">
        <v>93</v>
      </c>
      <c r="G109" s="3886"/>
      <c r="H109" s="3887"/>
      <c r="I109" s="3885"/>
      <c r="J109" s="3885"/>
      <c r="K109" s="3885"/>
      <c r="L109" s="3888"/>
      <c r="M109" s="3889"/>
      <c r="N109" s="3889"/>
      <c r="O109" s="3815"/>
      <c r="P109" s="3975"/>
      <c r="Q109" s="3976"/>
      <c r="R109" s="3977"/>
      <c r="S109" s="4381"/>
      <c r="T109" s="4382" t="s">
        <v>568</v>
      </c>
      <c r="U109" s="4383"/>
      <c r="V109" s="4384"/>
      <c r="W109" s="4385"/>
      <c r="X109" s="4386"/>
      <c r="Y109" s="4387"/>
      <c r="Z109" s="4388"/>
      <c r="AA109" s="4389"/>
      <c r="AB109" s="4390"/>
      <c r="AC109" s="4391"/>
      <c r="AD109" s="4392"/>
      <c r="AE109" s="4393"/>
      <c r="AF109" s="4394"/>
      <c r="AG109" s="4395"/>
      <c r="AH109" s="4396"/>
      <c r="AI109" s="4397"/>
      <c r="AJ109" s="4398"/>
      <c r="AK109" s="4399"/>
      <c r="AL109" s="4400"/>
      <c r="AM109" s="4401"/>
      <c r="AN109" s="4402"/>
      <c r="AO109" s="4403"/>
      <c r="AP109" s="4404"/>
      <c r="AQ109" s="4405"/>
      <c r="AR109" s="4406"/>
      <c r="AS109" s="4407"/>
      <c r="AT109" s="4408"/>
      <c r="AU109" s="4409"/>
      <c r="AV109" s="3823"/>
      <c r="AW109" s="3897"/>
      <c r="AX109" s="3897" t="str">
        <f>IF(T109="","",T109)</f>
        <v>Добавить схему подключения</v>
      </c>
      <c r="AY109" s="3897"/>
      <c r="AZ109" s="3897"/>
      <c r="BA109" s="3775">
        <v>0</v>
      </c>
    </row>
    <row s="9721" customFormat="1" customHeight="1" ht="0.75">
      <c r="A110" s="4107"/>
      <c r="B110" s="4107"/>
      <c r="C110" s="4107"/>
      <c r="D110" s="4107"/>
      <c r="E110" s="3886"/>
      <c r="F110" s="3886" t="s">
        <v>93</v>
      </c>
      <c r="G110" s="3887"/>
      <c r="H110" s="4107"/>
      <c r="I110" s="4107"/>
      <c r="J110" s="4107"/>
      <c r="K110" s="4107"/>
      <c r="L110" s="4108"/>
      <c r="M110" s="4109"/>
      <c r="N110" s="4109"/>
      <c r="O110" s="3823"/>
      <c r="P110" s="4110"/>
      <c r="Q110" s="4111"/>
      <c r="R110" s="4110"/>
      <c r="S110" s="4112"/>
      <c r="T110" s="4113" t="s">
        <v>273</v>
      </c>
      <c r="U110" s="3813"/>
      <c r="V110" s="3813"/>
      <c r="W110" s="3813"/>
      <c r="X110" s="3813"/>
      <c r="Y110" s="3813"/>
      <c r="Z110" s="3813"/>
      <c r="AA110" s="3813"/>
      <c r="AB110" s="3813"/>
      <c r="AC110" s="3813"/>
      <c r="AD110" s="3813"/>
      <c r="AE110" s="3813"/>
      <c r="AF110" s="3813"/>
      <c r="AG110" s="3813"/>
      <c r="AH110" s="3813"/>
      <c r="AI110" s="3813"/>
      <c r="AJ110" s="3813"/>
      <c r="AK110" s="3813"/>
      <c r="AL110" s="3813"/>
      <c r="AM110" s="3813"/>
      <c r="AN110" s="3813"/>
      <c r="AO110" s="3813"/>
      <c r="AP110" s="3813"/>
      <c r="AQ110" s="3813"/>
      <c r="AR110" s="3813"/>
      <c r="AS110" s="3813"/>
      <c r="AT110" s="3813"/>
      <c r="AU110" s="3813"/>
      <c r="AV110" s="3823"/>
      <c r="AW110" s="3897"/>
      <c r="AX110" s="3897" t="str">
        <f>IF(T110="","",T110)</f>
        <v>Добавить источник для дифференциации</v>
      </c>
      <c r="AY110" s="3897"/>
      <c r="AZ110" s="3897"/>
      <c r="BA110" s="3823">
        <v>0</v>
      </c>
    </row>
    <row s="9722" customFormat="1" customHeight="1" ht="0.75">
      <c r="A111" s="4107"/>
      <c r="B111" s="4107"/>
      <c r="C111" s="4107"/>
      <c r="D111" s="4107"/>
      <c r="E111" s="3886"/>
      <c r="F111" s="3887" t="s">
        <v>93</v>
      </c>
      <c r="G111" s="4107"/>
      <c r="H111" s="4107"/>
      <c r="I111" s="4107"/>
      <c r="J111" s="4107"/>
      <c r="K111" s="4107"/>
      <c r="L111" s="4108"/>
      <c r="M111" s="4115"/>
      <c r="N111" s="4115"/>
      <c r="O111" s="3823"/>
      <c r="P111" s="4110"/>
      <c r="Q111" s="4111"/>
      <c r="R111" s="4110"/>
      <c r="S111" s="4116"/>
      <c r="T111" s="4117" t="s">
        <v>274</v>
      </c>
      <c r="U111" s="3814"/>
      <c r="V111" s="3814"/>
      <c r="W111" s="3814"/>
      <c r="X111" s="3814"/>
      <c r="Y111" s="3814"/>
      <c r="Z111" s="3814"/>
      <c r="AA111" s="3814"/>
      <c r="AB111" s="3814"/>
      <c r="AC111" s="3814"/>
      <c r="AD111" s="3814"/>
      <c r="AE111" s="3814"/>
      <c r="AF111" s="3814"/>
      <c r="AG111" s="3814"/>
      <c r="AH111" s="3814"/>
      <c r="AI111" s="3814"/>
      <c r="AJ111" s="3814"/>
      <c r="AK111" s="3814"/>
      <c r="AL111" s="3814"/>
      <c r="AM111" s="3814"/>
      <c r="AN111" s="3814"/>
      <c r="AO111" s="3814"/>
      <c r="AP111" s="3814"/>
      <c r="AQ111" s="3814"/>
      <c r="AR111" s="3814"/>
      <c r="AS111" s="3814"/>
      <c r="AT111" s="3814"/>
      <c r="AU111" s="3814"/>
      <c r="AV111" s="3823"/>
      <c r="AW111" s="3897"/>
      <c r="AX111" s="3897" t="str">
        <f>IF(T111="","",T111)</f>
        <v>Добавить централизованную систему для дифференциации</v>
      </c>
      <c r="AY111" s="3897"/>
      <c r="AZ111" s="3897"/>
      <c r="BA111" s="3823">
        <v>0</v>
      </c>
    </row>
    <row s="9723" customFormat="1" customHeight="1" ht="21">
      <c r="A112" s="3885"/>
      <c r="B112" s="3885" t="s">
        <v>288</v>
      </c>
      <c r="C112" s="3885"/>
      <c r="D112" s="3885"/>
      <c r="E112" s="3886"/>
      <c r="F112" s="3887" t="s">
        <v>94</v>
      </c>
      <c r="G112" s="3885"/>
      <c r="H112" s="3885"/>
      <c r="I112" s="3885"/>
      <c r="J112" s="3885"/>
      <c r="K112" s="3885"/>
      <c r="L112" s="3888"/>
      <c r="M112" s="3889"/>
      <c r="N112" s="3889"/>
      <c r="O112" s="3889"/>
      <c r="P112" s="4008"/>
      <c r="Q112" s="3891"/>
      <c r="R112" s="3892"/>
      <c r="S112" s="3893" t="str">
        <f>INDEX(PT_DIFFERENTIATION_NUM_TER,MATCH(B112,PT_DIFFERENTIATION_TER_ID,0))</f>
        <v>1.6</v>
      </c>
      <c r="T112" s="4009" t="s">
        <v>552</v>
      </c>
      <c r="U112" s="3895"/>
      <c r="V112" s="3776"/>
      <c r="W112" s="3777"/>
      <c r="X112" s="3777"/>
      <c r="Y112" s="3777"/>
      <c r="Z112" s="3777"/>
      <c r="AA112" s="3777"/>
      <c r="AB112" s="3777"/>
      <c r="AC112" s="3778"/>
      <c r="AD112" s="3776" t="str">
        <f>INDEX(PT_DIFFERENTIATION_TER,MATCH(B112,PT_DIFFERENTIATION_TER_ID,0))</f>
        <v>Территория 6</v>
      </c>
      <c r="AE112" s="3777"/>
      <c r="AF112" s="3777"/>
      <c r="AG112" s="3777"/>
      <c r="AH112" s="3777"/>
      <c r="AI112" s="3777"/>
      <c r="AJ112" s="3777"/>
      <c r="AK112" s="3777"/>
      <c r="AL112" s="3776"/>
      <c r="AM112" s="3777"/>
      <c r="AN112" s="3777"/>
      <c r="AO112" s="3777"/>
      <c r="AP112" s="3777"/>
      <c r="AQ112" s="3777"/>
      <c r="AR112" s="3777"/>
      <c r="AS112" s="3778"/>
      <c r="AT112" s="3778"/>
      <c r="AU112" s="3896" t="s">
        <v>553</v>
      </c>
      <c r="AV112" s="3823"/>
      <c r="AW112" s="3897"/>
      <c r="AX112" s="3897" t="str">
        <f>IF(T112="","",T112)</f>
        <v>Территория действия тарифа</v>
      </c>
      <c r="AY112" s="3897"/>
      <c r="AZ112" s="3897"/>
      <c r="BA112" s="3775">
        <v>0</v>
      </c>
    </row>
    <row s="9724" customFormat="1" customHeight="1" ht="23.25">
      <c r="A113" s="3885"/>
      <c r="B113" s="3885"/>
      <c r="C113" s="3885" t="s">
        <v>289</v>
      </c>
      <c r="D113" s="3885"/>
      <c r="E113" s="3886"/>
      <c r="F113" s="3886" t="s">
        <v>120</v>
      </c>
      <c r="G113" s="3887">
        <v>1</v>
      </c>
      <c r="H113" s="3885"/>
      <c r="I113" s="3885"/>
      <c r="J113" s="3885"/>
      <c r="K113" s="3885"/>
      <c r="L113" s="3888"/>
      <c r="M113" s="3889"/>
      <c r="N113" s="3889"/>
      <c r="O113" s="3889"/>
      <c r="P113" s="3890"/>
      <c r="Q113" s="3891"/>
      <c r="R113" s="3892"/>
      <c r="S113" s="3893" t="str">
        <f>INDEX(PT_DIFFERENTIATION_NUM_CS,MATCH(C113,PT_DIFFERENTIATION_CS_ID,0))</f>
        <v>1.6.1</v>
      </c>
      <c r="T113" s="4011" t="s">
        <v>554</v>
      </c>
      <c r="U113" s="3895"/>
      <c r="V113" s="3776"/>
      <c r="W113" s="3777"/>
      <c r="X113" s="3777"/>
      <c r="Y113" s="3777"/>
      <c r="Z113" s="3777"/>
      <c r="AA113" s="3777"/>
      <c r="AB113" s="3777"/>
      <c r="AC113" s="3778"/>
      <c r="AD113" s="3776" t="str">
        <f>INDEX(PT_DIFFERENTIATION_CS,MATCH(C113,PT_DIFFERENTIATION_CS_ID,0))</f>
        <v>без дифференциации</v>
      </c>
      <c r="AE113" s="3777"/>
      <c r="AF113" s="3777"/>
      <c r="AG113" s="3777"/>
      <c r="AH113" s="3777"/>
      <c r="AI113" s="3777"/>
      <c r="AJ113" s="3777"/>
      <c r="AK113" s="3777"/>
      <c r="AL113" s="3776"/>
      <c r="AM113" s="3777"/>
      <c r="AN113" s="3777"/>
      <c r="AO113" s="3777"/>
      <c r="AP113" s="3777"/>
      <c r="AQ113" s="3777"/>
      <c r="AR113" s="3777"/>
      <c r="AS113" s="3778"/>
      <c r="AT113" s="3778"/>
      <c r="AU113" s="3896" t="s">
        <v>555</v>
      </c>
      <c r="AV113" s="3823"/>
      <c r="AW113" s="3897"/>
      <c r="AX113" s="3897" t="str">
        <f>IF(T113="","",T113)</f>
        <v>Наименование системы теплоснабжения </v>
      </c>
      <c r="AY113" s="3897"/>
      <c r="AZ113" s="3897"/>
      <c r="BA113" s="3775">
        <v>0</v>
      </c>
    </row>
    <row s="9725" customFormat="1" customHeight="1" ht="21">
      <c r="A114" s="3885"/>
      <c r="B114" s="3885"/>
      <c r="C114" s="3885"/>
      <c r="D114" s="3885" t="s">
        <v>290</v>
      </c>
      <c r="E114" s="3886"/>
      <c r="F114" s="3886" t="s">
        <v>120</v>
      </c>
      <c r="G114" s="3886"/>
      <c r="H114" s="3887">
        <v>1</v>
      </c>
      <c r="I114" s="3885"/>
      <c r="J114" s="3885"/>
      <c r="K114" s="3885"/>
      <c r="L114" s="3888"/>
      <c r="M114" s="3889"/>
      <c r="N114" s="3889"/>
      <c r="O114" s="3889"/>
      <c r="P114" s="3890"/>
      <c r="Q114" s="3891"/>
      <c r="R114" s="3892"/>
      <c r="S114" s="3893" t="str">
        <f>INDEX(PT_DIFFERENTIATION_NUM_IST_TE,MATCH(D114,PT_DIFFERENTIATION_IST_TE_ID,0))</f>
        <v>1.6.1.1</v>
      </c>
      <c r="T114" s="3894" t="s">
        <v>556</v>
      </c>
      <c r="U114" s="3895"/>
      <c r="V114" s="3776"/>
      <c r="W114" s="3777"/>
      <c r="X114" s="3777"/>
      <c r="Y114" s="3777"/>
      <c r="Z114" s="3777"/>
      <c r="AA114" s="3777"/>
      <c r="AB114" s="3777"/>
      <c r="AC114" s="3778"/>
      <c r="AD114" s="3776" t="str">
        <f>INDEX(PT_DIFFERENTIATION_IST_TE,MATCH(D114,PT_DIFFERENTIATION_IST_TE_ID,0))</f>
        <v>г.п. Кильдинстрой</v>
      </c>
      <c r="AE114" s="3777"/>
      <c r="AF114" s="3777"/>
      <c r="AG114" s="3777"/>
      <c r="AH114" s="3777"/>
      <c r="AI114" s="3777"/>
      <c r="AJ114" s="3777"/>
      <c r="AK114" s="3777"/>
      <c r="AL114" s="3776"/>
      <c r="AM114" s="3777"/>
      <c r="AN114" s="3777"/>
      <c r="AO114" s="3777"/>
      <c r="AP114" s="3777"/>
      <c r="AQ114" s="3777"/>
      <c r="AR114" s="3777"/>
      <c r="AS114" s="3778"/>
      <c r="AT114" s="3778"/>
      <c r="AU114" s="3896" t="s">
        <v>557</v>
      </c>
      <c r="AV114" s="3823"/>
      <c r="AW114" s="3897"/>
      <c r="AX114" s="3897" t="str">
        <f>IF(T114="","",T114)</f>
        <v>Источник тепловой энергии  </v>
      </c>
      <c r="AY114" s="3897"/>
      <c r="AZ114" s="3897"/>
      <c r="BA114" s="3775">
        <v>0</v>
      </c>
    </row>
    <row s="9726" customFormat="1" customHeight="1" ht="47.25">
      <c r="A115" s="3885"/>
      <c r="B115" s="3885"/>
      <c r="C115" s="3885"/>
      <c r="D115" s="3885"/>
      <c r="E115" s="3886"/>
      <c r="F115" s="3886" t="s">
        <v>120</v>
      </c>
      <c r="G115" s="3886"/>
      <c r="H115" s="3886"/>
      <c r="I115" s="3899" t="str">
        <f>S114&amp;".1"</f>
        <v>1.6.1.1.1</v>
      </c>
      <c r="J115" s="3885"/>
      <c r="K115" s="3885"/>
      <c r="L115" s="3888" t="s">
        <v>558</v>
      </c>
      <c r="M115" s="3815"/>
      <c r="N115" s="3900"/>
      <c r="O115" s="3900"/>
      <c r="P115" s="3901">
        <v>1</v>
      </c>
      <c r="Q115" s="3901"/>
      <c r="R115" s="3902"/>
      <c r="S115" s="3893" t="str">
        <f>$I115</f>
        <v>1.6.1.1.1</v>
      </c>
      <c r="T115" s="3903" t="s">
        <v>559</v>
      </c>
      <c r="U115" s="3895"/>
      <c r="V115" s="3779"/>
      <c r="W115" s="3780"/>
      <c r="X115" s="3780"/>
      <c r="Y115" s="3780"/>
      <c r="Z115" s="3780"/>
      <c r="AA115" s="3780"/>
      <c r="AB115" s="3780"/>
      <c r="AC115" s="3781"/>
      <c r="AD115" s="3779" t="s">
        <v>601</v>
      </c>
      <c r="AE115" s="3780"/>
      <c r="AF115" s="3780"/>
      <c r="AG115" s="3780"/>
      <c r="AH115" s="3780"/>
      <c r="AI115" s="3780"/>
      <c r="AJ115" s="3780"/>
      <c r="AK115" s="3780"/>
      <c r="AL115" s="3779"/>
      <c r="AM115" s="3780"/>
      <c r="AN115" s="3780"/>
      <c r="AO115" s="3780"/>
      <c r="AP115" s="3780"/>
      <c r="AQ115" s="3780"/>
      <c r="AR115" s="3780"/>
      <c r="AS115" s="3781"/>
      <c r="AT115" s="3781"/>
      <c r="AU115" s="3896" t="s">
        <v>560</v>
      </c>
      <c r="AV115" s="3823"/>
      <c r="AW115" s="3897"/>
      <c r="AX115" s="3897" t="str">
        <f>IF(T115="","",T115)</f>
        <v>Схема подключения теплопотребляющей установки к коллектору источника тепловой энергии</v>
      </c>
      <c r="AY115" s="3897"/>
      <c r="AZ115" s="3897"/>
      <c r="BA115" s="3775">
        <v>0</v>
      </c>
    </row>
    <row s="9727" customFormat="1" customHeight="1" ht="21">
      <c r="A116" s="3885"/>
      <c r="B116" s="3885"/>
      <c r="C116" s="3885"/>
      <c r="D116" s="3885"/>
      <c r="E116" s="3886"/>
      <c r="F116" s="3886" t="s">
        <v>120</v>
      </c>
      <c r="G116" s="3886"/>
      <c r="H116" s="3886"/>
      <c r="I116" s="3905"/>
      <c r="J116" s="3899" t="str">
        <f>I115&amp;".1"</f>
        <v>1.6.1.1.1.1</v>
      </c>
      <c r="K116" s="3885"/>
      <c r="L116" s="3888" t="s">
        <v>561</v>
      </c>
      <c r="M116" s="3815"/>
      <c r="N116" s="3815"/>
      <c r="O116" s="3900"/>
      <c r="P116" s="3901"/>
      <c r="Q116" s="3901">
        <v>1</v>
      </c>
      <c r="R116" s="3906"/>
      <c r="S116" s="3893" t="str">
        <f>$J116</f>
        <v>1.6.1.1.1.1</v>
      </c>
      <c r="T116" s="3907" t="s">
        <v>562</v>
      </c>
      <c r="U116" s="3895"/>
      <c r="V116" s="3779"/>
      <c r="W116" s="3780"/>
      <c r="X116" s="3780"/>
      <c r="Y116" s="3780"/>
      <c r="Z116" s="3780"/>
      <c r="AA116" s="3780"/>
      <c r="AB116" s="3780"/>
      <c r="AC116" s="3781"/>
      <c r="AD116" s="3779" t="s">
        <v>602</v>
      </c>
      <c r="AE116" s="3780"/>
      <c r="AF116" s="3780"/>
      <c r="AG116" s="3780"/>
      <c r="AH116" s="3780"/>
      <c r="AI116" s="3780"/>
      <c r="AJ116" s="3780"/>
      <c r="AK116" s="3780"/>
      <c r="AL116" s="3779"/>
      <c r="AM116" s="3780"/>
      <c r="AN116" s="3780"/>
      <c r="AO116" s="3780"/>
      <c r="AP116" s="3780"/>
      <c r="AQ116" s="3780"/>
      <c r="AR116" s="3780"/>
      <c r="AS116" s="3781"/>
      <c r="AT116" s="3781"/>
      <c r="AU116" s="3896" t="s">
        <v>563</v>
      </c>
      <c r="AV116" s="3823"/>
      <c r="AW116" s="3897"/>
      <c r="AX116" s="3897" t="str">
        <f>IF(T116="","",T116)</f>
        <v>Группа потребителей</v>
      </c>
      <c r="AY116" s="3897"/>
      <c r="AZ116" s="3897"/>
      <c r="BA116" s="3775">
        <v>0</v>
      </c>
    </row>
    <row s="9728" customFormat="1" customHeight="1" ht="21">
      <c r="A117" s="3885"/>
      <c r="B117" s="3885"/>
      <c r="C117" s="3885"/>
      <c r="D117" s="3885"/>
      <c r="E117" s="3886"/>
      <c r="F117" s="3886" t="s">
        <v>120</v>
      </c>
      <c r="G117" s="3886"/>
      <c r="H117" s="3886"/>
      <c r="I117" s="3905"/>
      <c r="J117" s="3905"/>
      <c r="K117" s="3899" t="str">
        <f>J116&amp;".1"</f>
        <v>1.6.1.1.1.1.1</v>
      </c>
      <c r="L117" s="3888" t="s">
        <v>564</v>
      </c>
      <c r="M117" s="3815"/>
      <c r="N117" s="3815"/>
      <c r="O117" s="3815"/>
      <c r="P117" s="3901"/>
      <c r="Q117" s="3901"/>
      <c r="R117" s="3906">
        <v>1</v>
      </c>
      <c r="S117" s="3893" t="str">
        <f>$K117</f>
        <v>1.6.1.1.1.1.1</v>
      </c>
      <c r="T117" s="3909" t="s">
        <v>603</v>
      </c>
      <c r="U117" s="3895"/>
      <c r="V117" s="3855"/>
      <c r="W117" s="3855"/>
      <c r="X117" s="3855"/>
      <c r="Y117" s="3856"/>
      <c r="Z117" s="3857"/>
      <c r="AA117" s="3858" t="s">
        <v>63</v>
      </c>
      <c r="AB117" s="3857"/>
      <c r="AC117" s="3858" t="s">
        <v>63</v>
      </c>
      <c r="AD117" s="3783"/>
      <c r="AE117" s="3784">
        <v>705.55</v>
      </c>
      <c r="AF117" s="3783"/>
      <c r="AG117" s="3785"/>
      <c r="AH117" s="3786">
        <v>45658</v>
      </c>
      <c r="AI117" s="3191" t="s">
        <v>63</v>
      </c>
      <c r="AJ117" s="3786">
        <v>46022</v>
      </c>
      <c r="AK117" s="3191" t="s">
        <v>19</v>
      </c>
      <c r="AL117" s="3855"/>
      <c r="AM117" s="3855"/>
      <c r="AN117" s="3855"/>
      <c r="AO117" s="3856"/>
      <c r="AP117" s="3857"/>
      <c r="AQ117" s="3858" t="s">
        <v>63</v>
      </c>
      <c r="AR117" s="3857"/>
      <c r="AS117" s="3858" t="s">
        <v>63</v>
      </c>
      <c r="AT117" s="3783"/>
      <c r="AU117" s="3910" t="s">
        <v>565</v>
      </c>
      <c r="AV117" s="3823">
        <f>STRCHECKDATE(V118:AT118)</f>
      </c>
      <c r="AW117" s="3897"/>
      <c r="AX117" s="3897" t="str">
        <f>IF(T117="","",T117)</f>
        <v>вода</v>
      </c>
      <c r="AY117" s="3897"/>
      <c r="AZ117" s="3897"/>
      <c r="BA117" s="3775">
        <v>0</v>
      </c>
    </row>
    <row s="9729" customFormat="1" customHeight="1" ht="0.75">
      <c r="A118" s="3885"/>
      <c r="B118" s="3885"/>
      <c r="C118" s="3885"/>
      <c r="D118" s="3885"/>
      <c r="E118" s="3886"/>
      <c r="F118" s="3886" t="s">
        <v>120</v>
      </c>
      <c r="G118" s="3886"/>
      <c r="H118" s="3886"/>
      <c r="I118" s="3905"/>
      <c r="J118" s="3905"/>
      <c r="K118" s="3899"/>
      <c r="L118" s="3888"/>
      <c r="M118" s="3815"/>
      <c r="N118" s="3815"/>
      <c r="O118" s="3815"/>
      <c r="P118" s="3901"/>
      <c r="Q118" s="3901"/>
      <c r="R118" s="3906"/>
      <c r="S118" s="3912"/>
      <c r="T118" s="3895"/>
      <c r="U118" s="3895"/>
      <c r="V118" s="3855"/>
      <c r="W118" s="3855"/>
      <c r="X118" s="3855"/>
      <c r="Y118" s="3787" t="str">
        <f>Z117&amp;"-"&amp;AB117</f>
        <v>-</v>
      </c>
      <c r="Z118" s="3858"/>
      <c r="AA118" s="3858"/>
      <c r="AB118" s="3858"/>
      <c r="AC118" s="3858"/>
      <c r="AD118" s="3783"/>
      <c r="AE118" s="3783"/>
      <c r="AF118" s="3783"/>
      <c r="AG118" s="3787" t="str">
        <f>AH117&amp;"-"&amp;AJ117</f>
        <v>45658-46022</v>
      </c>
      <c r="AH118" s="3788"/>
      <c r="AI118" s="3191"/>
      <c r="AJ118" s="3788"/>
      <c r="AK118" s="3191"/>
      <c r="AL118" s="3855"/>
      <c r="AM118" s="3855"/>
      <c r="AN118" s="3855"/>
      <c r="AO118" s="3787" t="str">
        <f>AP117&amp;"-"&amp;AR117</f>
        <v>-</v>
      </c>
      <c r="AP118" s="3858"/>
      <c r="AQ118" s="3858"/>
      <c r="AR118" s="3858"/>
      <c r="AS118" s="3858"/>
      <c r="AT118" s="3783"/>
      <c r="AU118" s="3913"/>
      <c r="AV118" s="3823"/>
      <c r="AW118" s="3897"/>
      <c r="AX118" s="3897" t="str">
        <f>IF(T118="","",T118)</f>
        <v/>
      </c>
      <c r="AY118" s="3897"/>
      <c r="AZ118" s="3897"/>
      <c r="BA118" s="3775">
        <v>0</v>
      </c>
    </row>
    <row s="9730" customFormat="1" customHeight="1" ht="15">
      <c r="A119" s="3885"/>
      <c r="B119" s="3885"/>
      <c r="C119" s="3885"/>
      <c r="D119" s="3885"/>
      <c r="E119" s="3886"/>
      <c r="F119" s="3886" t="s">
        <v>120</v>
      </c>
      <c r="G119" s="3886"/>
      <c r="H119" s="3886"/>
      <c r="I119" s="3905"/>
      <c r="J119" s="3899"/>
      <c r="K119" s="3885"/>
      <c r="L119" s="3888"/>
      <c r="M119" s="3815"/>
      <c r="N119" s="3815"/>
      <c r="O119" s="3900"/>
      <c r="P119" s="3901"/>
      <c r="Q119" s="3901"/>
      <c r="R119" s="3902"/>
      <c r="S119" s="4420"/>
      <c r="T119" s="4421" t="s">
        <v>566</v>
      </c>
      <c r="U119" s="4422"/>
      <c r="V119" s="4423"/>
      <c r="W119" s="4424"/>
      <c r="X119" s="4425"/>
      <c r="Y119" s="4426"/>
      <c r="Z119" s="4427"/>
      <c r="AA119" s="4428"/>
      <c r="AB119" s="4429"/>
      <c r="AC119" s="4430"/>
      <c r="AD119" s="4431"/>
      <c r="AE119" s="4432"/>
      <c r="AF119" s="4433"/>
      <c r="AG119" s="4434"/>
      <c r="AH119" s="4435"/>
      <c r="AI119" s="4436"/>
      <c r="AJ119" s="4437"/>
      <c r="AK119" s="4438"/>
      <c r="AL119" s="4439"/>
      <c r="AM119" s="4440"/>
      <c r="AN119" s="4441"/>
      <c r="AO119" s="4442"/>
      <c r="AP119" s="4443"/>
      <c r="AQ119" s="4444"/>
      <c r="AR119" s="4445"/>
      <c r="AS119" s="4446"/>
      <c r="AT119" s="4447"/>
      <c r="AU119" s="3943"/>
      <c r="AV119" s="3823"/>
      <c r="AW119" s="3897"/>
      <c r="AX119" s="3897" t="str">
        <f>IF(T119="","",T119)</f>
        <v>Добавить вид теплоносителя (параметры теплоносителя)</v>
      </c>
      <c r="AY119" s="3897"/>
      <c r="AZ119" s="3897"/>
      <c r="BA119" s="3775">
        <v>0</v>
      </c>
    </row>
    <row s="9759" customFormat="1" customHeight="1" ht="15">
      <c r="A120" s="3885"/>
      <c r="B120" s="3885"/>
      <c r="C120" s="3885"/>
      <c r="D120" s="3885"/>
      <c r="E120" s="3886"/>
      <c r="F120" s="3886" t="s">
        <v>120</v>
      </c>
      <c r="G120" s="3886"/>
      <c r="H120" s="3886"/>
      <c r="I120" s="3899"/>
      <c r="J120" s="3885"/>
      <c r="K120" s="3885"/>
      <c r="L120" s="3888"/>
      <c r="M120" s="3815"/>
      <c r="N120" s="3900"/>
      <c r="O120" s="3900"/>
      <c r="P120" s="3901"/>
      <c r="Q120" s="3901"/>
      <c r="R120" s="3902"/>
      <c r="S120" s="4449"/>
      <c r="T120" s="4450" t="s">
        <v>567</v>
      </c>
      <c r="U120" s="4451"/>
      <c r="V120" s="4452"/>
      <c r="W120" s="4453"/>
      <c r="X120" s="4454"/>
      <c r="Y120" s="4455"/>
      <c r="Z120" s="4456"/>
      <c r="AA120" s="4457"/>
      <c r="AB120" s="4458"/>
      <c r="AC120" s="4459"/>
      <c r="AD120" s="4460"/>
      <c r="AE120" s="4461"/>
      <c r="AF120" s="4462"/>
      <c r="AG120" s="4463"/>
      <c r="AH120" s="4464"/>
      <c r="AI120" s="4465"/>
      <c r="AJ120" s="4466"/>
      <c r="AK120" s="4467"/>
      <c r="AL120" s="4468"/>
      <c r="AM120" s="4469"/>
      <c r="AN120" s="4470"/>
      <c r="AO120" s="4471"/>
      <c r="AP120" s="4472"/>
      <c r="AQ120" s="4473"/>
      <c r="AR120" s="4474"/>
      <c r="AS120" s="4475"/>
      <c r="AT120" s="4476"/>
      <c r="AU120" s="4477"/>
      <c r="AV120" s="3823"/>
      <c r="AW120" s="3897"/>
      <c r="AX120" s="3897" t="str">
        <f>IF(T120="","",T120)</f>
        <v>Добавить группу потребителей</v>
      </c>
      <c r="AY120" s="3897"/>
      <c r="AZ120" s="3897"/>
      <c r="BA120" s="3775">
        <v>0</v>
      </c>
    </row>
    <row s="9789" customFormat="1" customHeight="1" ht="14.25">
      <c r="A121" s="3885"/>
      <c r="B121" s="3885"/>
      <c r="C121" s="3885"/>
      <c r="D121" s="3885"/>
      <c r="E121" s="3886"/>
      <c r="F121" s="3886" t="s">
        <v>120</v>
      </c>
      <c r="G121" s="3886"/>
      <c r="H121" s="3887"/>
      <c r="I121" s="3885"/>
      <c r="J121" s="3885"/>
      <c r="K121" s="3885"/>
      <c r="L121" s="3888"/>
      <c r="M121" s="3889"/>
      <c r="N121" s="3889"/>
      <c r="O121" s="3815"/>
      <c r="P121" s="3975"/>
      <c r="Q121" s="3976"/>
      <c r="R121" s="3977"/>
      <c r="S121" s="4479"/>
      <c r="T121" s="4480" t="s">
        <v>568</v>
      </c>
      <c r="U121" s="4481"/>
      <c r="V121" s="4482"/>
      <c r="W121" s="4483"/>
      <c r="X121" s="4484"/>
      <c r="Y121" s="4485"/>
      <c r="Z121" s="4486"/>
      <c r="AA121" s="4487"/>
      <c r="AB121" s="4488"/>
      <c r="AC121" s="4489"/>
      <c r="AD121" s="4490"/>
      <c r="AE121" s="4491"/>
      <c r="AF121" s="4492"/>
      <c r="AG121" s="4493"/>
      <c r="AH121" s="4494"/>
      <c r="AI121" s="4495"/>
      <c r="AJ121" s="4496"/>
      <c r="AK121" s="4497"/>
      <c r="AL121" s="4498"/>
      <c r="AM121" s="4499"/>
      <c r="AN121" s="4500"/>
      <c r="AO121" s="4501"/>
      <c r="AP121" s="4502"/>
      <c r="AQ121" s="4503"/>
      <c r="AR121" s="4504"/>
      <c r="AS121" s="4505"/>
      <c r="AT121" s="4506"/>
      <c r="AU121" s="4507"/>
      <c r="AV121" s="3823"/>
      <c r="AW121" s="3897"/>
      <c r="AX121" s="3897" t="str">
        <f>IF(T121="","",T121)</f>
        <v>Добавить схему подключения</v>
      </c>
      <c r="AY121" s="3897"/>
      <c r="AZ121" s="3897"/>
      <c r="BA121" s="3775">
        <v>0</v>
      </c>
    </row>
    <row s="9819" customFormat="1" customHeight="1" ht="21">
      <c r="A122" s="3885"/>
      <c r="B122" s="3885"/>
      <c r="C122" s="3885"/>
      <c r="D122" s="3885" t="s">
        <v>292</v>
      </c>
      <c r="E122" s="3886"/>
      <c r="F122" s="3886"/>
      <c r="G122" s="3886"/>
      <c r="H122" s="3887" t="s">
        <v>105</v>
      </c>
      <c r="I122" s="3885"/>
      <c r="J122" s="3885"/>
      <c r="K122" s="3885"/>
      <c r="L122" s="3888"/>
      <c r="M122" s="3889"/>
      <c r="N122" s="3889"/>
      <c r="O122" s="3889"/>
      <c r="P122" s="3890"/>
      <c r="Q122" s="3891"/>
      <c r="R122" s="3892"/>
      <c r="S122" s="3893" t="str">
        <f>INDEX(PT_DIFFERENTIATION_NUM_IST_TE,MATCH(D122,PT_DIFFERENTIATION_IST_TE_ID,0))</f>
        <v>1.6.1.2</v>
      </c>
      <c r="T122" s="3894" t="s">
        <v>556</v>
      </c>
      <c r="U122" s="3895"/>
      <c r="V122" s="3776"/>
      <c r="W122" s="3777"/>
      <c r="X122" s="3777"/>
      <c r="Y122" s="3777"/>
      <c r="Z122" s="3777"/>
      <c r="AA122" s="3777"/>
      <c r="AB122" s="3777"/>
      <c r="AC122" s="3778"/>
      <c r="AD122" s="3776" t="str">
        <f>INDEX(PT_DIFFERENTIATION_IST_TE,MATCH(D122,PT_DIFFERENTIATION_IST_TE_ID,0))</f>
        <v>н.п. Шонгуй</v>
      </c>
      <c r="AE122" s="3777"/>
      <c r="AF122" s="3777"/>
      <c r="AG122" s="3777"/>
      <c r="AH122" s="3777"/>
      <c r="AI122" s="3777"/>
      <c r="AJ122" s="3777"/>
      <c r="AK122" s="3777"/>
      <c r="AL122" s="3776"/>
      <c r="AM122" s="3777"/>
      <c r="AN122" s="3777"/>
      <c r="AO122" s="3777"/>
      <c r="AP122" s="3777"/>
      <c r="AQ122" s="3777"/>
      <c r="AR122" s="3777"/>
      <c r="AS122" s="3778"/>
      <c r="AT122" s="3778"/>
      <c r="AU122" s="3896" t="s">
        <v>557</v>
      </c>
      <c r="AV122" s="3823"/>
      <c r="AW122" s="3897"/>
      <c r="AX122" s="3897" t="str">
        <f>IF(T122="","",T122)</f>
        <v>Источник тепловой энергии  </v>
      </c>
      <c r="AY122" s="3897"/>
      <c r="AZ122" s="3897"/>
      <c r="BA122" s="3775">
        <v>0</v>
      </c>
    </row>
    <row s="9820" customFormat="1" customHeight="1" ht="47.25">
      <c r="A123" s="3885"/>
      <c r="B123" s="3885"/>
      <c r="C123" s="3885"/>
      <c r="D123" s="3885"/>
      <c r="E123" s="3886"/>
      <c r="F123" s="3886"/>
      <c r="G123" s="3886"/>
      <c r="H123" s="3886">
        <v>1</v>
      </c>
      <c r="I123" s="3899" t="str">
        <f>S122&amp;".1"</f>
        <v>1.6.1.2.1</v>
      </c>
      <c r="J123" s="3885"/>
      <c r="K123" s="3885"/>
      <c r="L123" s="3888" t="s">
        <v>558</v>
      </c>
      <c r="M123" s="3815"/>
      <c r="N123" s="3900"/>
      <c r="O123" s="3900"/>
      <c r="P123" s="3901">
        <v>1</v>
      </c>
      <c r="Q123" s="3901"/>
      <c r="R123" s="3902"/>
      <c r="S123" s="3893" t="str">
        <f>$I123</f>
        <v>1.6.1.2.1</v>
      </c>
      <c r="T123" s="3903" t="s">
        <v>559</v>
      </c>
      <c r="U123" s="3895"/>
      <c r="V123" s="3779"/>
      <c r="W123" s="3780"/>
      <c r="X123" s="3780"/>
      <c r="Y123" s="3780"/>
      <c r="Z123" s="3780"/>
      <c r="AA123" s="3780"/>
      <c r="AB123" s="3780"/>
      <c r="AC123" s="3781"/>
      <c r="AD123" s="3779" t="s">
        <v>601</v>
      </c>
      <c r="AE123" s="3780"/>
      <c r="AF123" s="3780"/>
      <c r="AG123" s="3780"/>
      <c r="AH123" s="3780"/>
      <c r="AI123" s="3780"/>
      <c r="AJ123" s="3780"/>
      <c r="AK123" s="3780"/>
      <c r="AL123" s="3779"/>
      <c r="AM123" s="3780"/>
      <c r="AN123" s="3780"/>
      <c r="AO123" s="3780"/>
      <c r="AP123" s="3780"/>
      <c r="AQ123" s="3780"/>
      <c r="AR123" s="3780"/>
      <c r="AS123" s="3781"/>
      <c r="AT123" s="3781"/>
      <c r="AU123" s="3896" t="s">
        <v>560</v>
      </c>
      <c r="AV123" s="3823"/>
      <c r="AW123" s="3897"/>
      <c r="AX123" s="3897" t="str">
        <f>IF(T123="","",T123)</f>
        <v>Схема подключения теплопотребляющей установки к коллектору источника тепловой энергии</v>
      </c>
      <c r="AY123" s="3897"/>
      <c r="AZ123" s="3897"/>
      <c r="BA123" s="3775">
        <v>0</v>
      </c>
    </row>
    <row s="9821" customFormat="1" customHeight="1" ht="21">
      <c r="A124" s="3885"/>
      <c r="B124" s="3885"/>
      <c r="C124" s="3885"/>
      <c r="D124" s="3885"/>
      <c r="E124" s="3886"/>
      <c r="F124" s="3886"/>
      <c r="G124" s="3886"/>
      <c r="H124" s="3886">
        <v>1</v>
      </c>
      <c r="I124" s="3905"/>
      <c r="J124" s="3899" t="str">
        <f>I123&amp;".1"</f>
        <v>1.6.1.2.1.1</v>
      </c>
      <c r="K124" s="3885"/>
      <c r="L124" s="3888" t="s">
        <v>561</v>
      </c>
      <c r="M124" s="3815"/>
      <c r="N124" s="3815"/>
      <c r="O124" s="3900"/>
      <c r="P124" s="3901"/>
      <c r="Q124" s="3901">
        <v>1</v>
      </c>
      <c r="R124" s="3906"/>
      <c r="S124" s="3893" t="str">
        <f>$J124</f>
        <v>1.6.1.2.1.1</v>
      </c>
      <c r="T124" s="3907" t="s">
        <v>562</v>
      </c>
      <c r="U124" s="3895"/>
      <c r="V124" s="3779"/>
      <c r="W124" s="3780"/>
      <c r="X124" s="3780"/>
      <c r="Y124" s="3780"/>
      <c r="Z124" s="3780"/>
      <c r="AA124" s="3780"/>
      <c r="AB124" s="3780"/>
      <c r="AC124" s="3781"/>
      <c r="AD124" s="3779" t="s">
        <v>602</v>
      </c>
      <c r="AE124" s="3780"/>
      <c r="AF124" s="3780"/>
      <c r="AG124" s="3780"/>
      <c r="AH124" s="3780"/>
      <c r="AI124" s="3780"/>
      <c r="AJ124" s="3780"/>
      <c r="AK124" s="3780"/>
      <c r="AL124" s="3779"/>
      <c r="AM124" s="3780"/>
      <c r="AN124" s="3780"/>
      <c r="AO124" s="3780"/>
      <c r="AP124" s="3780"/>
      <c r="AQ124" s="3780"/>
      <c r="AR124" s="3780"/>
      <c r="AS124" s="3781"/>
      <c r="AT124" s="3781"/>
      <c r="AU124" s="3896" t="s">
        <v>563</v>
      </c>
      <c r="AV124" s="3823"/>
      <c r="AW124" s="3897"/>
      <c r="AX124" s="3897" t="str">
        <f>IF(T124="","",T124)</f>
        <v>Группа потребителей</v>
      </c>
      <c r="AY124" s="3897"/>
      <c r="AZ124" s="3897"/>
      <c r="BA124" s="3775">
        <v>0</v>
      </c>
    </row>
    <row s="9822" customFormat="1" customHeight="1" ht="21">
      <c r="A125" s="3885"/>
      <c r="B125" s="3885"/>
      <c r="C125" s="3885"/>
      <c r="D125" s="3885"/>
      <c r="E125" s="3886"/>
      <c r="F125" s="3886"/>
      <c r="G125" s="3886"/>
      <c r="H125" s="3886">
        <v>1</v>
      </c>
      <c r="I125" s="3905"/>
      <c r="J125" s="3905"/>
      <c r="K125" s="3899" t="str">
        <f>J124&amp;".1"</f>
        <v>1.6.1.2.1.1.1</v>
      </c>
      <c r="L125" s="3888" t="s">
        <v>564</v>
      </c>
      <c r="M125" s="3815"/>
      <c r="N125" s="3815"/>
      <c r="O125" s="3815"/>
      <c r="P125" s="3901"/>
      <c r="Q125" s="3901"/>
      <c r="R125" s="3906">
        <v>1</v>
      </c>
      <c r="S125" s="3893" t="str">
        <f>$K125</f>
        <v>1.6.1.2.1.1.1</v>
      </c>
      <c r="T125" s="3909" t="s">
        <v>603</v>
      </c>
      <c r="U125" s="3895"/>
      <c r="V125" s="3855"/>
      <c r="W125" s="3855"/>
      <c r="X125" s="3855"/>
      <c r="Y125" s="3856"/>
      <c r="Z125" s="3857"/>
      <c r="AA125" s="3858" t="s">
        <v>63</v>
      </c>
      <c r="AB125" s="3857"/>
      <c r="AC125" s="3858" t="s">
        <v>63</v>
      </c>
      <c r="AD125" s="3783"/>
      <c r="AE125" s="3784">
        <v>705.55</v>
      </c>
      <c r="AF125" s="3783"/>
      <c r="AG125" s="3785"/>
      <c r="AH125" s="3786">
        <v>45658</v>
      </c>
      <c r="AI125" s="3191" t="s">
        <v>63</v>
      </c>
      <c r="AJ125" s="3786">
        <v>46022</v>
      </c>
      <c r="AK125" s="3191" t="s">
        <v>19</v>
      </c>
      <c r="AL125" s="3855"/>
      <c r="AM125" s="3855"/>
      <c r="AN125" s="3855"/>
      <c r="AO125" s="3856"/>
      <c r="AP125" s="3857"/>
      <c r="AQ125" s="3858" t="s">
        <v>63</v>
      </c>
      <c r="AR125" s="3857"/>
      <c r="AS125" s="3858" t="s">
        <v>63</v>
      </c>
      <c r="AT125" s="3783"/>
      <c r="AU125" s="3910" t="s">
        <v>565</v>
      </c>
      <c r="AV125" s="3823">
        <f>STRCHECKDATE(V126:AT126)</f>
      </c>
      <c r="AW125" s="3897"/>
      <c r="AX125" s="3897" t="str">
        <f>IF(T125="","",T125)</f>
        <v>вода</v>
      </c>
      <c r="AY125" s="3897"/>
      <c r="AZ125" s="3897"/>
      <c r="BA125" s="3775">
        <v>0</v>
      </c>
    </row>
    <row s="9823" customFormat="1" customHeight="1" ht="0.75">
      <c r="A126" s="3885"/>
      <c r="B126" s="3885"/>
      <c r="C126" s="3885"/>
      <c r="D126" s="3885"/>
      <c r="E126" s="3886"/>
      <c r="F126" s="3886"/>
      <c r="G126" s="3886"/>
      <c r="H126" s="3886">
        <v>1</v>
      </c>
      <c r="I126" s="3905"/>
      <c r="J126" s="3905"/>
      <c r="K126" s="3899"/>
      <c r="L126" s="3888"/>
      <c r="M126" s="3815"/>
      <c r="N126" s="3815"/>
      <c r="O126" s="3815"/>
      <c r="P126" s="3901"/>
      <c r="Q126" s="3901"/>
      <c r="R126" s="3906"/>
      <c r="S126" s="3912"/>
      <c r="T126" s="3895"/>
      <c r="U126" s="3895"/>
      <c r="V126" s="3855"/>
      <c r="W126" s="3855"/>
      <c r="X126" s="3855"/>
      <c r="Y126" s="3787" t="str">
        <f>Z125&amp;"-"&amp;AB125</f>
        <v>-</v>
      </c>
      <c r="Z126" s="3858"/>
      <c r="AA126" s="3858"/>
      <c r="AB126" s="3858"/>
      <c r="AC126" s="3858"/>
      <c r="AD126" s="3783"/>
      <c r="AE126" s="3783"/>
      <c r="AF126" s="3783"/>
      <c r="AG126" s="3787" t="str">
        <f>AH125&amp;"-"&amp;AJ125</f>
        <v>45658-46022</v>
      </c>
      <c r="AH126" s="3788"/>
      <c r="AI126" s="3191"/>
      <c r="AJ126" s="3788"/>
      <c r="AK126" s="3191"/>
      <c r="AL126" s="3855"/>
      <c r="AM126" s="3855"/>
      <c r="AN126" s="3855"/>
      <c r="AO126" s="3787" t="str">
        <f>AP125&amp;"-"&amp;AR125</f>
        <v>-</v>
      </c>
      <c r="AP126" s="3858"/>
      <c r="AQ126" s="3858"/>
      <c r="AR126" s="3858"/>
      <c r="AS126" s="3858"/>
      <c r="AT126" s="3783"/>
      <c r="AU126" s="3913"/>
      <c r="AV126" s="3823"/>
      <c r="AW126" s="3897"/>
      <c r="AX126" s="3897" t="str">
        <f>IF(T126="","",T126)</f>
        <v/>
      </c>
      <c r="AY126" s="3897"/>
      <c r="AZ126" s="3897"/>
      <c r="BA126" s="3775">
        <v>0</v>
      </c>
    </row>
    <row s="9824" customFormat="1" customHeight="1" ht="15">
      <c r="A127" s="3885"/>
      <c r="B127" s="3885"/>
      <c r="C127" s="3885"/>
      <c r="D127" s="3885"/>
      <c r="E127" s="3886"/>
      <c r="F127" s="3886"/>
      <c r="G127" s="3886"/>
      <c r="H127" s="3886">
        <v>1</v>
      </c>
      <c r="I127" s="3905"/>
      <c r="J127" s="3899"/>
      <c r="K127" s="3885"/>
      <c r="L127" s="3888"/>
      <c r="M127" s="3815"/>
      <c r="N127" s="3815"/>
      <c r="O127" s="3900"/>
      <c r="P127" s="3901"/>
      <c r="Q127" s="3901"/>
      <c r="R127" s="3902"/>
      <c r="S127" s="4514"/>
      <c r="T127" s="4515" t="s">
        <v>566</v>
      </c>
      <c r="U127" s="4516"/>
      <c r="V127" s="4517"/>
      <c r="W127" s="4518"/>
      <c r="X127" s="4519"/>
      <c r="Y127" s="4520"/>
      <c r="Z127" s="4521"/>
      <c r="AA127" s="4522"/>
      <c r="AB127" s="4523"/>
      <c r="AC127" s="4524"/>
      <c r="AD127" s="4525"/>
      <c r="AE127" s="4526"/>
      <c r="AF127" s="4527"/>
      <c r="AG127" s="4528"/>
      <c r="AH127" s="4529"/>
      <c r="AI127" s="4530"/>
      <c r="AJ127" s="4531"/>
      <c r="AK127" s="4532"/>
      <c r="AL127" s="4533"/>
      <c r="AM127" s="4534"/>
      <c r="AN127" s="4535"/>
      <c r="AO127" s="4536"/>
      <c r="AP127" s="4537"/>
      <c r="AQ127" s="4538"/>
      <c r="AR127" s="4539"/>
      <c r="AS127" s="4540"/>
      <c r="AT127" s="4541"/>
      <c r="AU127" s="3943"/>
      <c r="AV127" s="3823"/>
      <c r="AW127" s="3897"/>
      <c r="AX127" s="3897" t="str">
        <f>IF(T127="","",T127)</f>
        <v>Добавить вид теплоносителя (параметры теплоносителя)</v>
      </c>
      <c r="AY127" s="3897"/>
      <c r="AZ127" s="3897"/>
      <c r="BA127" s="3775">
        <v>0</v>
      </c>
    </row>
    <row s="9853" customFormat="1" customHeight="1" ht="15">
      <c r="A128" s="3885"/>
      <c r="B128" s="3885"/>
      <c r="C128" s="3885"/>
      <c r="D128" s="3885"/>
      <c r="E128" s="3886"/>
      <c r="F128" s="3886"/>
      <c r="G128" s="3886"/>
      <c r="H128" s="3886">
        <v>1</v>
      </c>
      <c r="I128" s="3899"/>
      <c r="J128" s="3885"/>
      <c r="K128" s="3885"/>
      <c r="L128" s="3888"/>
      <c r="M128" s="3815"/>
      <c r="N128" s="3900"/>
      <c r="O128" s="3900"/>
      <c r="P128" s="3901"/>
      <c r="Q128" s="3901"/>
      <c r="R128" s="3902"/>
      <c r="S128" s="4543"/>
      <c r="T128" s="4544" t="s">
        <v>567</v>
      </c>
      <c r="U128" s="4545"/>
      <c r="V128" s="4546"/>
      <c r="W128" s="4547"/>
      <c r="X128" s="4548"/>
      <c r="Y128" s="4549"/>
      <c r="Z128" s="4550"/>
      <c r="AA128" s="4551"/>
      <c r="AB128" s="4552"/>
      <c r="AC128" s="4553"/>
      <c r="AD128" s="4554"/>
      <c r="AE128" s="4555"/>
      <c r="AF128" s="4556"/>
      <c r="AG128" s="4557"/>
      <c r="AH128" s="4558"/>
      <c r="AI128" s="4559"/>
      <c r="AJ128" s="4560"/>
      <c r="AK128" s="4561"/>
      <c r="AL128" s="4562"/>
      <c r="AM128" s="4563"/>
      <c r="AN128" s="4564"/>
      <c r="AO128" s="4565"/>
      <c r="AP128" s="4566"/>
      <c r="AQ128" s="4567"/>
      <c r="AR128" s="4568"/>
      <c r="AS128" s="4569"/>
      <c r="AT128" s="4570"/>
      <c r="AU128" s="4571"/>
      <c r="AV128" s="3823"/>
      <c r="AW128" s="3897"/>
      <c r="AX128" s="3897" t="str">
        <f>IF(T128="","",T128)</f>
        <v>Добавить группу потребителей</v>
      </c>
      <c r="AY128" s="3897"/>
      <c r="AZ128" s="3897"/>
      <c r="BA128" s="3775">
        <v>0</v>
      </c>
    </row>
    <row s="9883" customFormat="1" customHeight="1" ht="14.25">
      <c r="A129" s="3885"/>
      <c r="B129" s="3885"/>
      <c r="C129" s="3885"/>
      <c r="D129" s="3885"/>
      <c r="E129" s="3886"/>
      <c r="F129" s="3886"/>
      <c r="G129" s="3886"/>
      <c r="H129" s="3887">
        <v>1</v>
      </c>
      <c r="I129" s="3885"/>
      <c r="J129" s="3885"/>
      <c r="K129" s="3885"/>
      <c r="L129" s="3888"/>
      <c r="M129" s="3889"/>
      <c r="N129" s="3889"/>
      <c r="O129" s="3815"/>
      <c r="P129" s="3975"/>
      <c r="Q129" s="3976"/>
      <c r="R129" s="3977"/>
      <c r="S129" s="4573"/>
      <c r="T129" s="4574" t="s">
        <v>568</v>
      </c>
      <c r="U129" s="4575"/>
      <c r="V129" s="4576"/>
      <c r="W129" s="4577"/>
      <c r="X129" s="4578"/>
      <c r="Y129" s="4579"/>
      <c r="Z129" s="4580"/>
      <c r="AA129" s="4581"/>
      <c r="AB129" s="4582"/>
      <c r="AC129" s="4583"/>
      <c r="AD129" s="4584"/>
      <c r="AE129" s="4585"/>
      <c r="AF129" s="4586"/>
      <c r="AG129" s="4587"/>
      <c r="AH129" s="4588"/>
      <c r="AI129" s="4589"/>
      <c r="AJ129" s="4590"/>
      <c r="AK129" s="4591"/>
      <c r="AL129" s="4592"/>
      <c r="AM129" s="4593"/>
      <c r="AN129" s="4594"/>
      <c r="AO129" s="4595"/>
      <c r="AP129" s="4596"/>
      <c r="AQ129" s="4597"/>
      <c r="AR129" s="4598"/>
      <c r="AS129" s="4599"/>
      <c r="AT129" s="4600"/>
      <c r="AU129" s="4601"/>
      <c r="AV129" s="3823"/>
      <c r="AW129" s="3897"/>
      <c r="AX129" s="3897" t="str">
        <f>IF(T129="","",T129)</f>
        <v>Добавить схему подключения</v>
      </c>
      <c r="AY129" s="3897"/>
      <c r="AZ129" s="3897"/>
      <c r="BA129" s="3775">
        <v>0</v>
      </c>
    </row>
    <row s="9913" customFormat="1" customHeight="1" ht="0.75">
      <c r="A130" s="4107"/>
      <c r="B130" s="4107"/>
      <c r="C130" s="4107"/>
      <c r="D130" s="4107"/>
      <c r="E130" s="3886"/>
      <c r="F130" s="3886" t="s">
        <v>120</v>
      </c>
      <c r="G130" s="3887"/>
      <c r="H130" s="4107"/>
      <c r="I130" s="4107"/>
      <c r="J130" s="4107"/>
      <c r="K130" s="4107"/>
      <c r="L130" s="4108"/>
      <c r="M130" s="4109"/>
      <c r="N130" s="4109"/>
      <c r="O130" s="3823"/>
      <c r="P130" s="4110"/>
      <c r="Q130" s="4111"/>
      <c r="R130" s="4110"/>
      <c r="S130" s="4112"/>
      <c r="T130" s="4113" t="s">
        <v>273</v>
      </c>
      <c r="U130" s="3813"/>
      <c r="V130" s="3813"/>
      <c r="W130" s="3813"/>
      <c r="X130" s="3813"/>
      <c r="Y130" s="3813"/>
      <c r="Z130" s="3813"/>
      <c r="AA130" s="3813"/>
      <c r="AB130" s="3813"/>
      <c r="AC130" s="3813"/>
      <c r="AD130" s="3813"/>
      <c r="AE130" s="3813"/>
      <c r="AF130" s="3813"/>
      <c r="AG130" s="3813"/>
      <c r="AH130" s="3813"/>
      <c r="AI130" s="3813"/>
      <c r="AJ130" s="3813"/>
      <c r="AK130" s="3813"/>
      <c r="AL130" s="3813"/>
      <c r="AM130" s="3813"/>
      <c r="AN130" s="3813"/>
      <c r="AO130" s="3813"/>
      <c r="AP130" s="3813"/>
      <c r="AQ130" s="3813"/>
      <c r="AR130" s="3813"/>
      <c r="AS130" s="3813"/>
      <c r="AT130" s="3813"/>
      <c r="AU130" s="3813"/>
      <c r="AV130" s="3823"/>
      <c r="AW130" s="3897"/>
      <c r="AX130" s="3897" t="str">
        <f>IF(T130="","",T130)</f>
        <v>Добавить источник для дифференциации</v>
      </c>
      <c r="AY130" s="3897"/>
      <c r="AZ130" s="3897"/>
      <c r="BA130" s="3823">
        <v>0</v>
      </c>
    </row>
    <row s="9914" customFormat="1" customHeight="1" ht="0.75">
      <c r="A131" s="4107"/>
      <c r="B131" s="4107"/>
      <c r="C131" s="4107"/>
      <c r="D131" s="4107"/>
      <c r="E131" s="3886"/>
      <c r="F131" s="3887" t="s">
        <v>120</v>
      </c>
      <c r="G131" s="4107"/>
      <c r="H131" s="4107"/>
      <c r="I131" s="4107"/>
      <c r="J131" s="4107"/>
      <c r="K131" s="4107"/>
      <c r="L131" s="4108"/>
      <c r="M131" s="4115"/>
      <c r="N131" s="4115"/>
      <c r="O131" s="3823"/>
      <c r="P131" s="4110"/>
      <c r="Q131" s="4111"/>
      <c r="R131" s="4110"/>
      <c r="S131" s="4116"/>
      <c r="T131" s="4117" t="s">
        <v>274</v>
      </c>
      <c r="U131" s="3814"/>
      <c r="V131" s="3814"/>
      <c r="W131" s="3814"/>
      <c r="X131" s="3814"/>
      <c r="Y131" s="3814"/>
      <c r="Z131" s="3814"/>
      <c r="AA131" s="3814"/>
      <c r="AB131" s="3814"/>
      <c r="AC131" s="3814"/>
      <c r="AD131" s="3814"/>
      <c r="AE131" s="3814"/>
      <c r="AF131" s="3814"/>
      <c r="AG131" s="3814"/>
      <c r="AH131" s="3814"/>
      <c r="AI131" s="3814"/>
      <c r="AJ131" s="3814"/>
      <c r="AK131" s="3814"/>
      <c r="AL131" s="3814"/>
      <c r="AM131" s="3814"/>
      <c r="AN131" s="3814"/>
      <c r="AO131" s="3814"/>
      <c r="AP131" s="3814"/>
      <c r="AQ131" s="3814"/>
      <c r="AR131" s="3814"/>
      <c r="AS131" s="3814"/>
      <c r="AT131" s="3814"/>
      <c r="AU131" s="3814"/>
      <c r="AV131" s="3823"/>
      <c r="AW131" s="3897"/>
      <c r="AX131" s="3897" t="str">
        <f>IF(T131="","",T131)</f>
        <v>Добавить централизованную систему для дифференциации</v>
      </c>
      <c r="AY131" s="3897"/>
      <c r="AZ131" s="3897"/>
      <c r="BA131" s="3823">
        <v>0</v>
      </c>
    </row>
    <row s="9915" customFormat="1" customHeight="1" ht="21">
      <c r="A132" s="3885"/>
      <c r="B132" s="3885" t="s">
        <v>293</v>
      </c>
      <c r="C132" s="3885"/>
      <c r="D132" s="3885"/>
      <c r="E132" s="3886"/>
      <c r="F132" s="3887" t="s">
        <v>95</v>
      </c>
      <c r="G132" s="3885"/>
      <c r="H132" s="3885"/>
      <c r="I132" s="3885"/>
      <c r="J132" s="3885"/>
      <c r="K132" s="3885"/>
      <c r="L132" s="3888"/>
      <c r="M132" s="3889"/>
      <c r="N132" s="3889"/>
      <c r="O132" s="3889"/>
      <c r="P132" s="4008"/>
      <c r="Q132" s="3891"/>
      <c r="R132" s="3892"/>
      <c r="S132" s="3893" t="str">
        <f>INDEX(PT_DIFFERENTIATION_NUM_TER,MATCH(B132,PT_DIFFERENTIATION_TER_ID,0))</f>
        <v>1.7</v>
      </c>
      <c r="T132" s="4009" t="s">
        <v>552</v>
      </c>
      <c r="U132" s="3895"/>
      <c r="V132" s="3776"/>
      <c r="W132" s="3777"/>
      <c r="X132" s="3777"/>
      <c r="Y132" s="3777"/>
      <c r="Z132" s="3777"/>
      <c r="AA132" s="3777"/>
      <c r="AB132" s="3777"/>
      <c r="AC132" s="3778"/>
      <c r="AD132" s="3776" t="str">
        <f>INDEX(PT_DIFFERENTIATION_TER,MATCH(B132,PT_DIFFERENTIATION_TER_ID,0))</f>
        <v>Территория 7</v>
      </c>
      <c r="AE132" s="3777"/>
      <c r="AF132" s="3777"/>
      <c r="AG132" s="3777"/>
      <c r="AH132" s="3777"/>
      <c r="AI132" s="3777"/>
      <c r="AJ132" s="3777"/>
      <c r="AK132" s="3777"/>
      <c r="AL132" s="3776"/>
      <c r="AM132" s="3777"/>
      <c r="AN132" s="3777"/>
      <c r="AO132" s="3777"/>
      <c r="AP132" s="3777"/>
      <c r="AQ132" s="3777"/>
      <c r="AR132" s="3777"/>
      <c r="AS132" s="3778"/>
      <c r="AT132" s="3778"/>
      <c r="AU132" s="3896" t="s">
        <v>553</v>
      </c>
      <c r="AV132" s="3823"/>
      <c r="AW132" s="3897"/>
      <c r="AX132" s="3897" t="str">
        <f>IF(T132="","",T132)</f>
        <v>Территория действия тарифа</v>
      </c>
      <c r="AY132" s="3897"/>
      <c r="AZ132" s="3897"/>
      <c r="BA132" s="3775">
        <v>0</v>
      </c>
    </row>
    <row s="9916" customFormat="1" customHeight="1" ht="23.25">
      <c r="A133" s="3885"/>
      <c r="B133" s="3885"/>
      <c r="C133" s="3885" t="s">
        <v>294</v>
      </c>
      <c r="D133" s="3885"/>
      <c r="E133" s="3886"/>
      <c r="F133" s="3886" t="s">
        <v>94</v>
      </c>
      <c r="G133" s="3887">
        <v>1</v>
      </c>
      <c r="H133" s="3885"/>
      <c r="I133" s="3885"/>
      <c r="J133" s="3885"/>
      <c r="K133" s="3885"/>
      <c r="L133" s="3888"/>
      <c r="M133" s="3889"/>
      <c r="N133" s="3889"/>
      <c r="O133" s="3889"/>
      <c r="P133" s="3890"/>
      <c r="Q133" s="3891"/>
      <c r="R133" s="3892"/>
      <c r="S133" s="3893" t="str">
        <f>INDEX(PT_DIFFERENTIATION_NUM_CS,MATCH(C133,PT_DIFFERENTIATION_CS_ID,0))</f>
        <v>1.7.1</v>
      </c>
      <c r="T133" s="4011" t="s">
        <v>554</v>
      </c>
      <c r="U133" s="3895"/>
      <c r="V133" s="3776"/>
      <c r="W133" s="3777"/>
      <c r="X133" s="3777"/>
      <c r="Y133" s="3777"/>
      <c r="Z133" s="3777"/>
      <c r="AA133" s="3777"/>
      <c r="AB133" s="3777"/>
      <c r="AC133" s="3778"/>
      <c r="AD133" s="3776" t="str">
        <f>INDEX(PT_DIFFERENTIATION_CS,MATCH(C133,PT_DIFFERENTIATION_CS_ID,0))</f>
        <v>без дифференциации</v>
      </c>
      <c r="AE133" s="3777"/>
      <c r="AF133" s="3777"/>
      <c r="AG133" s="3777"/>
      <c r="AH133" s="3777"/>
      <c r="AI133" s="3777"/>
      <c r="AJ133" s="3777"/>
      <c r="AK133" s="3777"/>
      <c r="AL133" s="3776"/>
      <c r="AM133" s="3777"/>
      <c r="AN133" s="3777"/>
      <c r="AO133" s="3777"/>
      <c r="AP133" s="3777"/>
      <c r="AQ133" s="3777"/>
      <c r="AR133" s="3777"/>
      <c r="AS133" s="3778"/>
      <c r="AT133" s="3778"/>
      <c r="AU133" s="3896" t="s">
        <v>555</v>
      </c>
      <c r="AV133" s="3823"/>
      <c r="AW133" s="3897"/>
      <c r="AX133" s="3897" t="str">
        <f>IF(T133="","",T133)</f>
        <v>Наименование системы теплоснабжения </v>
      </c>
      <c r="AY133" s="3897"/>
      <c r="AZ133" s="3897"/>
      <c r="BA133" s="3775">
        <v>0</v>
      </c>
    </row>
    <row s="9917" customFormat="1" customHeight="1" ht="21">
      <c r="A134" s="3885"/>
      <c r="B134" s="3885"/>
      <c r="C134" s="3885"/>
      <c r="D134" s="3885" t="s">
        <v>295</v>
      </c>
      <c r="E134" s="3886"/>
      <c r="F134" s="3886" t="s">
        <v>94</v>
      </c>
      <c r="G134" s="3886"/>
      <c r="H134" s="3887">
        <v>1</v>
      </c>
      <c r="I134" s="3885"/>
      <c r="J134" s="3885"/>
      <c r="K134" s="3885"/>
      <c r="L134" s="3888"/>
      <c r="M134" s="3889"/>
      <c r="N134" s="3889"/>
      <c r="O134" s="3889"/>
      <c r="P134" s="3890"/>
      <c r="Q134" s="3891"/>
      <c r="R134" s="3892"/>
      <c r="S134" s="3893" t="str">
        <f>INDEX(PT_DIFFERENTIATION_NUM_IST_TE,MATCH(D134,PT_DIFFERENTIATION_IST_TE_ID,0))</f>
        <v>1.7.1.1</v>
      </c>
      <c r="T134" s="3894" t="s">
        <v>556</v>
      </c>
      <c r="U134" s="3895"/>
      <c r="V134" s="3776"/>
      <c r="W134" s="3777"/>
      <c r="X134" s="3777"/>
      <c r="Y134" s="3777"/>
      <c r="Z134" s="3777"/>
      <c r="AA134" s="3777"/>
      <c r="AB134" s="3777"/>
      <c r="AC134" s="3778"/>
      <c r="AD134" s="3776" t="str">
        <f>INDEX(PT_DIFFERENTIATION_IST_TE,MATCH(D134,PT_DIFFERENTIATION_IST_TE_ID,0))</f>
        <v>без дифференциации</v>
      </c>
      <c r="AE134" s="3777"/>
      <c r="AF134" s="3777"/>
      <c r="AG134" s="3777"/>
      <c r="AH134" s="3777"/>
      <c r="AI134" s="3777"/>
      <c r="AJ134" s="3777"/>
      <c r="AK134" s="3777"/>
      <c r="AL134" s="3776"/>
      <c r="AM134" s="3777"/>
      <c r="AN134" s="3777"/>
      <c r="AO134" s="3777"/>
      <c r="AP134" s="3777"/>
      <c r="AQ134" s="3777"/>
      <c r="AR134" s="3777"/>
      <c r="AS134" s="3778"/>
      <c r="AT134" s="3778"/>
      <c r="AU134" s="3896" t="s">
        <v>557</v>
      </c>
      <c r="AV134" s="3823"/>
      <c r="AW134" s="3897"/>
      <c r="AX134" s="3897" t="str">
        <f>IF(T134="","",T134)</f>
        <v>Источник тепловой энергии  </v>
      </c>
      <c r="AY134" s="3897"/>
      <c r="AZ134" s="3897"/>
      <c r="BA134" s="3775">
        <v>0</v>
      </c>
    </row>
    <row s="9918" customFormat="1" customHeight="1" ht="47.25">
      <c r="A135" s="3885"/>
      <c r="B135" s="3885"/>
      <c r="C135" s="3885"/>
      <c r="D135" s="3885"/>
      <c r="E135" s="3886"/>
      <c r="F135" s="3886" t="s">
        <v>94</v>
      </c>
      <c r="G135" s="3886"/>
      <c r="H135" s="3886"/>
      <c r="I135" s="3899" t="str">
        <f>S134&amp;".1"</f>
        <v>1.7.1.1.1</v>
      </c>
      <c r="J135" s="3885"/>
      <c r="K135" s="3885"/>
      <c r="L135" s="3888" t="s">
        <v>558</v>
      </c>
      <c r="M135" s="3815"/>
      <c r="N135" s="3900"/>
      <c r="O135" s="3900"/>
      <c r="P135" s="3901">
        <v>1</v>
      </c>
      <c r="Q135" s="3901"/>
      <c r="R135" s="3902"/>
      <c r="S135" s="3893" t="str">
        <f>$I135</f>
        <v>1.7.1.1.1</v>
      </c>
      <c r="T135" s="3903" t="s">
        <v>559</v>
      </c>
      <c r="U135" s="3895"/>
      <c r="V135" s="3779"/>
      <c r="W135" s="3780"/>
      <c r="X135" s="3780"/>
      <c r="Y135" s="3780"/>
      <c r="Z135" s="3780"/>
      <c r="AA135" s="3780"/>
      <c r="AB135" s="3780"/>
      <c r="AC135" s="3781"/>
      <c r="AD135" s="3779" t="s">
        <v>601</v>
      </c>
      <c r="AE135" s="3780"/>
      <c r="AF135" s="3780"/>
      <c r="AG135" s="3780"/>
      <c r="AH135" s="3780"/>
      <c r="AI135" s="3780"/>
      <c r="AJ135" s="3780"/>
      <c r="AK135" s="3780"/>
      <c r="AL135" s="3779"/>
      <c r="AM135" s="3780"/>
      <c r="AN135" s="3780"/>
      <c r="AO135" s="3780"/>
      <c r="AP135" s="3780"/>
      <c r="AQ135" s="3780"/>
      <c r="AR135" s="3780"/>
      <c r="AS135" s="3781"/>
      <c r="AT135" s="3781"/>
      <c r="AU135" s="3896" t="s">
        <v>560</v>
      </c>
      <c r="AV135" s="3823"/>
      <c r="AW135" s="3897"/>
      <c r="AX135" s="3897" t="str">
        <f>IF(T135="","",T135)</f>
        <v>Схема подключения теплопотребляющей установки к коллектору источника тепловой энергии</v>
      </c>
      <c r="AY135" s="3897"/>
      <c r="AZ135" s="3897"/>
      <c r="BA135" s="3775">
        <v>0</v>
      </c>
    </row>
    <row s="9919" customFormat="1" customHeight="1" ht="21">
      <c r="A136" s="3885"/>
      <c r="B136" s="3885"/>
      <c r="C136" s="3885"/>
      <c r="D136" s="3885"/>
      <c r="E136" s="3886"/>
      <c r="F136" s="3886" t="s">
        <v>94</v>
      </c>
      <c r="G136" s="3886"/>
      <c r="H136" s="3886"/>
      <c r="I136" s="3905"/>
      <c r="J136" s="3899" t="str">
        <f>I135&amp;".1"</f>
        <v>1.7.1.1.1.1</v>
      </c>
      <c r="K136" s="3885"/>
      <c r="L136" s="3888" t="s">
        <v>561</v>
      </c>
      <c r="M136" s="3815"/>
      <c r="N136" s="3815"/>
      <c r="O136" s="3900"/>
      <c r="P136" s="3901"/>
      <c r="Q136" s="3901">
        <v>1</v>
      </c>
      <c r="R136" s="3906"/>
      <c r="S136" s="3893" t="str">
        <f>$J136</f>
        <v>1.7.1.1.1.1</v>
      </c>
      <c r="T136" s="3907" t="s">
        <v>562</v>
      </c>
      <c r="U136" s="3895"/>
      <c r="V136" s="3779"/>
      <c r="W136" s="3780"/>
      <c r="X136" s="3780"/>
      <c r="Y136" s="3780"/>
      <c r="Z136" s="3780"/>
      <c r="AA136" s="3780"/>
      <c r="AB136" s="3780"/>
      <c r="AC136" s="3781"/>
      <c r="AD136" s="3779" t="s">
        <v>602</v>
      </c>
      <c r="AE136" s="3780"/>
      <c r="AF136" s="3780"/>
      <c r="AG136" s="3780"/>
      <c r="AH136" s="3780"/>
      <c r="AI136" s="3780"/>
      <c r="AJ136" s="3780"/>
      <c r="AK136" s="3780"/>
      <c r="AL136" s="3779"/>
      <c r="AM136" s="3780"/>
      <c r="AN136" s="3780"/>
      <c r="AO136" s="3780"/>
      <c r="AP136" s="3780"/>
      <c r="AQ136" s="3780"/>
      <c r="AR136" s="3780"/>
      <c r="AS136" s="3781"/>
      <c r="AT136" s="3781"/>
      <c r="AU136" s="3896" t="s">
        <v>563</v>
      </c>
      <c r="AV136" s="3823"/>
      <c r="AW136" s="3897"/>
      <c r="AX136" s="3897" t="str">
        <f>IF(T136="","",T136)</f>
        <v>Группа потребителей</v>
      </c>
      <c r="AY136" s="3897"/>
      <c r="AZ136" s="3897"/>
      <c r="BA136" s="3775">
        <v>0</v>
      </c>
    </row>
    <row s="9920" customFormat="1" customHeight="1" ht="21">
      <c r="A137" s="3885"/>
      <c r="B137" s="3885"/>
      <c r="C137" s="3885"/>
      <c r="D137" s="3885"/>
      <c r="E137" s="3886"/>
      <c r="F137" s="3886" t="s">
        <v>94</v>
      </c>
      <c r="G137" s="3886"/>
      <c r="H137" s="3886"/>
      <c r="I137" s="3905"/>
      <c r="J137" s="3905"/>
      <c r="K137" s="3899" t="str">
        <f>J136&amp;".1"</f>
        <v>1.7.1.1.1.1.1</v>
      </c>
      <c r="L137" s="3888" t="s">
        <v>564</v>
      </c>
      <c r="M137" s="3815"/>
      <c r="N137" s="3815"/>
      <c r="O137" s="3815"/>
      <c r="P137" s="3901"/>
      <c r="Q137" s="3901"/>
      <c r="R137" s="3906">
        <v>1</v>
      </c>
      <c r="S137" s="3893" t="str">
        <f>$K137</f>
        <v>1.7.1.1.1.1.1</v>
      </c>
      <c r="T137" s="3909" t="s">
        <v>603</v>
      </c>
      <c r="U137" s="3895"/>
      <c r="V137" s="3855"/>
      <c r="W137" s="3855"/>
      <c r="X137" s="3855"/>
      <c r="Y137" s="3856"/>
      <c r="Z137" s="3857"/>
      <c r="AA137" s="3858" t="s">
        <v>63</v>
      </c>
      <c r="AB137" s="3857"/>
      <c r="AC137" s="3858" t="s">
        <v>63</v>
      </c>
      <c r="AD137" s="3783"/>
      <c r="AE137" s="3784">
        <v>705.55</v>
      </c>
      <c r="AF137" s="3783"/>
      <c r="AG137" s="3785"/>
      <c r="AH137" s="3786">
        <v>45658</v>
      </c>
      <c r="AI137" s="3191" t="s">
        <v>63</v>
      </c>
      <c r="AJ137" s="3786">
        <v>46022</v>
      </c>
      <c r="AK137" s="3191" t="s">
        <v>19</v>
      </c>
      <c r="AL137" s="3855"/>
      <c r="AM137" s="3855"/>
      <c r="AN137" s="3855"/>
      <c r="AO137" s="3856"/>
      <c r="AP137" s="3857"/>
      <c r="AQ137" s="3858" t="s">
        <v>63</v>
      </c>
      <c r="AR137" s="3857"/>
      <c r="AS137" s="3858" t="s">
        <v>63</v>
      </c>
      <c r="AT137" s="3783"/>
      <c r="AU137" s="3910" t="s">
        <v>565</v>
      </c>
      <c r="AV137" s="3823">
        <f>STRCHECKDATE(V138:AT138)</f>
      </c>
      <c r="AW137" s="3897"/>
      <c r="AX137" s="3897" t="str">
        <f>IF(T137="","",T137)</f>
        <v>вода</v>
      </c>
      <c r="AY137" s="3897"/>
      <c r="AZ137" s="3897"/>
      <c r="BA137" s="3775">
        <v>0</v>
      </c>
    </row>
    <row s="9921" customFormat="1" customHeight="1" ht="0.75">
      <c r="A138" s="3885"/>
      <c r="B138" s="3885"/>
      <c r="C138" s="3885"/>
      <c r="D138" s="3885"/>
      <c r="E138" s="3886"/>
      <c r="F138" s="3886" t="s">
        <v>94</v>
      </c>
      <c r="G138" s="3886"/>
      <c r="H138" s="3886"/>
      <c r="I138" s="3905"/>
      <c r="J138" s="3905"/>
      <c r="K138" s="3899"/>
      <c r="L138" s="3888"/>
      <c r="M138" s="3815"/>
      <c r="N138" s="3815"/>
      <c r="O138" s="3815"/>
      <c r="P138" s="3901"/>
      <c r="Q138" s="3901"/>
      <c r="R138" s="3906"/>
      <c r="S138" s="3912"/>
      <c r="T138" s="3895"/>
      <c r="U138" s="3895"/>
      <c r="V138" s="3855"/>
      <c r="W138" s="3855"/>
      <c r="X138" s="3855"/>
      <c r="Y138" s="3787" t="str">
        <f>Z137&amp;"-"&amp;AB137</f>
        <v>-</v>
      </c>
      <c r="Z138" s="3858"/>
      <c r="AA138" s="3858"/>
      <c r="AB138" s="3858"/>
      <c r="AC138" s="3858"/>
      <c r="AD138" s="3783"/>
      <c r="AE138" s="3783"/>
      <c r="AF138" s="3783"/>
      <c r="AG138" s="3787" t="str">
        <f>AH137&amp;"-"&amp;AJ137</f>
        <v>45658-46022</v>
      </c>
      <c r="AH138" s="3788"/>
      <c r="AI138" s="3191"/>
      <c r="AJ138" s="3788"/>
      <c r="AK138" s="3191"/>
      <c r="AL138" s="3855"/>
      <c r="AM138" s="3855"/>
      <c r="AN138" s="3855"/>
      <c r="AO138" s="3787" t="str">
        <f>AP137&amp;"-"&amp;AR137</f>
        <v>-</v>
      </c>
      <c r="AP138" s="3858"/>
      <c r="AQ138" s="3858"/>
      <c r="AR138" s="3858"/>
      <c r="AS138" s="3858"/>
      <c r="AT138" s="3783"/>
      <c r="AU138" s="3913"/>
      <c r="AV138" s="3823"/>
      <c r="AW138" s="3897"/>
      <c r="AX138" s="3897" t="str">
        <f>IF(T138="","",T138)</f>
        <v/>
      </c>
      <c r="AY138" s="3897"/>
      <c r="AZ138" s="3897"/>
      <c r="BA138" s="3775">
        <v>0</v>
      </c>
    </row>
    <row s="9922" customFormat="1" customHeight="1" ht="15">
      <c r="A139" s="3885"/>
      <c r="B139" s="3885"/>
      <c r="C139" s="3885"/>
      <c r="D139" s="3885"/>
      <c r="E139" s="3886"/>
      <c r="F139" s="3886" t="s">
        <v>94</v>
      </c>
      <c r="G139" s="3886"/>
      <c r="H139" s="3886"/>
      <c r="I139" s="3905"/>
      <c r="J139" s="3899"/>
      <c r="K139" s="3885"/>
      <c r="L139" s="3888"/>
      <c r="M139" s="3815"/>
      <c r="N139" s="3815"/>
      <c r="O139" s="3900"/>
      <c r="P139" s="3901"/>
      <c r="Q139" s="3901"/>
      <c r="R139" s="3902"/>
      <c r="S139" s="4612"/>
      <c r="T139" s="4613" t="s">
        <v>566</v>
      </c>
      <c r="U139" s="4614"/>
      <c r="V139" s="4615"/>
      <c r="W139" s="4616"/>
      <c r="X139" s="4617"/>
      <c r="Y139" s="4618"/>
      <c r="Z139" s="4619"/>
      <c r="AA139" s="4620"/>
      <c r="AB139" s="4621"/>
      <c r="AC139" s="4622"/>
      <c r="AD139" s="4623"/>
      <c r="AE139" s="4624"/>
      <c r="AF139" s="4625"/>
      <c r="AG139" s="4626"/>
      <c r="AH139" s="4627"/>
      <c r="AI139" s="4628"/>
      <c r="AJ139" s="4629"/>
      <c r="AK139" s="4630"/>
      <c r="AL139" s="4631"/>
      <c r="AM139" s="4632"/>
      <c r="AN139" s="4633"/>
      <c r="AO139" s="4634"/>
      <c r="AP139" s="4635"/>
      <c r="AQ139" s="4636"/>
      <c r="AR139" s="4637"/>
      <c r="AS139" s="4638"/>
      <c r="AT139" s="4639"/>
      <c r="AU139" s="3943"/>
      <c r="AV139" s="3823"/>
      <c r="AW139" s="3897"/>
      <c r="AX139" s="3897" t="str">
        <f>IF(T139="","",T139)</f>
        <v>Добавить вид теплоносителя (параметры теплоносителя)</v>
      </c>
      <c r="AY139" s="3897"/>
      <c r="AZ139" s="3897"/>
      <c r="BA139" s="3775">
        <v>0</v>
      </c>
    </row>
    <row s="9951" customFormat="1" customHeight="1" ht="15">
      <c r="A140" s="3885"/>
      <c r="B140" s="3885"/>
      <c r="C140" s="3885"/>
      <c r="D140" s="3885"/>
      <c r="E140" s="3886"/>
      <c r="F140" s="3886" t="s">
        <v>94</v>
      </c>
      <c r="G140" s="3886"/>
      <c r="H140" s="3886"/>
      <c r="I140" s="3899"/>
      <c r="J140" s="3885"/>
      <c r="K140" s="3885"/>
      <c r="L140" s="3888"/>
      <c r="M140" s="3815"/>
      <c r="N140" s="3900"/>
      <c r="O140" s="3900"/>
      <c r="P140" s="3901"/>
      <c r="Q140" s="3901"/>
      <c r="R140" s="3902"/>
      <c r="S140" s="4641"/>
      <c r="T140" s="4642" t="s">
        <v>567</v>
      </c>
      <c r="U140" s="4643"/>
      <c r="V140" s="4644"/>
      <c r="W140" s="4645"/>
      <c r="X140" s="4646"/>
      <c r="Y140" s="4647"/>
      <c r="Z140" s="4648"/>
      <c r="AA140" s="4649"/>
      <c r="AB140" s="4650"/>
      <c r="AC140" s="4651"/>
      <c r="AD140" s="4652"/>
      <c r="AE140" s="4653"/>
      <c r="AF140" s="4654"/>
      <c r="AG140" s="4655"/>
      <c r="AH140" s="4656"/>
      <c r="AI140" s="4657"/>
      <c r="AJ140" s="4658"/>
      <c r="AK140" s="4659"/>
      <c r="AL140" s="4660"/>
      <c r="AM140" s="4661"/>
      <c r="AN140" s="4662"/>
      <c r="AO140" s="4663"/>
      <c r="AP140" s="4664"/>
      <c r="AQ140" s="4665"/>
      <c r="AR140" s="4666"/>
      <c r="AS140" s="4667"/>
      <c r="AT140" s="4668"/>
      <c r="AU140" s="4669"/>
      <c r="AV140" s="3823"/>
      <c r="AW140" s="3897"/>
      <c r="AX140" s="3897" t="str">
        <f>IF(T140="","",T140)</f>
        <v>Добавить группу потребителей</v>
      </c>
      <c r="AY140" s="3897"/>
      <c r="AZ140" s="3897"/>
      <c r="BA140" s="3775">
        <v>0</v>
      </c>
    </row>
    <row s="9981" customFormat="1" customHeight="1" ht="14.25">
      <c r="A141" s="3885"/>
      <c r="B141" s="3885"/>
      <c r="C141" s="3885"/>
      <c r="D141" s="3885"/>
      <c r="E141" s="3886"/>
      <c r="F141" s="3886" t="s">
        <v>94</v>
      </c>
      <c r="G141" s="3886"/>
      <c r="H141" s="3887"/>
      <c r="I141" s="3885"/>
      <c r="J141" s="3885"/>
      <c r="K141" s="3885"/>
      <c r="L141" s="3888"/>
      <c r="M141" s="3889"/>
      <c r="N141" s="3889"/>
      <c r="O141" s="3815"/>
      <c r="P141" s="3975"/>
      <c r="Q141" s="3976"/>
      <c r="R141" s="3977"/>
      <c r="S141" s="4671"/>
      <c r="T141" s="4672" t="s">
        <v>568</v>
      </c>
      <c r="U141" s="4673"/>
      <c r="V141" s="4674"/>
      <c r="W141" s="4675"/>
      <c r="X141" s="4676"/>
      <c r="Y141" s="4677"/>
      <c r="Z141" s="4678"/>
      <c r="AA141" s="4679"/>
      <c r="AB141" s="4680"/>
      <c r="AC141" s="4681"/>
      <c r="AD141" s="4682"/>
      <c r="AE141" s="4683"/>
      <c r="AF141" s="4684"/>
      <c r="AG141" s="4685"/>
      <c r="AH141" s="4686"/>
      <c r="AI141" s="4687"/>
      <c r="AJ141" s="4688"/>
      <c r="AK141" s="4689"/>
      <c r="AL141" s="4690"/>
      <c r="AM141" s="4691"/>
      <c r="AN141" s="4692"/>
      <c r="AO141" s="4693"/>
      <c r="AP141" s="4694"/>
      <c r="AQ141" s="4695"/>
      <c r="AR141" s="4696"/>
      <c r="AS141" s="4697"/>
      <c r="AT141" s="4698"/>
      <c r="AU141" s="4699"/>
      <c r="AV141" s="3823"/>
      <c r="AW141" s="3897"/>
      <c r="AX141" s="3897" t="str">
        <f>IF(T141="","",T141)</f>
        <v>Добавить схему подключения</v>
      </c>
      <c r="AY141" s="3897"/>
      <c r="AZ141" s="3897"/>
      <c r="BA141" s="3775">
        <v>0</v>
      </c>
    </row>
    <row s="10011" customFormat="1" customHeight="1" ht="0.75">
      <c r="A142" s="4107"/>
      <c r="B142" s="4107"/>
      <c r="C142" s="4107"/>
      <c r="D142" s="4107"/>
      <c r="E142" s="3886"/>
      <c r="F142" s="3886" t="s">
        <v>94</v>
      </c>
      <c r="G142" s="3887"/>
      <c r="H142" s="4107"/>
      <c r="I142" s="4107"/>
      <c r="J142" s="4107"/>
      <c r="K142" s="4107"/>
      <c r="L142" s="4108"/>
      <c r="M142" s="4109"/>
      <c r="N142" s="4109"/>
      <c r="O142" s="3823"/>
      <c r="P142" s="4110"/>
      <c r="Q142" s="4111"/>
      <c r="R142" s="4110"/>
      <c r="S142" s="4112"/>
      <c r="T142" s="4113" t="s">
        <v>273</v>
      </c>
      <c r="U142" s="3813"/>
      <c r="V142" s="3813"/>
      <c r="W142" s="3813"/>
      <c r="X142" s="3813"/>
      <c r="Y142" s="3813"/>
      <c r="Z142" s="3813"/>
      <c r="AA142" s="3813"/>
      <c r="AB142" s="3813"/>
      <c r="AC142" s="3813"/>
      <c r="AD142" s="3813"/>
      <c r="AE142" s="3813"/>
      <c r="AF142" s="3813"/>
      <c r="AG142" s="3813"/>
      <c r="AH142" s="3813"/>
      <c r="AI142" s="3813"/>
      <c r="AJ142" s="3813"/>
      <c r="AK142" s="3813"/>
      <c r="AL142" s="3813"/>
      <c r="AM142" s="3813"/>
      <c r="AN142" s="3813"/>
      <c r="AO142" s="3813"/>
      <c r="AP142" s="3813"/>
      <c r="AQ142" s="3813"/>
      <c r="AR142" s="3813"/>
      <c r="AS142" s="3813"/>
      <c r="AT142" s="3813"/>
      <c r="AU142" s="3813"/>
      <c r="AV142" s="3823"/>
      <c r="AW142" s="3897"/>
      <c r="AX142" s="3897" t="str">
        <f>IF(T142="","",T142)</f>
        <v>Добавить источник для дифференциации</v>
      </c>
      <c r="AY142" s="3897"/>
      <c r="AZ142" s="3897"/>
      <c r="BA142" s="3823">
        <v>0</v>
      </c>
    </row>
    <row s="10012" customFormat="1" customHeight="1" ht="0.75">
      <c r="A143" s="4107"/>
      <c r="B143" s="4107"/>
      <c r="C143" s="4107"/>
      <c r="D143" s="4107"/>
      <c r="E143" s="3886"/>
      <c r="F143" s="3887" t="s">
        <v>94</v>
      </c>
      <c r="G143" s="4107"/>
      <c r="H143" s="4107"/>
      <c r="I143" s="4107"/>
      <c r="J143" s="4107"/>
      <c r="K143" s="4107"/>
      <c r="L143" s="4108"/>
      <c r="M143" s="4115"/>
      <c r="N143" s="4115"/>
      <c r="O143" s="3823"/>
      <c r="P143" s="4110"/>
      <c r="Q143" s="4111"/>
      <c r="R143" s="4110"/>
      <c r="S143" s="4116"/>
      <c r="T143" s="4117" t="s">
        <v>274</v>
      </c>
      <c r="U143" s="3814"/>
      <c r="V143" s="3814"/>
      <c r="W143" s="3814"/>
      <c r="X143" s="3814"/>
      <c r="Y143" s="3814"/>
      <c r="Z143" s="3814"/>
      <c r="AA143" s="3814"/>
      <c r="AB143" s="3814"/>
      <c r="AC143" s="3814"/>
      <c r="AD143" s="3814"/>
      <c r="AE143" s="3814"/>
      <c r="AF143" s="3814"/>
      <c r="AG143" s="3814"/>
      <c r="AH143" s="3814"/>
      <c r="AI143" s="3814"/>
      <c r="AJ143" s="3814"/>
      <c r="AK143" s="3814"/>
      <c r="AL143" s="3814"/>
      <c r="AM143" s="3814"/>
      <c r="AN143" s="3814"/>
      <c r="AO143" s="3814"/>
      <c r="AP143" s="3814"/>
      <c r="AQ143" s="3814"/>
      <c r="AR143" s="3814"/>
      <c r="AS143" s="3814"/>
      <c r="AT143" s="3814"/>
      <c r="AU143" s="3814"/>
      <c r="AV143" s="3823"/>
      <c r="AW143" s="3897"/>
      <c r="AX143" s="3897" t="str">
        <f>IF(T143="","",T143)</f>
        <v>Добавить централизованную систему для дифференциации</v>
      </c>
      <c r="AY143" s="3897"/>
      <c r="AZ143" s="3897"/>
      <c r="BA143" s="3823">
        <v>0</v>
      </c>
    </row>
    <row s="10013" customFormat="1" customHeight="1" ht="21">
      <c r="A144" s="3885"/>
      <c r="B144" s="3885" t="s">
        <v>297</v>
      </c>
      <c r="C144" s="3885"/>
      <c r="D144" s="3885"/>
      <c r="E144" s="3886"/>
      <c r="F144" s="3887" t="s">
        <v>134</v>
      </c>
      <c r="G144" s="3885"/>
      <c r="H144" s="3885"/>
      <c r="I144" s="3885"/>
      <c r="J144" s="3885"/>
      <c r="K144" s="3885"/>
      <c r="L144" s="3888"/>
      <c r="M144" s="3889"/>
      <c r="N144" s="3889"/>
      <c r="O144" s="3889"/>
      <c r="P144" s="4008"/>
      <c r="Q144" s="3891"/>
      <c r="R144" s="3892"/>
      <c r="S144" s="3893" t="str">
        <f>INDEX(PT_DIFFERENTIATION_NUM_TER,MATCH(B144,PT_DIFFERENTIATION_TER_ID,0))</f>
        <v>1.8</v>
      </c>
      <c r="T144" s="4009" t="s">
        <v>552</v>
      </c>
      <c r="U144" s="3895"/>
      <c r="V144" s="3776"/>
      <c r="W144" s="3777"/>
      <c r="X144" s="3777"/>
      <c r="Y144" s="3777"/>
      <c r="Z144" s="3777"/>
      <c r="AA144" s="3777"/>
      <c r="AB144" s="3777"/>
      <c r="AC144" s="3778"/>
      <c r="AD144" s="3776" t="str">
        <f>INDEX(PT_DIFFERENTIATION_TER,MATCH(B144,PT_DIFFERENTIATION_TER_ID,0))</f>
        <v>Территория 8</v>
      </c>
      <c r="AE144" s="3777"/>
      <c r="AF144" s="3777"/>
      <c r="AG144" s="3777"/>
      <c r="AH144" s="3777"/>
      <c r="AI144" s="3777"/>
      <c r="AJ144" s="3777"/>
      <c r="AK144" s="3777"/>
      <c r="AL144" s="3776"/>
      <c r="AM144" s="3777"/>
      <c r="AN144" s="3777"/>
      <c r="AO144" s="3777"/>
      <c r="AP144" s="3777"/>
      <c r="AQ144" s="3777"/>
      <c r="AR144" s="3777"/>
      <c r="AS144" s="3778"/>
      <c r="AT144" s="3778"/>
      <c r="AU144" s="3896" t="s">
        <v>553</v>
      </c>
      <c r="AV144" s="3823"/>
      <c r="AW144" s="3897"/>
      <c r="AX144" s="3897" t="str">
        <f>IF(T144="","",T144)</f>
        <v>Территория действия тарифа</v>
      </c>
      <c r="AY144" s="3897"/>
      <c r="AZ144" s="3897"/>
      <c r="BA144" s="3775">
        <v>0</v>
      </c>
    </row>
    <row s="10014" customFormat="1" customHeight="1" ht="23.25">
      <c r="A145" s="3885"/>
      <c r="B145" s="3885"/>
      <c r="C145" s="3885" t="s">
        <v>298</v>
      </c>
      <c r="D145" s="3885"/>
      <c r="E145" s="3886"/>
      <c r="F145" s="3886" t="s">
        <v>95</v>
      </c>
      <c r="G145" s="3887">
        <v>1</v>
      </c>
      <c r="H145" s="3885"/>
      <c r="I145" s="3885"/>
      <c r="J145" s="3885"/>
      <c r="K145" s="3885"/>
      <c r="L145" s="3888"/>
      <c r="M145" s="3889"/>
      <c r="N145" s="3889"/>
      <c r="O145" s="3889"/>
      <c r="P145" s="3890"/>
      <c r="Q145" s="3891"/>
      <c r="R145" s="3892"/>
      <c r="S145" s="3893" t="str">
        <f>INDEX(PT_DIFFERENTIATION_NUM_CS,MATCH(C145,PT_DIFFERENTIATION_CS_ID,0))</f>
        <v>1.8.1</v>
      </c>
      <c r="T145" s="4011" t="s">
        <v>554</v>
      </c>
      <c r="U145" s="3895"/>
      <c r="V145" s="3776"/>
      <c r="W145" s="3777"/>
      <c r="X145" s="3777"/>
      <c r="Y145" s="3777"/>
      <c r="Z145" s="3777"/>
      <c r="AA145" s="3777"/>
      <c r="AB145" s="3777"/>
      <c r="AC145" s="3778"/>
      <c r="AD145" s="3776" t="str">
        <f>INDEX(PT_DIFFERENTIATION_CS,MATCH(C145,PT_DIFFERENTIATION_CS_ID,0))</f>
        <v>без дифференциации</v>
      </c>
      <c r="AE145" s="3777"/>
      <c r="AF145" s="3777"/>
      <c r="AG145" s="3777"/>
      <c r="AH145" s="3777"/>
      <c r="AI145" s="3777"/>
      <c r="AJ145" s="3777"/>
      <c r="AK145" s="3777"/>
      <c r="AL145" s="3776"/>
      <c r="AM145" s="3777"/>
      <c r="AN145" s="3777"/>
      <c r="AO145" s="3777"/>
      <c r="AP145" s="3777"/>
      <c r="AQ145" s="3777"/>
      <c r="AR145" s="3777"/>
      <c r="AS145" s="3778"/>
      <c r="AT145" s="3778"/>
      <c r="AU145" s="3896" t="s">
        <v>555</v>
      </c>
      <c r="AV145" s="3823"/>
      <c r="AW145" s="3897"/>
      <c r="AX145" s="3897" t="str">
        <f>IF(T145="","",T145)</f>
        <v>Наименование системы теплоснабжения </v>
      </c>
      <c r="AY145" s="3897"/>
      <c r="AZ145" s="3897"/>
      <c r="BA145" s="3775">
        <v>0</v>
      </c>
    </row>
    <row s="10015" customFormat="1" customHeight="1" ht="21">
      <c r="A146" s="3885"/>
      <c r="B146" s="3885"/>
      <c r="C146" s="3885"/>
      <c r="D146" s="3885" t="s">
        <v>299</v>
      </c>
      <c r="E146" s="3886"/>
      <c r="F146" s="3886" t="s">
        <v>95</v>
      </c>
      <c r="G146" s="3886"/>
      <c r="H146" s="3887">
        <v>1</v>
      </c>
      <c r="I146" s="3885"/>
      <c r="J146" s="3885"/>
      <c r="K146" s="3885"/>
      <c r="L146" s="3888"/>
      <c r="M146" s="3889"/>
      <c r="N146" s="3889"/>
      <c r="O146" s="3889"/>
      <c r="P146" s="3890"/>
      <c r="Q146" s="3891"/>
      <c r="R146" s="3892"/>
      <c r="S146" s="3893" t="str">
        <f>INDEX(PT_DIFFERENTIATION_NUM_IST_TE,MATCH(D146,PT_DIFFERENTIATION_IST_TE_ID,0))</f>
        <v>1.8.1.1</v>
      </c>
      <c r="T146" s="3894" t="s">
        <v>556</v>
      </c>
      <c r="U146" s="3895"/>
      <c r="V146" s="3776"/>
      <c r="W146" s="3777"/>
      <c r="X146" s="3777"/>
      <c r="Y146" s="3777"/>
      <c r="Z146" s="3777"/>
      <c r="AA146" s="3777"/>
      <c r="AB146" s="3777"/>
      <c r="AC146" s="3778"/>
      <c r="AD146" s="3776" t="str">
        <f>INDEX(PT_DIFFERENTIATION_IST_TE,MATCH(D146,PT_DIFFERENTIATION_IST_TE_ID,0))</f>
        <v>Городское поселение Ревда Ловозерского муниципального района Мурманской области (потребители, присоединенные к тепловым сетям АО "МЭС")</v>
      </c>
      <c r="AE146" s="3777"/>
      <c r="AF146" s="3777"/>
      <c r="AG146" s="3777"/>
      <c r="AH146" s="3777"/>
      <c r="AI146" s="3777"/>
      <c r="AJ146" s="3777"/>
      <c r="AK146" s="3777"/>
      <c r="AL146" s="3776"/>
      <c r="AM146" s="3777"/>
      <c r="AN146" s="3777"/>
      <c r="AO146" s="3777"/>
      <c r="AP146" s="3777"/>
      <c r="AQ146" s="3777"/>
      <c r="AR146" s="3777"/>
      <c r="AS146" s="3778"/>
      <c r="AT146" s="3778"/>
      <c r="AU146" s="3896" t="s">
        <v>557</v>
      </c>
      <c r="AV146" s="3823"/>
      <c r="AW146" s="3897"/>
      <c r="AX146" s="3897" t="str">
        <f>IF(T146="","",T146)</f>
        <v>Источник тепловой энергии  </v>
      </c>
      <c r="AY146" s="3897"/>
      <c r="AZ146" s="3897"/>
      <c r="BA146" s="3775">
        <v>0</v>
      </c>
    </row>
    <row s="10016" customFormat="1" customHeight="1" ht="47.25">
      <c r="A147" s="3885"/>
      <c r="B147" s="3885"/>
      <c r="C147" s="3885"/>
      <c r="D147" s="3885"/>
      <c r="E147" s="3886"/>
      <c r="F147" s="3886" t="s">
        <v>95</v>
      </c>
      <c r="G147" s="3886"/>
      <c r="H147" s="3886"/>
      <c r="I147" s="3899" t="str">
        <f>S146&amp;".1"</f>
        <v>1.8.1.1.1</v>
      </c>
      <c r="J147" s="3885"/>
      <c r="K147" s="3885"/>
      <c r="L147" s="3888" t="s">
        <v>558</v>
      </c>
      <c r="M147" s="3815"/>
      <c r="N147" s="3900"/>
      <c r="O147" s="3900"/>
      <c r="P147" s="3901">
        <v>1</v>
      </c>
      <c r="Q147" s="3901"/>
      <c r="R147" s="3902"/>
      <c r="S147" s="3893" t="str">
        <f>$I147</f>
        <v>1.8.1.1.1</v>
      </c>
      <c r="T147" s="3903" t="s">
        <v>559</v>
      </c>
      <c r="U147" s="3895"/>
      <c r="V147" s="3779"/>
      <c r="W147" s="3780"/>
      <c r="X147" s="3780"/>
      <c r="Y147" s="3780"/>
      <c r="Z147" s="3780"/>
      <c r="AA147" s="3780"/>
      <c r="AB147" s="3780"/>
      <c r="AC147" s="3781"/>
      <c r="AD147" s="3779" t="s">
        <v>601</v>
      </c>
      <c r="AE147" s="3780"/>
      <c r="AF147" s="3780"/>
      <c r="AG147" s="3780"/>
      <c r="AH147" s="3780"/>
      <c r="AI147" s="3780"/>
      <c r="AJ147" s="3780"/>
      <c r="AK147" s="3780"/>
      <c r="AL147" s="3779"/>
      <c r="AM147" s="3780"/>
      <c r="AN147" s="3780"/>
      <c r="AO147" s="3780"/>
      <c r="AP147" s="3780"/>
      <c r="AQ147" s="3780"/>
      <c r="AR147" s="3780"/>
      <c r="AS147" s="3781"/>
      <c r="AT147" s="3781"/>
      <c r="AU147" s="3896" t="s">
        <v>560</v>
      </c>
      <c r="AV147" s="3823"/>
      <c r="AW147" s="3897"/>
      <c r="AX147" s="3897" t="str">
        <f>IF(T147="","",T147)</f>
        <v>Схема подключения теплопотребляющей установки к коллектору источника тепловой энергии</v>
      </c>
      <c r="AY147" s="3897"/>
      <c r="AZ147" s="3897"/>
      <c r="BA147" s="3775">
        <v>0</v>
      </c>
    </row>
    <row s="10017" customFormat="1" customHeight="1" ht="21">
      <c r="A148" s="3885"/>
      <c r="B148" s="3885"/>
      <c r="C148" s="3885"/>
      <c r="D148" s="3885"/>
      <c r="E148" s="3886"/>
      <c r="F148" s="3886" t="s">
        <v>95</v>
      </c>
      <c r="G148" s="3886"/>
      <c r="H148" s="3886"/>
      <c r="I148" s="3905"/>
      <c r="J148" s="3899" t="str">
        <f>I147&amp;".1"</f>
        <v>1.8.1.1.1.1</v>
      </c>
      <c r="K148" s="3885"/>
      <c r="L148" s="3888" t="s">
        <v>561</v>
      </c>
      <c r="M148" s="3815"/>
      <c r="N148" s="3815"/>
      <c r="O148" s="3900"/>
      <c r="P148" s="3901"/>
      <c r="Q148" s="3901">
        <v>1</v>
      </c>
      <c r="R148" s="3906"/>
      <c r="S148" s="3893" t="str">
        <f>$J148</f>
        <v>1.8.1.1.1.1</v>
      </c>
      <c r="T148" s="3907" t="s">
        <v>562</v>
      </c>
      <c r="U148" s="3895"/>
      <c r="V148" s="3779"/>
      <c r="W148" s="3780"/>
      <c r="X148" s="3780"/>
      <c r="Y148" s="3780"/>
      <c r="Z148" s="3780"/>
      <c r="AA148" s="3780"/>
      <c r="AB148" s="3780"/>
      <c r="AC148" s="3781"/>
      <c r="AD148" s="3779" t="s">
        <v>602</v>
      </c>
      <c r="AE148" s="3780"/>
      <c r="AF148" s="3780"/>
      <c r="AG148" s="3780"/>
      <c r="AH148" s="3780"/>
      <c r="AI148" s="3780"/>
      <c r="AJ148" s="3780"/>
      <c r="AK148" s="3780"/>
      <c r="AL148" s="3779"/>
      <c r="AM148" s="3780"/>
      <c r="AN148" s="3780"/>
      <c r="AO148" s="3780"/>
      <c r="AP148" s="3780"/>
      <c r="AQ148" s="3780"/>
      <c r="AR148" s="3780"/>
      <c r="AS148" s="3781"/>
      <c r="AT148" s="3781"/>
      <c r="AU148" s="3896" t="s">
        <v>563</v>
      </c>
      <c r="AV148" s="3823"/>
      <c r="AW148" s="3897"/>
      <c r="AX148" s="3897" t="str">
        <f>IF(T148="","",T148)</f>
        <v>Группа потребителей</v>
      </c>
      <c r="AY148" s="3897"/>
      <c r="AZ148" s="3897"/>
      <c r="BA148" s="3775">
        <v>0</v>
      </c>
    </row>
    <row s="10018" customFormat="1" customHeight="1" ht="21">
      <c r="A149" s="3885"/>
      <c r="B149" s="3885"/>
      <c r="C149" s="3885"/>
      <c r="D149" s="3885"/>
      <c r="E149" s="3886"/>
      <c r="F149" s="3886" t="s">
        <v>95</v>
      </c>
      <c r="G149" s="3886"/>
      <c r="H149" s="3886"/>
      <c r="I149" s="3905"/>
      <c r="J149" s="3905"/>
      <c r="K149" s="3899" t="str">
        <f>J148&amp;".1"</f>
        <v>1.8.1.1.1.1.1</v>
      </c>
      <c r="L149" s="3888" t="s">
        <v>564</v>
      </c>
      <c r="M149" s="3815"/>
      <c r="N149" s="3815"/>
      <c r="O149" s="3815"/>
      <c r="P149" s="3901"/>
      <c r="Q149" s="3901"/>
      <c r="R149" s="3906">
        <v>1</v>
      </c>
      <c r="S149" s="3893" t="str">
        <f>$K149</f>
        <v>1.8.1.1.1.1.1</v>
      </c>
      <c r="T149" s="3909" t="s">
        <v>603</v>
      </c>
      <c r="U149" s="3895"/>
      <c r="V149" s="3855"/>
      <c r="W149" s="3855"/>
      <c r="X149" s="3855"/>
      <c r="Y149" s="3856"/>
      <c r="Z149" s="3857"/>
      <c r="AA149" s="3858" t="s">
        <v>63</v>
      </c>
      <c r="AB149" s="3857"/>
      <c r="AC149" s="3858" t="s">
        <v>63</v>
      </c>
      <c r="AD149" s="3783"/>
      <c r="AE149" s="3784">
        <v>705.55</v>
      </c>
      <c r="AF149" s="3783"/>
      <c r="AG149" s="3785"/>
      <c r="AH149" s="3786">
        <v>45658</v>
      </c>
      <c r="AI149" s="3191" t="s">
        <v>63</v>
      </c>
      <c r="AJ149" s="3786">
        <v>46022</v>
      </c>
      <c r="AK149" s="3191" t="s">
        <v>19</v>
      </c>
      <c r="AL149" s="3855"/>
      <c r="AM149" s="3855"/>
      <c r="AN149" s="3855"/>
      <c r="AO149" s="3856"/>
      <c r="AP149" s="3857"/>
      <c r="AQ149" s="3858" t="s">
        <v>63</v>
      </c>
      <c r="AR149" s="3857"/>
      <c r="AS149" s="3858" t="s">
        <v>63</v>
      </c>
      <c r="AT149" s="3783"/>
      <c r="AU149" s="3910" t="s">
        <v>565</v>
      </c>
      <c r="AV149" s="3823">
        <f>STRCHECKDATE(V150:AT150)</f>
      </c>
      <c r="AW149" s="3897"/>
      <c r="AX149" s="3897" t="str">
        <f>IF(T149="","",T149)</f>
        <v>вода</v>
      </c>
      <c r="AY149" s="3897"/>
      <c r="AZ149" s="3897"/>
      <c r="BA149" s="3775">
        <v>0</v>
      </c>
    </row>
    <row s="10019" customFormat="1" customHeight="1" ht="0.75">
      <c r="A150" s="3885"/>
      <c r="B150" s="3885"/>
      <c r="C150" s="3885"/>
      <c r="D150" s="3885"/>
      <c r="E150" s="3886"/>
      <c r="F150" s="3886" t="s">
        <v>95</v>
      </c>
      <c r="G150" s="3886"/>
      <c r="H150" s="3886"/>
      <c r="I150" s="3905"/>
      <c r="J150" s="3905"/>
      <c r="K150" s="3899"/>
      <c r="L150" s="3888"/>
      <c r="M150" s="3815"/>
      <c r="N150" s="3815"/>
      <c r="O150" s="3815"/>
      <c r="P150" s="3901"/>
      <c r="Q150" s="3901"/>
      <c r="R150" s="3906"/>
      <c r="S150" s="3912"/>
      <c r="T150" s="3895"/>
      <c r="U150" s="3895"/>
      <c r="V150" s="3855"/>
      <c r="W150" s="3855"/>
      <c r="X150" s="3855"/>
      <c r="Y150" s="3787" t="str">
        <f>Z149&amp;"-"&amp;AB149</f>
        <v>-</v>
      </c>
      <c r="Z150" s="3858"/>
      <c r="AA150" s="3858"/>
      <c r="AB150" s="3858"/>
      <c r="AC150" s="3858"/>
      <c r="AD150" s="3783"/>
      <c r="AE150" s="3783"/>
      <c r="AF150" s="3783"/>
      <c r="AG150" s="3787" t="str">
        <f>AH149&amp;"-"&amp;AJ149</f>
        <v>45658-46022</v>
      </c>
      <c r="AH150" s="3788"/>
      <c r="AI150" s="3191"/>
      <c r="AJ150" s="3788"/>
      <c r="AK150" s="3191"/>
      <c r="AL150" s="3855"/>
      <c r="AM150" s="3855"/>
      <c r="AN150" s="3855"/>
      <c r="AO150" s="3787" t="str">
        <f>AP149&amp;"-"&amp;AR149</f>
        <v>-</v>
      </c>
      <c r="AP150" s="3858"/>
      <c r="AQ150" s="3858"/>
      <c r="AR150" s="3858"/>
      <c r="AS150" s="3858"/>
      <c r="AT150" s="3783"/>
      <c r="AU150" s="3913"/>
      <c r="AV150" s="3823"/>
      <c r="AW150" s="3897"/>
      <c r="AX150" s="3897" t="str">
        <f>IF(T150="","",T150)</f>
        <v/>
      </c>
      <c r="AY150" s="3897"/>
      <c r="AZ150" s="3897"/>
      <c r="BA150" s="3775">
        <v>0</v>
      </c>
    </row>
    <row s="10020" customFormat="1" customHeight="1" ht="15">
      <c r="A151" s="3885"/>
      <c r="B151" s="3885"/>
      <c r="C151" s="3885"/>
      <c r="D151" s="3885"/>
      <c r="E151" s="3886"/>
      <c r="F151" s="3886" t="s">
        <v>95</v>
      </c>
      <c r="G151" s="3886"/>
      <c r="H151" s="3886"/>
      <c r="I151" s="3905"/>
      <c r="J151" s="3899"/>
      <c r="K151" s="3885"/>
      <c r="L151" s="3888"/>
      <c r="M151" s="3815"/>
      <c r="N151" s="3815"/>
      <c r="O151" s="3900"/>
      <c r="P151" s="3901"/>
      <c r="Q151" s="3901"/>
      <c r="R151" s="3902"/>
      <c r="S151" s="4710"/>
      <c r="T151" s="4711" t="s">
        <v>566</v>
      </c>
      <c r="U151" s="4712"/>
      <c r="V151" s="4713"/>
      <c r="W151" s="4714"/>
      <c r="X151" s="4715"/>
      <c r="Y151" s="4716"/>
      <c r="Z151" s="4717"/>
      <c r="AA151" s="4718"/>
      <c r="AB151" s="4719"/>
      <c r="AC151" s="4720"/>
      <c r="AD151" s="4721"/>
      <c r="AE151" s="4722"/>
      <c r="AF151" s="4723"/>
      <c r="AG151" s="4724"/>
      <c r="AH151" s="4725"/>
      <c r="AI151" s="4726"/>
      <c r="AJ151" s="4727"/>
      <c r="AK151" s="4728"/>
      <c r="AL151" s="4729"/>
      <c r="AM151" s="4730"/>
      <c r="AN151" s="4731"/>
      <c r="AO151" s="4732"/>
      <c r="AP151" s="4733"/>
      <c r="AQ151" s="4734"/>
      <c r="AR151" s="4735"/>
      <c r="AS151" s="4736"/>
      <c r="AT151" s="4737"/>
      <c r="AU151" s="3943"/>
      <c r="AV151" s="3823"/>
      <c r="AW151" s="3897"/>
      <c r="AX151" s="3897" t="str">
        <f>IF(T151="","",T151)</f>
        <v>Добавить вид теплоносителя (параметры теплоносителя)</v>
      </c>
      <c r="AY151" s="3897"/>
      <c r="AZ151" s="3897"/>
      <c r="BA151" s="3775">
        <v>0</v>
      </c>
    </row>
    <row s="10049" customFormat="1" customHeight="1" ht="15">
      <c r="A152" s="3885"/>
      <c r="B152" s="3885"/>
      <c r="C152" s="3885"/>
      <c r="D152" s="3885"/>
      <c r="E152" s="3886"/>
      <c r="F152" s="3886" t="s">
        <v>95</v>
      </c>
      <c r="G152" s="3886"/>
      <c r="H152" s="3886"/>
      <c r="I152" s="3899"/>
      <c r="J152" s="3885"/>
      <c r="K152" s="3885"/>
      <c r="L152" s="3888"/>
      <c r="M152" s="3815"/>
      <c r="N152" s="3900"/>
      <c r="O152" s="3900"/>
      <c r="P152" s="3901"/>
      <c r="Q152" s="3901"/>
      <c r="R152" s="3902"/>
      <c r="S152" s="4739"/>
      <c r="T152" s="4740" t="s">
        <v>567</v>
      </c>
      <c r="U152" s="4741"/>
      <c r="V152" s="4742"/>
      <c r="W152" s="4743"/>
      <c r="X152" s="4744"/>
      <c r="Y152" s="4745"/>
      <c r="Z152" s="4746"/>
      <c r="AA152" s="4747"/>
      <c r="AB152" s="4748"/>
      <c r="AC152" s="4749"/>
      <c r="AD152" s="4750"/>
      <c r="AE152" s="4751"/>
      <c r="AF152" s="4752"/>
      <c r="AG152" s="4753"/>
      <c r="AH152" s="4754"/>
      <c r="AI152" s="4755"/>
      <c r="AJ152" s="4756"/>
      <c r="AK152" s="4757"/>
      <c r="AL152" s="4758"/>
      <c r="AM152" s="4759"/>
      <c r="AN152" s="4760"/>
      <c r="AO152" s="4761"/>
      <c r="AP152" s="4762"/>
      <c r="AQ152" s="4763"/>
      <c r="AR152" s="4764"/>
      <c r="AS152" s="4765"/>
      <c r="AT152" s="4766"/>
      <c r="AU152" s="4767"/>
      <c r="AV152" s="3823"/>
      <c r="AW152" s="3897"/>
      <c r="AX152" s="3897" t="str">
        <f>IF(T152="","",T152)</f>
        <v>Добавить группу потребителей</v>
      </c>
      <c r="AY152" s="3897"/>
      <c r="AZ152" s="3897"/>
      <c r="BA152" s="3775">
        <v>0</v>
      </c>
    </row>
    <row s="10079" customFormat="1" customHeight="1" ht="14.25">
      <c r="A153" s="3885"/>
      <c r="B153" s="3885"/>
      <c r="C153" s="3885"/>
      <c r="D153" s="3885"/>
      <c r="E153" s="3886"/>
      <c r="F153" s="3886" t="s">
        <v>95</v>
      </c>
      <c r="G153" s="3886"/>
      <c r="H153" s="3887"/>
      <c r="I153" s="3885"/>
      <c r="J153" s="3885"/>
      <c r="K153" s="3885"/>
      <c r="L153" s="3888"/>
      <c r="M153" s="3889"/>
      <c r="N153" s="3889"/>
      <c r="O153" s="3815"/>
      <c r="P153" s="3975"/>
      <c r="Q153" s="3976"/>
      <c r="R153" s="3977"/>
      <c r="S153" s="4769"/>
      <c r="T153" s="4770" t="s">
        <v>568</v>
      </c>
      <c r="U153" s="4771"/>
      <c r="V153" s="4772"/>
      <c r="W153" s="4773"/>
      <c r="X153" s="4774"/>
      <c r="Y153" s="4775"/>
      <c r="Z153" s="4776"/>
      <c r="AA153" s="4777"/>
      <c r="AB153" s="4778"/>
      <c r="AC153" s="4779"/>
      <c r="AD153" s="4780"/>
      <c r="AE153" s="4781"/>
      <c r="AF153" s="4782"/>
      <c r="AG153" s="4783"/>
      <c r="AH153" s="4784"/>
      <c r="AI153" s="4785"/>
      <c r="AJ153" s="4786"/>
      <c r="AK153" s="4787"/>
      <c r="AL153" s="4788"/>
      <c r="AM153" s="4789"/>
      <c r="AN153" s="4790"/>
      <c r="AO153" s="4791"/>
      <c r="AP153" s="4792"/>
      <c r="AQ153" s="4793"/>
      <c r="AR153" s="4794"/>
      <c r="AS153" s="4795"/>
      <c r="AT153" s="4796"/>
      <c r="AU153" s="4797"/>
      <c r="AV153" s="3823"/>
      <c r="AW153" s="3897"/>
      <c r="AX153" s="3897" t="str">
        <f>IF(T153="","",T153)</f>
        <v>Добавить схему подключения</v>
      </c>
      <c r="AY153" s="3897"/>
      <c r="AZ153" s="3897"/>
      <c r="BA153" s="3775">
        <v>0</v>
      </c>
    </row>
    <row s="10109" customFormat="1" customHeight="1" ht="0.75">
      <c r="A154" s="4107"/>
      <c r="B154" s="4107"/>
      <c r="C154" s="4107"/>
      <c r="D154" s="4107"/>
      <c r="E154" s="3886"/>
      <c r="F154" s="3886" t="s">
        <v>95</v>
      </c>
      <c r="G154" s="3887"/>
      <c r="H154" s="4107"/>
      <c r="I154" s="4107"/>
      <c r="J154" s="4107"/>
      <c r="K154" s="4107"/>
      <c r="L154" s="4108"/>
      <c r="M154" s="4109"/>
      <c r="N154" s="4109"/>
      <c r="O154" s="3823"/>
      <c r="P154" s="4110"/>
      <c r="Q154" s="4111"/>
      <c r="R154" s="4110"/>
      <c r="S154" s="4112"/>
      <c r="T154" s="4113" t="s">
        <v>273</v>
      </c>
      <c r="U154" s="3813"/>
      <c r="V154" s="3813"/>
      <c r="W154" s="3813"/>
      <c r="X154" s="3813"/>
      <c r="Y154" s="3813"/>
      <c r="Z154" s="3813"/>
      <c r="AA154" s="3813"/>
      <c r="AB154" s="3813"/>
      <c r="AC154" s="3813"/>
      <c r="AD154" s="3813"/>
      <c r="AE154" s="3813"/>
      <c r="AF154" s="3813"/>
      <c r="AG154" s="3813"/>
      <c r="AH154" s="3813"/>
      <c r="AI154" s="3813"/>
      <c r="AJ154" s="3813"/>
      <c r="AK154" s="3813"/>
      <c r="AL154" s="3813"/>
      <c r="AM154" s="3813"/>
      <c r="AN154" s="3813"/>
      <c r="AO154" s="3813"/>
      <c r="AP154" s="3813"/>
      <c r="AQ154" s="3813"/>
      <c r="AR154" s="3813"/>
      <c r="AS154" s="3813"/>
      <c r="AT154" s="3813"/>
      <c r="AU154" s="3813"/>
      <c r="AV154" s="3823"/>
      <c r="AW154" s="3897"/>
      <c r="AX154" s="3897" t="str">
        <f>IF(T154="","",T154)</f>
        <v>Добавить источник для дифференциации</v>
      </c>
      <c r="AY154" s="3897"/>
      <c r="AZ154" s="3897"/>
      <c r="BA154" s="3823">
        <v>0</v>
      </c>
    </row>
    <row s="10110" customFormat="1" customHeight="1" ht="0.75">
      <c r="A155" s="4107"/>
      <c r="B155" s="4107"/>
      <c r="C155" s="4107"/>
      <c r="D155" s="4107"/>
      <c r="E155" s="3886"/>
      <c r="F155" s="3887" t="s">
        <v>95</v>
      </c>
      <c r="G155" s="4107"/>
      <c r="H155" s="4107"/>
      <c r="I155" s="4107"/>
      <c r="J155" s="4107"/>
      <c r="K155" s="4107"/>
      <c r="L155" s="4108"/>
      <c r="M155" s="4115"/>
      <c r="N155" s="4115"/>
      <c r="O155" s="3823"/>
      <c r="P155" s="4110"/>
      <c r="Q155" s="4111"/>
      <c r="R155" s="4110"/>
      <c r="S155" s="4116"/>
      <c r="T155" s="4117" t="s">
        <v>274</v>
      </c>
      <c r="U155" s="3814"/>
      <c r="V155" s="3814"/>
      <c r="W155" s="3814"/>
      <c r="X155" s="3814"/>
      <c r="Y155" s="3814"/>
      <c r="Z155" s="3814"/>
      <c r="AA155" s="3814"/>
      <c r="AB155" s="3814"/>
      <c r="AC155" s="3814"/>
      <c r="AD155" s="3814"/>
      <c r="AE155" s="3814"/>
      <c r="AF155" s="3814"/>
      <c r="AG155" s="3814"/>
      <c r="AH155" s="3814"/>
      <c r="AI155" s="3814"/>
      <c r="AJ155" s="3814"/>
      <c r="AK155" s="3814"/>
      <c r="AL155" s="3814"/>
      <c r="AM155" s="3814"/>
      <c r="AN155" s="3814"/>
      <c r="AO155" s="3814"/>
      <c r="AP155" s="3814"/>
      <c r="AQ155" s="3814"/>
      <c r="AR155" s="3814"/>
      <c r="AS155" s="3814"/>
      <c r="AT155" s="3814"/>
      <c r="AU155" s="3814"/>
      <c r="AV155" s="3823"/>
      <c r="AW155" s="3897"/>
      <c r="AX155" s="3897" t="str">
        <f>IF(T155="","",T155)</f>
        <v>Добавить централизованную систему для дифференциации</v>
      </c>
      <c r="AY155" s="3897"/>
      <c r="AZ155" s="3897"/>
      <c r="BA155" s="3823">
        <v>0</v>
      </c>
    </row>
    <row s="10111" customFormat="1" customHeight="1" ht="21">
      <c r="A156" s="3885"/>
      <c r="B156" s="3885" t="s">
        <v>301</v>
      </c>
      <c r="C156" s="3885"/>
      <c r="D156" s="3885"/>
      <c r="E156" s="3886"/>
      <c r="F156" s="3887" t="s">
        <v>139</v>
      </c>
      <c r="G156" s="3885"/>
      <c r="H156" s="3885"/>
      <c r="I156" s="3885"/>
      <c r="J156" s="3885"/>
      <c r="K156" s="3885"/>
      <c r="L156" s="3888"/>
      <c r="M156" s="3889"/>
      <c r="N156" s="3889"/>
      <c r="O156" s="3889"/>
      <c r="P156" s="4008"/>
      <c r="Q156" s="3891"/>
      <c r="R156" s="3892"/>
      <c r="S156" s="3893" t="str">
        <f>INDEX(PT_DIFFERENTIATION_NUM_TER,MATCH(B156,PT_DIFFERENTIATION_TER_ID,0))</f>
        <v>1.9</v>
      </c>
      <c r="T156" s="4009" t="s">
        <v>552</v>
      </c>
      <c r="U156" s="3895"/>
      <c r="V156" s="3776"/>
      <c r="W156" s="3777"/>
      <c r="X156" s="3777"/>
      <c r="Y156" s="3777"/>
      <c r="Z156" s="3777"/>
      <c r="AA156" s="3777"/>
      <c r="AB156" s="3777"/>
      <c r="AC156" s="3778"/>
      <c r="AD156" s="3776" t="str">
        <f>INDEX(PT_DIFFERENTIATION_TER,MATCH(B156,PT_DIFFERENTIATION_TER_ID,0))</f>
        <v>Территория 9</v>
      </c>
      <c r="AE156" s="3777"/>
      <c r="AF156" s="3777"/>
      <c r="AG156" s="3777"/>
      <c r="AH156" s="3777"/>
      <c r="AI156" s="3777"/>
      <c r="AJ156" s="3777"/>
      <c r="AK156" s="3777"/>
      <c r="AL156" s="3776"/>
      <c r="AM156" s="3777"/>
      <c r="AN156" s="3777"/>
      <c r="AO156" s="3777"/>
      <c r="AP156" s="3777"/>
      <c r="AQ156" s="3777"/>
      <c r="AR156" s="3777"/>
      <c r="AS156" s="3778"/>
      <c r="AT156" s="3778"/>
      <c r="AU156" s="3896" t="s">
        <v>553</v>
      </c>
      <c r="AV156" s="3823"/>
      <c r="AW156" s="3897"/>
      <c r="AX156" s="3897" t="str">
        <f>IF(T156="","",T156)</f>
        <v>Территория действия тарифа</v>
      </c>
      <c r="AY156" s="3897"/>
      <c r="AZ156" s="3897"/>
      <c r="BA156" s="3775">
        <v>0</v>
      </c>
    </row>
    <row s="10112" customFormat="1" customHeight="1" ht="23.25">
      <c r="A157" s="3885"/>
      <c r="B157" s="3885"/>
      <c r="C157" s="3885" t="s">
        <v>302</v>
      </c>
      <c r="D157" s="3885"/>
      <c r="E157" s="3886"/>
      <c r="F157" s="3886" t="s">
        <v>134</v>
      </c>
      <c r="G157" s="3887">
        <v>1</v>
      </c>
      <c r="H157" s="3885"/>
      <c r="I157" s="3885"/>
      <c r="J157" s="3885"/>
      <c r="K157" s="3885"/>
      <c r="L157" s="3888"/>
      <c r="M157" s="3889"/>
      <c r="N157" s="3889"/>
      <c r="O157" s="3889"/>
      <c r="P157" s="3890"/>
      <c r="Q157" s="3891"/>
      <c r="R157" s="3892"/>
      <c r="S157" s="3893" t="str">
        <f>INDEX(PT_DIFFERENTIATION_NUM_CS,MATCH(C157,PT_DIFFERENTIATION_CS_ID,0))</f>
        <v>1.9.1</v>
      </c>
      <c r="T157" s="4011" t="s">
        <v>554</v>
      </c>
      <c r="U157" s="3895"/>
      <c r="V157" s="3776"/>
      <c r="W157" s="3777"/>
      <c r="X157" s="3777"/>
      <c r="Y157" s="3777"/>
      <c r="Z157" s="3777"/>
      <c r="AA157" s="3777"/>
      <c r="AB157" s="3777"/>
      <c r="AC157" s="3778"/>
      <c r="AD157" s="3776" t="str">
        <f>INDEX(PT_DIFFERENTIATION_CS,MATCH(C157,PT_DIFFERENTIATION_CS_ID,0))</f>
        <v>без дифференциации</v>
      </c>
      <c r="AE157" s="3777"/>
      <c r="AF157" s="3777"/>
      <c r="AG157" s="3777"/>
      <c r="AH157" s="3777"/>
      <c r="AI157" s="3777"/>
      <c r="AJ157" s="3777"/>
      <c r="AK157" s="3777"/>
      <c r="AL157" s="3776"/>
      <c r="AM157" s="3777"/>
      <c r="AN157" s="3777"/>
      <c r="AO157" s="3777"/>
      <c r="AP157" s="3777"/>
      <c r="AQ157" s="3777"/>
      <c r="AR157" s="3777"/>
      <c r="AS157" s="3778"/>
      <c r="AT157" s="3778"/>
      <c r="AU157" s="3896" t="s">
        <v>555</v>
      </c>
      <c r="AV157" s="3823"/>
      <c r="AW157" s="3897"/>
      <c r="AX157" s="3897" t="str">
        <f>IF(T157="","",T157)</f>
        <v>Наименование системы теплоснабжения </v>
      </c>
      <c r="AY157" s="3897"/>
      <c r="AZ157" s="3897"/>
      <c r="BA157" s="3775">
        <v>0</v>
      </c>
    </row>
    <row s="10113" customFormat="1" customHeight="1" ht="21">
      <c r="A158" s="3885"/>
      <c r="B158" s="3885"/>
      <c r="C158" s="3885"/>
      <c r="D158" s="3885" t="s">
        <v>303</v>
      </c>
      <c r="E158" s="3886"/>
      <c r="F158" s="3886" t="s">
        <v>134</v>
      </c>
      <c r="G158" s="3886"/>
      <c r="H158" s="3887">
        <v>1</v>
      </c>
      <c r="I158" s="3885"/>
      <c r="J158" s="3885"/>
      <c r="K158" s="3885"/>
      <c r="L158" s="3888"/>
      <c r="M158" s="3889"/>
      <c r="N158" s="3889"/>
      <c r="O158" s="3889"/>
      <c r="P158" s="3890"/>
      <c r="Q158" s="3891"/>
      <c r="R158" s="3892"/>
      <c r="S158" s="3893" t="str">
        <f>INDEX(PT_DIFFERENTIATION_NUM_IST_TE,MATCH(D158,PT_DIFFERENTIATION_IST_TE_ID,0))</f>
        <v>1.9.1.1</v>
      </c>
      <c r="T158" s="3894" t="s">
        <v>556</v>
      </c>
      <c r="U158" s="3895"/>
      <c r="V158" s="3776"/>
      <c r="W158" s="3777"/>
      <c r="X158" s="3777"/>
      <c r="Y158" s="3777"/>
      <c r="Z158" s="3777"/>
      <c r="AA158" s="3777"/>
      <c r="AB158" s="3777"/>
      <c r="AC158" s="3778"/>
      <c r="AD158" s="3776" t="str">
        <f>INDEX(PT_DIFFERENTIATION_IST_TE,MATCH(D158,PT_DIFFERENTIATION_IST_TE_ID,0))</f>
        <v>Муниципальный округ город Оленегорск с подведомственной территорией Мурманской области (кроме нп Высокий)</v>
      </c>
      <c r="AE158" s="3777"/>
      <c r="AF158" s="3777"/>
      <c r="AG158" s="3777"/>
      <c r="AH158" s="3777"/>
      <c r="AI158" s="3777"/>
      <c r="AJ158" s="3777"/>
      <c r="AK158" s="3777"/>
      <c r="AL158" s="3776"/>
      <c r="AM158" s="3777"/>
      <c r="AN158" s="3777"/>
      <c r="AO158" s="3777"/>
      <c r="AP158" s="3777"/>
      <c r="AQ158" s="3777"/>
      <c r="AR158" s="3777"/>
      <c r="AS158" s="3778"/>
      <c r="AT158" s="3778"/>
      <c r="AU158" s="3896" t="s">
        <v>557</v>
      </c>
      <c r="AV158" s="3823"/>
      <c r="AW158" s="3897"/>
      <c r="AX158" s="3897" t="str">
        <f>IF(T158="","",T158)</f>
        <v>Источник тепловой энергии  </v>
      </c>
      <c r="AY158" s="3897"/>
      <c r="AZ158" s="3897"/>
      <c r="BA158" s="3775">
        <v>0</v>
      </c>
    </row>
    <row s="10114" customFormat="1" customHeight="1" ht="47.25">
      <c r="A159" s="3885"/>
      <c r="B159" s="3885"/>
      <c r="C159" s="3885"/>
      <c r="D159" s="3885"/>
      <c r="E159" s="3886"/>
      <c r="F159" s="3886" t="s">
        <v>134</v>
      </c>
      <c r="G159" s="3886"/>
      <c r="H159" s="3886"/>
      <c r="I159" s="3899" t="str">
        <f>S158&amp;".1"</f>
        <v>1.9.1.1.1</v>
      </c>
      <c r="J159" s="3885"/>
      <c r="K159" s="3885"/>
      <c r="L159" s="3888" t="s">
        <v>558</v>
      </c>
      <c r="M159" s="3815"/>
      <c r="N159" s="3900"/>
      <c r="O159" s="3900"/>
      <c r="P159" s="3901">
        <v>1</v>
      </c>
      <c r="Q159" s="3901"/>
      <c r="R159" s="3902"/>
      <c r="S159" s="3893" t="str">
        <f>$I159</f>
        <v>1.9.1.1.1</v>
      </c>
      <c r="T159" s="3903" t="s">
        <v>559</v>
      </c>
      <c r="U159" s="3895"/>
      <c r="V159" s="3779"/>
      <c r="W159" s="3780"/>
      <c r="X159" s="3780"/>
      <c r="Y159" s="3780"/>
      <c r="Z159" s="3780"/>
      <c r="AA159" s="3780"/>
      <c r="AB159" s="3780"/>
      <c r="AC159" s="3781"/>
      <c r="AD159" s="3779" t="s">
        <v>601</v>
      </c>
      <c r="AE159" s="3780"/>
      <c r="AF159" s="3780"/>
      <c r="AG159" s="3780"/>
      <c r="AH159" s="3780"/>
      <c r="AI159" s="3780"/>
      <c r="AJ159" s="3780"/>
      <c r="AK159" s="3780"/>
      <c r="AL159" s="3779"/>
      <c r="AM159" s="3780"/>
      <c r="AN159" s="3780"/>
      <c r="AO159" s="3780"/>
      <c r="AP159" s="3780"/>
      <c r="AQ159" s="3780"/>
      <c r="AR159" s="3780"/>
      <c r="AS159" s="3781"/>
      <c r="AT159" s="3781"/>
      <c r="AU159" s="3896" t="s">
        <v>560</v>
      </c>
      <c r="AV159" s="3823"/>
      <c r="AW159" s="3897"/>
      <c r="AX159" s="3897" t="str">
        <f>IF(T159="","",T159)</f>
        <v>Схема подключения теплопотребляющей установки к коллектору источника тепловой энергии</v>
      </c>
      <c r="AY159" s="3897"/>
      <c r="AZ159" s="3897"/>
      <c r="BA159" s="3775">
        <v>0</v>
      </c>
    </row>
    <row s="10115" customFormat="1" customHeight="1" ht="21">
      <c r="A160" s="3885"/>
      <c r="B160" s="3885"/>
      <c r="C160" s="3885"/>
      <c r="D160" s="3885"/>
      <c r="E160" s="3886"/>
      <c r="F160" s="3886" t="s">
        <v>134</v>
      </c>
      <c r="G160" s="3886"/>
      <c r="H160" s="3886"/>
      <c r="I160" s="3905"/>
      <c r="J160" s="3899" t="str">
        <f>I159&amp;".1"</f>
        <v>1.9.1.1.1.1</v>
      </c>
      <c r="K160" s="3885"/>
      <c r="L160" s="3888" t="s">
        <v>561</v>
      </c>
      <c r="M160" s="3815"/>
      <c r="N160" s="3815"/>
      <c r="O160" s="3900"/>
      <c r="P160" s="3901"/>
      <c r="Q160" s="3901">
        <v>1</v>
      </c>
      <c r="R160" s="3906"/>
      <c r="S160" s="3893" t="str">
        <f>$J160</f>
        <v>1.9.1.1.1.1</v>
      </c>
      <c r="T160" s="3907" t="s">
        <v>562</v>
      </c>
      <c r="U160" s="3895"/>
      <c r="V160" s="3779"/>
      <c r="W160" s="3780"/>
      <c r="X160" s="3780"/>
      <c r="Y160" s="3780"/>
      <c r="Z160" s="3780"/>
      <c r="AA160" s="3780"/>
      <c r="AB160" s="3780"/>
      <c r="AC160" s="3781"/>
      <c r="AD160" s="3779" t="s">
        <v>602</v>
      </c>
      <c r="AE160" s="3780"/>
      <c r="AF160" s="3780"/>
      <c r="AG160" s="3780"/>
      <c r="AH160" s="3780"/>
      <c r="AI160" s="3780"/>
      <c r="AJ160" s="3780"/>
      <c r="AK160" s="3780"/>
      <c r="AL160" s="3779"/>
      <c r="AM160" s="3780"/>
      <c r="AN160" s="3780"/>
      <c r="AO160" s="3780"/>
      <c r="AP160" s="3780"/>
      <c r="AQ160" s="3780"/>
      <c r="AR160" s="3780"/>
      <c r="AS160" s="3781"/>
      <c r="AT160" s="3781"/>
      <c r="AU160" s="3896" t="s">
        <v>563</v>
      </c>
      <c r="AV160" s="3823"/>
      <c r="AW160" s="3897"/>
      <c r="AX160" s="3897" t="str">
        <f>IF(T160="","",T160)</f>
        <v>Группа потребителей</v>
      </c>
      <c r="AY160" s="3897"/>
      <c r="AZ160" s="3897"/>
      <c r="BA160" s="3775">
        <v>0</v>
      </c>
    </row>
    <row s="10116" customFormat="1" customHeight="1" ht="21">
      <c r="A161" s="3885"/>
      <c r="B161" s="3885"/>
      <c r="C161" s="3885"/>
      <c r="D161" s="3885"/>
      <c r="E161" s="3886"/>
      <c r="F161" s="3886" t="s">
        <v>134</v>
      </c>
      <c r="G161" s="3886"/>
      <c r="H161" s="3886"/>
      <c r="I161" s="3905"/>
      <c r="J161" s="3905"/>
      <c r="K161" s="3899" t="str">
        <f>J160&amp;".1"</f>
        <v>1.9.1.1.1.1.1</v>
      </c>
      <c r="L161" s="3888" t="s">
        <v>564</v>
      </c>
      <c r="M161" s="3815"/>
      <c r="N161" s="3815"/>
      <c r="O161" s="3815"/>
      <c r="P161" s="3901"/>
      <c r="Q161" s="3901"/>
      <c r="R161" s="3906">
        <v>1</v>
      </c>
      <c r="S161" s="3893" t="str">
        <f>$K161</f>
        <v>1.9.1.1.1.1.1</v>
      </c>
      <c r="T161" s="3909" t="s">
        <v>603</v>
      </c>
      <c r="U161" s="3895"/>
      <c r="V161" s="3855"/>
      <c r="W161" s="3855"/>
      <c r="X161" s="3855"/>
      <c r="Y161" s="3856"/>
      <c r="Z161" s="3857"/>
      <c r="AA161" s="3858" t="s">
        <v>63</v>
      </c>
      <c r="AB161" s="3857"/>
      <c r="AC161" s="3858" t="s">
        <v>63</v>
      </c>
      <c r="AD161" s="3783"/>
      <c r="AE161" s="3784">
        <v>705.55</v>
      </c>
      <c r="AF161" s="3783"/>
      <c r="AG161" s="3785"/>
      <c r="AH161" s="3786">
        <v>45658</v>
      </c>
      <c r="AI161" s="3191" t="s">
        <v>63</v>
      </c>
      <c r="AJ161" s="3786">
        <v>46022</v>
      </c>
      <c r="AK161" s="3191" t="s">
        <v>19</v>
      </c>
      <c r="AL161" s="3855"/>
      <c r="AM161" s="3855"/>
      <c r="AN161" s="3855"/>
      <c r="AO161" s="3856"/>
      <c r="AP161" s="3857"/>
      <c r="AQ161" s="3858" t="s">
        <v>63</v>
      </c>
      <c r="AR161" s="3857"/>
      <c r="AS161" s="3858" t="s">
        <v>63</v>
      </c>
      <c r="AT161" s="3783"/>
      <c r="AU161" s="3910" t="s">
        <v>565</v>
      </c>
      <c r="AV161" s="3823">
        <f>STRCHECKDATE(V162:AT162)</f>
      </c>
      <c r="AW161" s="3897"/>
      <c r="AX161" s="3897" t="str">
        <f>IF(T161="","",T161)</f>
        <v>вода</v>
      </c>
      <c r="AY161" s="3897"/>
      <c r="AZ161" s="3897"/>
      <c r="BA161" s="3775">
        <v>0</v>
      </c>
    </row>
    <row s="10117" customFormat="1" customHeight="1" ht="0.75">
      <c r="A162" s="3885"/>
      <c r="B162" s="3885"/>
      <c r="C162" s="3885"/>
      <c r="D162" s="3885"/>
      <c r="E162" s="3886"/>
      <c r="F162" s="3886" t="s">
        <v>134</v>
      </c>
      <c r="G162" s="3886"/>
      <c r="H162" s="3886"/>
      <c r="I162" s="3905"/>
      <c r="J162" s="3905"/>
      <c r="K162" s="3899"/>
      <c r="L162" s="3888"/>
      <c r="M162" s="3815"/>
      <c r="N162" s="3815"/>
      <c r="O162" s="3815"/>
      <c r="P162" s="3901"/>
      <c r="Q162" s="3901"/>
      <c r="R162" s="3906"/>
      <c r="S162" s="3912"/>
      <c r="T162" s="3895"/>
      <c r="U162" s="3895"/>
      <c r="V162" s="3855"/>
      <c r="W162" s="3855"/>
      <c r="X162" s="3855"/>
      <c r="Y162" s="3787" t="str">
        <f>Z161&amp;"-"&amp;AB161</f>
        <v>-</v>
      </c>
      <c r="Z162" s="3858"/>
      <c r="AA162" s="3858"/>
      <c r="AB162" s="3858"/>
      <c r="AC162" s="3858"/>
      <c r="AD162" s="3783"/>
      <c r="AE162" s="3783"/>
      <c r="AF162" s="3783"/>
      <c r="AG162" s="3787" t="str">
        <f>AH161&amp;"-"&amp;AJ161</f>
        <v>45658-46022</v>
      </c>
      <c r="AH162" s="3788"/>
      <c r="AI162" s="3191"/>
      <c r="AJ162" s="3788"/>
      <c r="AK162" s="3191"/>
      <c r="AL162" s="3855"/>
      <c r="AM162" s="3855"/>
      <c r="AN162" s="3855"/>
      <c r="AO162" s="3787" t="str">
        <f>AP161&amp;"-"&amp;AR161</f>
        <v>-</v>
      </c>
      <c r="AP162" s="3858"/>
      <c r="AQ162" s="3858"/>
      <c r="AR162" s="3858"/>
      <c r="AS162" s="3858"/>
      <c r="AT162" s="3783"/>
      <c r="AU162" s="3913"/>
      <c r="AV162" s="3823"/>
      <c r="AW162" s="3897"/>
      <c r="AX162" s="3897" t="str">
        <f>IF(T162="","",T162)</f>
        <v/>
      </c>
      <c r="AY162" s="3897"/>
      <c r="AZ162" s="3897"/>
      <c r="BA162" s="3775">
        <v>0</v>
      </c>
    </row>
    <row s="10118" customFormat="1" customHeight="1" ht="15">
      <c r="A163" s="3885"/>
      <c r="B163" s="3885"/>
      <c r="C163" s="3885"/>
      <c r="D163" s="3885"/>
      <c r="E163" s="3886"/>
      <c r="F163" s="3886" t="s">
        <v>134</v>
      </c>
      <c r="G163" s="3886"/>
      <c r="H163" s="3886"/>
      <c r="I163" s="3905"/>
      <c r="J163" s="3899"/>
      <c r="K163" s="3885"/>
      <c r="L163" s="3888"/>
      <c r="M163" s="3815"/>
      <c r="N163" s="3815"/>
      <c r="O163" s="3900"/>
      <c r="P163" s="3901"/>
      <c r="Q163" s="3901"/>
      <c r="R163" s="3902"/>
      <c r="S163" s="4808"/>
      <c r="T163" s="4809" t="s">
        <v>566</v>
      </c>
      <c r="U163" s="4810"/>
      <c r="V163" s="4811"/>
      <c r="W163" s="4812"/>
      <c r="X163" s="4813"/>
      <c r="Y163" s="4814"/>
      <c r="Z163" s="4815"/>
      <c r="AA163" s="4816"/>
      <c r="AB163" s="4817"/>
      <c r="AC163" s="4818"/>
      <c r="AD163" s="4819"/>
      <c r="AE163" s="4820"/>
      <c r="AF163" s="4821"/>
      <c r="AG163" s="4822"/>
      <c r="AH163" s="4823"/>
      <c r="AI163" s="4824"/>
      <c r="AJ163" s="4825"/>
      <c r="AK163" s="4826"/>
      <c r="AL163" s="4827"/>
      <c r="AM163" s="4828"/>
      <c r="AN163" s="4829"/>
      <c r="AO163" s="4830"/>
      <c r="AP163" s="4831"/>
      <c r="AQ163" s="4832"/>
      <c r="AR163" s="4833"/>
      <c r="AS163" s="4834"/>
      <c r="AT163" s="4835"/>
      <c r="AU163" s="3943"/>
      <c r="AV163" s="3823"/>
      <c r="AW163" s="3897"/>
      <c r="AX163" s="3897" t="str">
        <f>IF(T163="","",T163)</f>
        <v>Добавить вид теплоносителя (параметры теплоносителя)</v>
      </c>
      <c r="AY163" s="3897"/>
      <c r="AZ163" s="3897"/>
      <c r="BA163" s="3775">
        <v>0</v>
      </c>
    </row>
    <row s="10147" customFormat="1" customHeight="1" ht="15">
      <c r="A164" s="3885"/>
      <c r="B164" s="3885"/>
      <c r="C164" s="3885"/>
      <c r="D164" s="3885"/>
      <c r="E164" s="3886"/>
      <c r="F164" s="3886" t="s">
        <v>134</v>
      </c>
      <c r="G164" s="3886"/>
      <c r="H164" s="3886"/>
      <c r="I164" s="3899"/>
      <c r="J164" s="3885"/>
      <c r="K164" s="3885"/>
      <c r="L164" s="3888"/>
      <c r="M164" s="3815"/>
      <c r="N164" s="3900"/>
      <c r="O164" s="3900"/>
      <c r="P164" s="3901"/>
      <c r="Q164" s="3901"/>
      <c r="R164" s="3902"/>
      <c r="S164" s="4837"/>
      <c r="T164" s="4838" t="s">
        <v>567</v>
      </c>
      <c r="U164" s="4839"/>
      <c r="V164" s="4840"/>
      <c r="W164" s="4841"/>
      <c r="X164" s="4842"/>
      <c r="Y164" s="4843"/>
      <c r="Z164" s="4844"/>
      <c r="AA164" s="4845"/>
      <c r="AB164" s="4846"/>
      <c r="AC164" s="4847"/>
      <c r="AD164" s="4848"/>
      <c r="AE164" s="4849"/>
      <c r="AF164" s="4850"/>
      <c r="AG164" s="4851"/>
      <c r="AH164" s="4852"/>
      <c r="AI164" s="4853"/>
      <c r="AJ164" s="4854"/>
      <c r="AK164" s="4855"/>
      <c r="AL164" s="4856"/>
      <c r="AM164" s="4857"/>
      <c r="AN164" s="4858"/>
      <c r="AO164" s="4859"/>
      <c r="AP164" s="4860"/>
      <c r="AQ164" s="4861"/>
      <c r="AR164" s="4862"/>
      <c r="AS164" s="4863"/>
      <c r="AT164" s="4864"/>
      <c r="AU164" s="4865"/>
      <c r="AV164" s="3823"/>
      <c r="AW164" s="3897"/>
      <c r="AX164" s="3897" t="str">
        <f>IF(T164="","",T164)</f>
        <v>Добавить группу потребителей</v>
      </c>
      <c r="AY164" s="3897"/>
      <c r="AZ164" s="3897"/>
      <c r="BA164" s="3775">
        <v>0</v>
      </c>
    </row>
    <row s="10177" customFormat="1" customHeight="1" ht="14.25">
      <c r="A165" s="3885"/>
      <c r="B165" s="3885"/>
      <c r="C165" s="3885"/>
      <c r="D165" s="3885"/>
      <c r="E165" s="3886"/>
      <c r="F165" s="3886" t="s">
        <v>134</v>
      </c>
      <c r="G165" s="3886"/>
      <c r="H165" s="3887"/>
      <c r="I165" s="3885"/>
      <c r="J165" s="3885"/>
      <c r="K165" s="3885"/>
      <c r="L165" s="3888"/>
      <c r="M165" s="3889"/>
      <c r="N165" s="3889"/>
      <c r="O165" s="3815"/>
      <c r="P165" s="3975"/>
      <c r="Q165" s="3976"/>
      <c r="R165" s="3977"/>
      <c r="S165" s="4867"/>
      <c r="T165" s="4868" t="s">
        <v>568</v>
      </c>
      <c r="U165" s="4869"/>
      <c r="V165" s="4870"/>
      <c r="W165" s="4871"/>
      <c r="X165" s="4872"/>
      <c r="Y165" s="4873"/>
      <c r="Z165" s="4874"/>
      <c r="AA165" s="4875"/>
      <c r="AB165" s="4876"/>
      <c r="AC165" s="4877"/>
      <c r="AD165" s="4878"/>
      <c r="AE165" s="4879"/>
      <c r="AF165" s="4880"/>
      <c r="AG165" s="4881"/>
      <c r="AH165" s="4882"/>
      <c r="AI165" s="4883"/>
      <c r="AJ165" s="4884"/>
      <c r="AK165" s="4885"/>
      <c r="AL165" s="4886"/>
      <c r="AM165" s="4887"/>
      <c r="AN165" s="4888"/>
      <c r="AO165" s="4889"/>
      <c r="AP165" s="4890"/>
      <c r="AQ165" s="4891"/>
      <c r="AR165" s="4892"/>
      <c r="AS165" s="4893"/>
      <c r="AT165" s="4894"/>
      <c r="AU165" s="4895"/>
      <c r="AV165" s="3823"/>
      <c r="AW165" s="3897"/>
      <c r="AX165" s="3897" t="str">
        <f>IF(T165="","",T165)</f>
        <v>Добавить схему подключения</v>
      </c>
      <c r="AY165" s="3897"/>
      <c r="AZ165" s="3897"/>
      <c r="BA165" s="3775">
        <v>0</v>
      </c>
    </row>
    <row s="10207" customFormat="1" customHeight="1" ht="21">
      <c r="A166" s="3885"/>
      <c r="B166" s="3885"/>
      <c r="C166" s="3885"/>
      <c r="D166" s="3885" t="s">
        <v>305</v>
      </c>
      <c r="E166" s="3886"/>
      <c r="F166" s="3886"/>
      <c r="G166" s="3886"/>
      <c r="H166" s="3887" t="s">
        <v>105</v>
      </c>
      <c r="I166" s="3885"/>
      <c r="J166" s="3885"/>
      <c r="K166" s="3885"/>
      <c r="L166" s="3888"/>
      <c r="M166" s="3889"/>
      <c r="N166" s="3889"/>
      <c r="O166" s="3889"/>
      <c r="P166" s="3890"/>
      <c r="Q166" s="3891"/>
      <c r="R166" s="3892"/>
      <c r="S166" s="3893" t="str">
        <f>INDEX(PT_DIFFERENTIATION_NUM_IST_TE,MATCH(D166,PT_DIFFERENTIATION_IST_TE_ID,0))</f>
        <v>1.9.1.2</v>
      </c>
      <c r="T166" s="3894" t="s">
        <v>556</v>
      </c>
      <c r="U166" s="3895"/>
      <c r="V166" s="3776"/>
      <c r="W166" s="3777"/>
      <c r="X166" s="3777"/>
      <c r="Y166" s="3777"/>
      <c r="Z166" s="3777"/>
      <c r="AA166" s="3777"/>
      <c r="AB166" s="3777"/>
      <c r="AC166" s="3778"/>
      <c r="AD166" s="3776" t="str">
        <f>INDEX(PT_DIFFERENTIATION_IST_TE,MATCH(D166,PT_DIFFERENTIATION_IST_TE_ID,0))</f>
        <v>Муниципальный округ город Оленегорск с подведомственной территорией Мурманской области (нп Высокий)</v>
      </c>
      <c r="AE166" s="3777"/>
      <c r="AF166" s="3777"/>
      <c r="AG166" s="3777"/>
      <c r="AH166" s="3777"/>
      <c r="AI166" s="3777"/>
      <c r="AJ166" s="3777"/>
      <c r="AK166" s="3777"/>
      <c r="AL166" s="3776"/>
      <c r="AM166" s="3777"/>
      <c r="AN166" s="3777"/>
      <c r="AO166" s="3777"/>
      <c r="AP166" s="3777"/>
      <c r="AQ166" s="3777"/>
      <c r="AR166" s="3777"/>
      <c r="AS166" s="3778"/>
      <c r="AT166" s="3778"/>
      <c r="AU166" s="3896" t="s">
        <v>557</v>
      </c>
      <c r="AV166" s="3823"/>
      <c r="AW166" s="3897"/>
      <c r="AX166" s="3897" t="str">
        <f>IF(T166="","",T166)</f>
        <v>Источник тепловой энергии  </v>
      </c>
      <c r="AY166" s="3897"/>
      <c r="AZ166" s="3897"/>
      <c r="BA166" s="3775">
        <v>0</v>
      </c>
    </row>
    <row s="10208" customFormat="1" customHeight="1" ht="47.25">
      <c r="A167" s="3885"/>
      <c r="B167" s="3885"/>
      <c r="C167" s="3885"/>
      <c r="D167" s="3885"/>
      <c r="E167" s="3886"/>
      <c r="F167" s="3886"/>
      <c r="G167" s="3886"/>
      <c r="H167" s="3886">
        <v>1</v>
      </c>
      <c r="I167" s="3899" t="str">
        <f>S166&amp;".1"</f>
        <v>1.9.1.2.1</v>
      </c>
      <c r="J167" s="3885"/>
      <c r="K167" s="3885"/>
      <c r="L167" s="3888" t="s">
        <v>558</v>
      </c>
      <c r="M167" s="3815"/>
      <c r="N167" s="3900"/>
      <c r="O167" s="3900"/>
      <c r="P167" s="3901">
        <v>1</v>
      </c>
      <c r="Q167" s="3901"/>
      <c r="R167" s="3902"/>
      <c r="S167" s="3893" t="str">
        <f>$I167</f>
        <v>1.9.1.2.1</v>
      </c>
      <c r="T167" s="3903" t="s">
        <v>559</v>
      </c>
      <c r="U167" s="3895"/>
      <c r="V167" s="3779"/>
      <c r="W167" s="3780"/>
      <c r="X167" s="3780"/>
      <c r="Y167" s="3780"/>
      <c r="Z167" s="3780"/>
      <c r="AA167" s="3780"/>
      <c r="AB167" s="3780"/>
      <c r="AC167" s="3781"/>
      <c r="AD167" s="3779" t="s">
        <v>601</v>
      </c>
      <c r="AE167" s="3780"/>
      <c r="AF167" s="3780"/>
      <c r="AG167" s="3780"/>
      <c r="AH167" s="3780"/>
      <c r="AI167" s="3780"/>
      <c r="AJ167" s="3780"/>
      <c r="AK167" s="3780"/>
      <c r="AL167" s="3779"/>
      <c r="AM167" s="3780"/>
      <c r="AN167" s="3780"/>
      <c r="AO167" s="3780"/>
      <c r="AP167" s="3780"/>
      <c r="AQ167" s="3780"/>
      <c r="AR167" s="3780"/>
      <c r="AS167" s="3781"/>
      <c r="AT167" s="3781"/>
      <c r="AU167" s="3896" t="s">
        <v>560</v>
      </c>
      <c r="AV167" s="3823"/>
      <c r="AW167" s="3897"/>
      <c r="AX167" s="3897" t="str">
        <f>IF(T167="","",T167)</f>
        <v>Схема подключения теплопотребляющей установки к коллектору источника тепловой энергии</v>
      </c>
      <c r="AY167" s="3897"/>
      <c r="AZ167" s="3897"/>
      <c r="BA167" s="3775">
        <v>0</v>
      </c>
    </row>
    <row s="10209" customFormat="1" customHeight="1" ht="21">
      <c r="A168" s="3885"/>
      <c r="B168" s="3885"/>
      <c r="C168" s="3885"/>
      <c r="D168" s="3885"/>
      <c r="E168" s="3886"/>
      <c r="F168" s="3886"/>
      <c r="G168" s="3886"/>
      <c r="H168" s="3886">
        <v>1</v>
      </c>
      <c r="I168" s="3905"/>
      <c r="J168" s="3899" t="str">
        <f>I167&amp;".1"</f>
        <v>1.9.1.2.1.1</v>
      </c>
      <c r="K168" s="3885"/>
      <c r="L168" s="3888" t="s">
        <v>561</v>
      </c>
      <c r="M168" s="3815"/>
      <c r="N168" s="3815"/>
      <c r="O168" s="3900"/>
      <c r="P168" s="3901"/>
      <c r="Q168" s="3901">
        <v>1</v>
      </c>
      <c r="R168" s="3906"/>
      <c r="S168" s="3893" t="str">
        <f>$J168</f>
        <v>1.9.1.2.1.1</v>
      </c>
      <c r="T168" s="3907" t="s">
        <v>562</v>
      </c>
      <c r="U168" s="3895"/>
      <c r="V168" s="3779"/>
      <c r="W168" s="3780"/>
      <c r="X168" s="3780"/>
      <c r="Y168" s="3780"/>
      <c r="Z168" s="3780"/>
      <c r="AA168" s="3780"/>
      <c r="AB168" s="3780"/>
      <c r="AC168" s="3781"/>
      <c r="AD168" s="3779" t="s">
        <v>602</v>
      </c>
      <c r="AE168" s="3780"/>
      <c r="AF168" s="3780"/>
      <c r="AG168" s="3780"/>
      <c r="AH168" s="3780"/>
      <c r="AI168" s="3780"/>
      <c r="AJ168" s="3780"/>
      <c r="AK168" s="3780"/>
      <c r="AL168" s="3779"/>
      <c r="AM168" s="3780"/>
      <c r="AN168" s="3780"/>
      <c r="AO168" s="3780"/>
      <c r="AP168" s="3780"/>
      <c r="AQ168" s="3780"/>
      <c r="AR168" s="3780"/>
      <c r="AS168" s="3781"/>
      <c r="AT168" s="3781"/>
      <c r="AU168" s="3896" t="s">
        <v>563</v>
      </c>
      <c r="AV168" s="3823"/>
      <c r="AW168" s="3897"/>
      <c r="AX168" s="3897" t="str">
        <f>IF(T168="","",T168)</f>
        <v>Группа потребителей</v>
      </c>
      <c r="AY168" s="3897"/>
      <c r="AZ168" s="3897"/>
      <c r="BA168" s="3775">
        <v>0</v>
      </c>
    </row>
    <row s="10210" customFormat="1" customHeight="1" ht="21">
      <c r="A169" s="3885"/>
      <c r="B169" s="3885"/>
      <c r="C169" s="3885"/>
      <c r="D169" s="3885"/>
      <c r="E169" s="3886"/>
      <c r="F169" s="3886"/>
      <c r="G169" s="3886"/>
      <c r="H169" s="3886">
        <v>1</v>
      </c>
      <c r="I169" s="3905"/>
      <c r="J169" s="3905"/>
      <c r="K169" s="3899" t="str">
        <f>J168&amp;".1"</f>
        <v>1.9.1.2.1.1.1</v>
      </c>
      <c r="L169" s="3888" t="s">
        <v>564</v>
      </c>
      <c r="M169" s="3815"/>
      <c r="N169" s="3815"/>
      <c r="O169" s="3815"/>
      <c r="P169" s="3901"/>
      <c r="Q169" s="3901"/>
      <c r="R169" s="3906">
        <v>1</v>
      </c>
      <c r="S169" s="3893" t="str">
        <f>$K169</f>
        <v>1.9.1.2.1.1.1</v>
      </c>
      <c r="T169" s="3909" t="s">
        <v>603</v>
      </c>
      <c r="U169" s="3895"/>
      <c r="V169" s="3855"/>
      <c r="W169" s="3855"/>
      <c r="X169" s="3855"/>
      <c r="Y169" s="3856"/>
      <c r="Z169" s="3857"/>
      <c r="AA169" s="3858" t="s">
        <v>63</v>
      </c>
      <c r="AB169" s="3857"/>
      <c r="AC169" s="3858" t="s">
        <v>63</v>
      </c>
      <c r="AD169" s="3783"/>
      <c r="AE169" s="3784">
        <v>705.55</v>
      </c>
      <c r="AF169" s="3783"/>
      <c r="AG169" s="3785"/>
      <c r="AH169" s="3786">
        <v>45658</v>
      </c>
      <c r="AI169" s="3191" t="s">
        <v>63</v>
      </c>
      <c r="AJ169" s="3786">
        <v>46022</v>
      </c>
      <c r="AK169" s="3191" t="s">
        <v>19</v>
      </c>
      <c r="AL169" s="3855"/>
      <c r="AM169" s="3855"/>
      <c r="AN169" s="3855"/>
      <c r="AO169" s="3856"/>
      <c r="AP169" s="3857"/>
      <c r="AQ169" s="3858" t="s">
        <v>63</v>
      </c>
      <c r="AR169" s="3857"/>
      <c r="AS169" s="3858" t="s">
        <v>63</v>
      </c>
      <c r="AT169" s="3783"/>
      <c r="AU169" s="3910" t="s">
        <v>565</v>
      </c>
      <c r="AV169" s="3823">
        <f>STRCHECKDATE(V170:AT170)</f>
      </c>
      <c r="AW169" s="3897"/>
      <c r="AX169" s="3897" t="str">
        <f>IF(T169="","",T169)</f>
        <v>вода</v>
      </c>
      <c r="AY169" s="3897"/>
      <c r="AZ169" s="3897"/>
      <c r="BA169" s="3775">
        <v>0</v>
      </c>
    </row>
    <row s="10211" customFormat="1" customHeight="1" ht="0.75">
      <c r="A170" s="3885"/>
      <c r="B170" s="3885"/>
      <c r="C170" s="3885"/>
      <c r="D170" s="3885"/>
      <c r="E170" s="3886"/>
      <c r="F170" s="3886"/>
      <c r="G170" s="3886"/>
      <c r="H170" s="3886">
        <v>1</v>
      </c>
      <c r="I170" s="3905"/>
      <c r="J170" s="3905"/>
      <c r="K170" s="3899"/>
      <c r="L170" s="3888"/>
      <c r="M170" s="3815"/>
      <c r="N170" s="3815"/>
      <c r="O170" s="3815"/>
      <c r="P170" s="3901"/>
      <c r="Q170" s="3901"/>
      <c r="R170" s="3906"/>
      <c r="S170" s="3912"/>
      <c r="T170" s="3895"/>
      <c r="U170" s="3895"/>
      <c r="V170" s="3855"/>
      <c r="W170" s="3855"/>
      <c r="X170" s="3855"/>
      <c r="Y170" s="3787" t="str">
        <f>Z169&amp;"-"&amp;AB169</f>
        <v>-</v>
      </c>
      <c r="Z170" s="3858"/>
      <c r="AA170" s="3858"/>
      <c r="AB170" s="3858"/>
      <c r="AC170" s="3858"/>
      <c r="AD170" s="3783"/>
      <c r="AE170" s="3783"/>
      <c r="AF170" s="3783"/>
      <c r="AG170" s="3787" t="str">
        <f>AH169&amp;"-"&amp;AJ169</f>
        <v>45658-46022</v>
      </c>
      <c r="AH170" s="3788"/>
      <c r="AI170" s="3191"/>
      <c r="AJ170" s="3788"/>
      <c r="AK170" s="3191"/>
      <c r="AL170" s="3855"/>
      <c r="AM170" s="3855"/>
      <c r="AN170" s="3855"/>
      <c r="AO170" s="3787" t="str">
        <f>AP169&amp;"-"&amp;AR169</f>
        <v>-</v>
      </c>
      <c r="AP170" s="3858"/>
      <c r="AQ170" s="3858"/>
      <c r="AR170" s="3858"/>
      <c r="AS170" s="3858"/>
      <c r="AT170" s="3783"/>
      <c r="AU170" s="3913"/>
      <c r="AV170" s="3823"/>
      <c r="AW170" s="3897"/>
      <c r="AX170" s="3897" t="str">
        <f>IF(T170="","",T170)</f>
        <v/>
      </c>
      <c r="AY170" s="3897"/>
      <c r="AZ170" s="3897"/>
      <c r="BA170" s="3775">
        <v>0</v>
      </c>
    </row>
    <row s="10212" customFormat="1" customHeight="1" ht="15">
      <c r="A171" s="3885"/>
      <c r="B171" s="3885"/>
      <c r="C171" s="3885"/>
      <c r="D171" s="3885"/>
      <c r="E171" s="3886"/>
      <c r="F171" s="3886"/>
      <c r="G171" s="3886"/>
      <c r="H171" s="3886">
        <v>1</v>
      </c>
      <c r="I171" s="3905"/>
      <c r="J171" s="3899"/>
      <c r="K171" s="3885"/>
      <c r="L171" s="3888"/>
      <c r="M171" s="3815"/>
      <c r="N171" s="3815"/>
      <c r="O171" s="3900"/>
      <c r="P171" s="3901"/>
      <c r="Q171" s="3901"/>
      <c r="R171" s="3902"/>
      <c r="S171" s="4902"/>
      <c r="T171" s="4903" t="s">
        <v>566</v>
      </c>
      <c r="U171" s="4904"/>
      <c r="V171" s="4905"/>
      <c r="W171" s="4906"/>
      <c r="X171" s="4907"/>
      <c r="Y171" s="4908"/>
      <c r="Z171" s="4909"/>
      <c r="AA171" s="4910"/>
      <c r="AB171" s="4911"/>
      <c r="AC171" s="4912"/>
      <c r="AD171" s="4913"/>
      <c r="AE171" s="4914"/>
      <c r="AF171" s="4915"/>
      <c r="AG171" s="4916"/>
      <c r="AH171" s="4917"/>
      <c r="AI171" s="4918"/>
      <c r="AJ171" s="4919"/>
      <c r="AK171" s="4920"/>
      <c r="AL171" s="4921"/>
      <c r="AM171" s="4922"/>
      <c r="AN171" s="4923"/>
      <c r="AO171" s="4924"/>
      <c r="AP171" s="4925"/>
      <c r="AQ171" s="4926"/>
      <c r="AR171" s="4927"/>
      <c r="AS171" s="4928"/>
      <c r="AT171" s="4929"/>
      <c r="AU171" s="3943"/>
      <c r="AV171" s="3823"/>
      <c r="AW171" s="3897"/>
      <c r="AX171" s="3897" t="str">
        <f>IF(T171="","",T171)</f>
        <v>Добавить вид теплоносителя (параметры теплоносителя)</v>
      </c>
      <c r="AY171" s="3897"/>
      <c r="AZ171" s="3897"/>
      <c r="BA171" s="3775">
        <v>0</v>
      </c>
    </row>
    <row s="10241" customFormat="1" customHeight="1" ht="15">
      <c r="A172" s="3885"/>
      <c r="B172" s="3885"/>
      <c r="C172" s="3885"/>
      <c r="D172" s="3885"/>
      <c r="E172" s="3886"/>
      <c r="F172" s="3886"/>
      <c r="G172" s="3886"/>
      <c r="H172" s="3886">
        <v>1</v>
      </c>
      <c r="I172" s="3899"/>
      <c r="J172" s="3885"/>
      <c r="K172" s="3885"/>
      <c r="L172" s="3888"/>
      <c r="M172" s="3815"/>
      <c r="N172" s="3900"/>
      <c r="O172" s="3900"/>
      <c r="P172" s="3901"/>
      <c r="Q172" s="3901"/>
      <c r="R172" s="3902"/>
      <c r="S172" s="4931"/>
      <c r="T172" s="4932" t="s">
        <v>567</v>
      </c>
      <c r="U172" s="4933"/>
      <c r="V172" s="4934"/>
      <c r="W172" s="4935"/>
      <c r="X172" s="4936"/>
      <c r="Y172" s="4937"/>
      <c r="Z172" s="4938"/>
      <c r="AA172" s="4939"/>
      <c r="AB172" s="4940"/>
      <c r="AC172" s="4941"/>
      <c r="AD172" s="4942"/>
      <c r="AE172" s="4943"/>
      <c r="AF172" s="4944"/>
      <c r="AG172" s="4945"/>
      <c r="AH172" s="4946"/>
      <c r="AI172" s="4947"/>
      <c r="AJ172" s="4948"/>
      <c r="AK172" s="4949"/>
      <c r="AL172" s="4950"/>
      <c r="AM172" s="4951"/>
      <c r="AN172" s="4952"/>
      <c r="AO172" s="4953"/>
      <c r="AP172" s="4954"/>
      <c r="AQ172" s="4955"/>
      <c r="AR172" s="4956"/>
      <c r="AS172" s="4957"/>
      <c r="AT172" s="4958"/>
      <c r="AU172" s="4959"/>
      <c r="AV172" s="3823"/>
      <c r="AW172" s="3897"/>
      <c r="AX172" s="3897" t="str">
        <f>IF(T172="","",T172)</f>
        <v>Добавить группу потребителей</v>
      </c>
      <c r="AY172" s="3897"/>
      <c r="AZ172" s="3897"/>
      <c r="BA172" s="3775">
        <v>0</v>
      </c>
    </row>
    <row s="10271" customFormat="1" customHeight="1" ht="14.25">
      <c r="A173" s="3885"/>
      <c r="B173" s="3885"/>
      <c r="C173" s="3885"/>
      <c r="D173" s="3885"/>
      <c r="E173" s="3886"/>
      <c r="F173" s="3886"/>
      <c r="G173" s="3886"/>
      <c r="H173" s="3887">
        <v>1</v>
      </c>
      <c r="I173" s="3885"/>
      <c r="J173" s="3885"/>
      <c r="K173" s="3885"/>
      <c r="L173" s="3888"/>
      <c r="M173" s="3889"/>
      <c r="N173" s="3889"/>
      <c r="O173" s="3815"/>
      <c r="P173" s="3975"/>
      <c r="Q173" s="3976"/>
      <c r="R173" s="3977"/>
      <c r="S173" s="4961"/>
      <c r="T173" s="4962" t="s">
        <v>568</v>
      </c>
      <c r="U173" s="4963"/>
      <c r="V173" s="4964"/>
      <c r="W173" s="4965"/>
      <c r="X173" s="4966"/>
      <c r="Y173" s="4967"/>
      <c r="Z173" s="4968"/>
      <c r="AA173" s="4969"/>
      <c r="AB173" s="4970"/>
      <c r="AC173" s="4971"/>
      <c r="AD173" s="4972"/>
      <c r="AE173" s="4973"/>
      <c r="AF173" s="4974"/>
      <c r="AG173" s="4975"/>
      <c r="AH173" s="4976"/>
      <c r="AI173" s="4977"/>
      <c r="AJ173" s="4978"/>
      <c r="AK173" s="4979"/>
      <c r="AL173" s="4980"/>
      <c r="AM173" s="4981"/>
      <c r="AN173" s="4982"/>
      <c r="AO173" s="4983"/>
      <c r="AP173" s="4984"/>
      <c r="AQ173" s="4985"/>
      <c r="AR173" s="4986"/>
      <c r="AS173" s="4987"/>
      <c r="AT173" s="4988"/>
      <c r="AU173" s="4989"/>
      <c r="AV173" s="3823"/>
      <c r="AW173" s="3897"/>
      <c r="AX173" s="3897" t="str">
        <f>IF(T173="","",T173)</f>
        <v>Добавить схему подключения</v>
      </c>
      <c r="AY173" s="3897"/>
      <c r="AZ173" s="3897"/>
      <c r="BA173" s="3775">
        <v>0</v>
      </c>
    </row>
    <row s="10301" customFormat="1" customHeight="1" ht="0.75">
      <c r="A174" s="4107"/>
      <c r="B174" s="4107"/>
      <c r="C174" s="4107"/>
      <c r="D174" s="4107"/>
      <c r="E174" s="3886"/>
      <c r="F174" s="3886" t="s">
        <v>134</v>
      </c>
      <c r="G174" s="3887"/>
      <c r="H174" s="4107"/>
      <c r="I174" s="4107"/>
      <c r="J174" s="4107"/>
      <c r="K174" s="4107"/>
      <c r="L174" s="4108"/>
      <c r="M174" s="4109"/>
      <c r="N174" s="4109"/>
      <c r="O174" s="3823"/>
      <c r="P174" s="4110"/>
      <c r="Q174" s="4111"/>
      <c r="R174" s="4110"/>
      <c r="S174" s="4112"/>
      <c r="T174" s="4113" t="s">
        <v>273</v>
      </c>
      <c r="U174" s="3813"/>
      <c r="V174" s="3813"/>
      <c r="W174" s="3813"/>
      <c r="X174" s="3813"/>
      <c r="Y174" s="3813"/>
      <c r="Z174" s="3813"/>
      <c r="AA174" s="3813"/>
      <c r="AB174" s="3813"/>
      <c r="AC174" s="3813"/>
      <c r="AD174" s="3813"/>
      <c r="AE174" s="3813"/>
      <c r="AF174" s="3813"/>
      <c r="AG174" s="3813"/>
      <c r="AH174" s="3813"/>
      <c r="AI174" s="3813"/>
      <c r="AJ174" s="3813"/>
      <c r="AK174" s="3813"/>
      <c r="AL174" s="3813"/>
      <c r="AM174" s="3813"/>
      <c r="AN174" s="3813"/>
      <c r="AO174" s="3813"/>
      <c r="AP174" s="3813"/>
      <c r="AQ174" s="3813"/>
      <c r="AR174" s="3813"/>
      <c r="AS174" s="3813"/>
      <c r="AT174" s="3813"/>
      <c r="AU174" s="3813"/>
      <c r="AV174" s="3823"/>
      <c r="AW174" s="3897"/>
      <c r="AX174" s="3897" t="str">
        <f>IF(T174="","",T174)</f>
        <v>Добавить источник для дифференциации</v>
      </c>
      <c r="AY174" s="3897"/>
      <c r="AZ174" s="3897"/>
      <c r="BA174" s="3823">
        <v>0</v>
      </c>
    </row>
    <row s="10302" customFormat="1" customHeight="1" ht="0.75">
      <c r="A175" s="4107"/>
      <c r="B175" s="4107"/>
      <c r="C175" s="4107"/>
      <c r="D175" s="4107"/>
      <c r="E175" s="3886"/>
      <c r="F175" s="3887" t="s">
        <v>134</v>
      </c>
      <c r="G175" s="4107"/>
      <c r="H175" s="4107"/>
      <c r="I175" s="4107"/>
      <c r="J175" s="4107"/>
      <c r="K175" s="4107"/>
      <c r="L175" s="4108"/>
      <c r="M175" s="4115"/>
      <c r="N175" s="4115"/>
      <c r="O175" s="3823"/>
      <c r="P175" s="4110"/>
      <c r="Q175" s="4111"/>
      <c r="R175" s="4110"/>
      <c r="S175" s="4116"/>
      <c r="T175" s="4117" t="s">
        <v>274</v>
      </c>
      <c r="U175" s="3814"/>
      <c r="V175" s="3814"/>
      <c r="W175" s="3814"/>
      <c r="X175" s="3814"/>
      <c r="Y175" s="3814"/>
      <c r="Z175" s="3814"/>
      <c r="AA175" s="3814"/>
      <c r="AB175" s="3814"/>
      <c r="AC175" s="3814"/>
      <c r="AD175" s="3814"/>
      <c r="AE175" s="3814"/>
      <c r="AF175" s="3814"/>
      <c r="AG175" s="3814"/>
      <c r="AH175" s="3814"/>
      <c r="AI175" s="3814"/>
      <c r="AJ175" s="3814"/>
      <c r="AK175" s="3814"/>
      <c r="AL175" s="3814"/>
      <c r="AM175" s="3814"/>
      <c r="AN175" s="3814"/>
      <c r="AO175" s="3814"/>
      <c r="AP175" s="3814"/>
      <c r="AQ175" s="3814"/>
      <c r="AR175" s="3814"/>
      <c r="AS175" s="3814"/>
      <c r="AT175" s="3814"/>
      <c r="AU175" s="3814"/>
      <c r="AV175" s="3823"/>
      <c r="AW175" s="3897"/>
      <c r="AX175" s="3897" t="str">
        <f>IF(T175="","",T175)</f>
        <v>Добавить централизованную систему для дифференциации</v>
      </c>
      <c r="AY175" s="3897"/>
      <c r="AZ175" s="3897"/>
      <c r="BA175" s="3823">
        <v>0</v>
      </c>
    </row>
    <row s="10303" customFormat="1" customHeight="1" ht="21">
      <c r="A176" s="3885"/>
      <c r="B176" s="3885" t="s">
        <v>306</v>
      </c>
      <c r="C176" s="3885"/>
      <c r="D176" s="3885"/>
      <c r="E176" s="3886"/>
      <c r="F176" s="3887" t="s">
        <v>144</v>
      </c>
      <c r="G176" s="3885"/>
      <c r="H176" s="3885"/>
      <c r="I176" s="3885"/>
      <c r="J176" s="3885"/>
      <c r="K176" s="3885"/>
      <c r="L176" s="3888"/>
      <c r="M176" s="3889"/>
      <c r="N176" s="3889"/>
      <c r="O176" s="3889"/>
      <c r="P176" s="4008"/>
      <c r="Q176" s="3891"/>
      <c r="R176" s="3892"/>
      <c r="S176" s="3893" t="str">
        <f>INDEX(PT_DIFFERENTIATION_NUM_TER,MATCH(B176,PT_DIFFERENTIATION_TER_ID,0))</f>
        <v>1.10</v>
      </c>
      <c r="T176" s="4009" t="s">
        <v>552</v>
      </c>
      <c r="U176" s="3895"/>
      <c r="V176" s="3776"/>
      <c r="W176" s="3777"/>
      <c r="X176" s="3777"/>
      <c r="Y176" s="3777"/>
      <c r="Z176" s="3777"/>
      <c r="AA176" s="3777"/>
      <c r="AB176" s="3777"/>
      <c r="AC176" s="3778"/>
      <c r="AD176" s="3776" t="str">
        <f>INDEX(PT_DIFFERENTIATION_TER,MATCH(B176,PT_DIFFERENTIATION_TER_ID,0))</f>
        <v>Территория 10</v>
      </c>
      <c r="AE176" s="3777"/>
      <c r="AF176" s="3777"/>
      <c r="AG176" s="3777"/>
      <c r="AH176" s="3777"/>
      <c r="AI176" s="3777"/>
      <c r="AJ176" s="3777"/>
      <c r="AK176" s="3777"/>
      <c r="AL176" s="3776"/>
      <c r="AM176" s="3777"/>
      <c r="AN176" s="3777"/>
      <c r="AO176" s="3777"/>
      <c r="AP176" s="3777"/>
      <c r="AQ176" s="3777"/>
      <c r="AR176" s="3777"/>
      <c r="AS176" s="3778"/>
      <c r="AT176" s="3778"/>
      <c r="AU176" s="3896" t="s">
        <v>553</v>
      </c>
      <c r="AV176" s="3823"/>
      <c r="AW176" s="3897"/>
      <c r="AX176" s="3897" t="str">
        <f>IF(T176="","",T176)</f>
        <v>Территория действия тарифа</v>
      </c>
      <c r="AY176" s="3897"/>
      <c r="AZ176" s="3897"/>
      <c r="BA176" s="3775">
        <v>0</v>
      </c>
    </row>
    <row s="10304" customFormat="1" customHeight="1" ht="23.25">
      <c r="A177" s="3885"/>
      <c r="B177" s="3885"/>
      <c r="C177" s="3885" t="s">
        <v>307</v>
      </c>
      <c r="D177" s="3885"/>
      <c r="E177" s="3886"/>
      <c r="F177" s="3886" t="s">
        <v>139</v>
      </c>
      <c r="G177" s="3887">
        <v>1</v>
      </c>
      <c r="H177" s="3885"/>
      <c r="I177" s="3885"/>
      <c r="J177" s="3885"/>
      <c r="K177" s="3885"/>
      <c r="L177" s="3888"/>
      <c r="M177" s="3889"/>
      <c r="N177" s="3889"/>
      <c r="O177" s="3889"/>
      <c r="P177" s="3890"/>
      <c r="Q177" s="3891"/>
      <c r="R177" s="3892"/>
      <c r="S177" s="3893" t="str">
        <f>INDEX(PT_DIFFERENTIATION_NUM_CS,MATCH(C177,PT_DIFFERENTIATION_CS_ID,0))</f>
        <v>1.10.1</v>
      </c>
      <c r="T177" s="4011" t="s">
        <v>554</v>
      </c>
      <c r="U177" s="3895"/>
      <c r="V177" s="3776"/>
      <c r="W177" s="3777"/>
      <c r="X177" s="3777"/>
      <c r="Y177" s="3777"/>
      <c r="Z177" s="3777"/>
      <c r="AA177" s="3777"/>
      <c r="AB177" s="3777"/>
      <c r="AC177" s="3778"/>
      <c r="AD177" s="3776" t="str">
        <f>INDEX(PT_DIFFERENTIATION_CS,MATCH(C177,PT_DIFFERENTIATION_CS_ID,0))</f>
        <v>без дифференциации</v>
      </c>
      <c r="AE177" s="3777"/>
      <c r="AF177" s="3777"/>
      <c r="AG177" s="3777"/>
      <c r="AH177" s="3777"/>
      <c r="AI177" s="3777"/>
      <c r="AJ177" s="3777"/>
      <c r="AK177" s="3777"/>
      <c r="AL177" s="3776"/>
      <c r="AM177" s="3777"/>
      <c r="AN177" s="3777"/>
      <c r="AO177" s="3777"/>
      <c r="AP177" s="3777"/>
      <c r="AQ177" s="3777"/>
      <c r="AR177" s="3777"/>
      <c r="AS177" s="3778"/>
      <c r="AT177" s="3778"/>
      <c r="AU177" s="3896" t="s">
        <v>555</v>
      </c>
      <c r="AV177" s="3823"/>
      <c r="AW177" s="3897"/>
      <c r="AX177" s="3897" t="str">
        <f>IF(T177="","",T177)</f>
        <v>Наименование системы теплоснабжения </v>
      </c>
      <c r="AY177" s="3897"/>
      <c r="AZ177" s="3897"/>
      <c r="BA177" s="3775">
        <v>0</v>
      </c>
    </row>
    <row s="10305" customFormat="1" customHeight="1" ht="21">
      <c r="A178" s="3885"/>
      <c r="B178" s="3885"/>
      <c r="C178" s="3885"/>
      <c r="D178" s="3885" t="s">
        <v>308</v>
      </c>
      <c r="E178" s="3886"/>
      <c r="F178" s="3886" t="s">
        <v>139</v>
      </c>
      <c r="G178" s="3886"/>
      <c r="H178" s="3887">
        <v>1</v>
      </c>
      <c r="I178" s="3885"/>
      <c r="J178" s="3885"/>
      <c r="K178" s="3885"/>
      <c r="L178" s="3888"/>
      <c r="M178" s="3889"/>
      <c r="N178" s="3889"/>
      <c r="O178" s="3889"/>
      <c r="P178" s="3890"/>
      <c r="Q178" s="3891"/>
      <c r="R178" s="3892"/>
      <c r="S178" s="3893" t="str">
        <f>INDEX(PT_DIFFERENTIATION_NUM_IST_TE,MATCH(D178,PT_DIFFERENTIATION_IST_TE_ID,0))</f>
        <v>1.10.1.1</v>
      </c>
      <c r="T178" s="3894" t="s">
        <v>556</v>
      </c>
      <c r="U178" s="3895"/>
      <c r="V178" s="3776"/>
      <c r="W178" s="3777"/>
      <c r="X178" s="3777"/>
      <c r="Y178" s="3777"/>
      <c r="Z178" s="3777"/>
      <c r="AA178" s="3777"/>
      <c r="AB178" s="3777"/>
      <c r="AC178" s="3778"/>
      <c r="AD178" s="3776" t="str">
        <f>INDEX(PT_DIFFERENTIATION_IST_TE,MATCH(D178,PT_DIFFERENTIATION_IST_TE_ID,0))</f>
        <v>без дифференциации</v>
      </c>
      <c r="AE178" s="3777"/>
      <c r="AF178" s="3777"/>
      <c r="AG178" s="3777"/>
      <c r="AH178" s="3777"/>
      <c r="AI178" s="3777"/>
      <c r="AJ178" s="3777"/>
      <c r="AK178" s="3777"/>
      <c r="AL178" s="3776"/>
      <c r="AM178" s="3777"/>
      <c r="AN178" s="3777"/>
      <c r="AO178" s="3777"/>
      <c r="AP178" s="3777"/>
      <c r="AQ178" s="3777"/>
      <c r="AR178" s="3777"/>
      <c r="AS178" s="3778"/>
      <c r="AT178" s="3778"/>
      <c r="AU178" s="3896" t="s">
        <v>557</v>
      </c>
      <c r="AV178" s="3823"/>
      <c r="AW178" s="3897"/>
      <c r="AX178" s="3897" t="str">
        <f>IF(T178="","",T178)</f>
        <v>Источник тепловой энергии  </v>
      </c>
      <c r="AY178" s="3897"/>
      <c r="AZ178" s="3897"/>
      <c r="BA178" s="3775">
        <v>0</v>
      </c>
    </row>
    <row s="10306" customFormat="1" customHeight="1" ht="47.25">
      <c r="A179" s="3885"/>
      <c r="B179" s="3885"/>
      <c r="C179" s="3885"/>
      <c r="D179" s="3885"/>
      <c r="E179" s="3886"/>
      <c r="F179" s="3886" t="s">
        <v>139</v>
      </c>
      <c r="G179" s="3886"/>
      <c r="H179" s="3886"/>
      <c r="I179" s="3899" t="str">
        <f>S178&amp;".1"</f>
        <v>1.10.1.1.1</v>
      </c>
      <c r="J179" s="3885"/>
      <c r="K179" s="3885"/>
      <c r="L179" s="3888" t="s">
        <v>558</v>
      </c>
      <c r="M179" s="3815"/>
      <c r="N179" s="3900"/>
      <c r="O179" s="3900"/>
      <c r="P179" s="3901">
        <v>1</v>
      </c>
      <c r="Q179" s="3901"/>
      <c r="R179" s="3902"/>
      <c r="S179" s="3893" t="str">
        <f>$I179</f>
        <v>1.10.1.1.1</v>
      </c>
      <c r="T179" s="3903" t="s">
        <v>559</v>
      </c>
      <c r="U179" s="3895"/>
      <c r="V179" s="3779"/>
      <c r="W179" s="3780"/>
      <c r="X179" s="3780"/>
      <c r="Y179" s="3780"/>
      <c r="Z179" s="3780"/>
      <c r="AA179" s="3780"/>
      <c r="AB179" s="3780"/>
      <c r="AC179" s="3781"/>
      <c r="AD179" s="3779" t="s">
        <v>601</v>
      </c>
      <c r="AE179" s="3780"/>
      <c r="AF179" s="3780"/>
      <c r="AG179" s="3780"/>
      <c r="AH179" s="3780"/>
      <c r="AI179" s="3780"/>
      <c r="AJ179" s="3780"/>
      <c r="AK179" s="3780"/>
      <c r="AL179" s="3779"/>
      <c r="AM179" s="3780"/>
      <c r="AN179" s="3780"/>
      <c r="AO179" s="3780"/>
      <c r="AP179" s="3780"/>
      <c r="AQ179" s="3780"/>
      <c r="AR179" s="3780"/>
      <c r="AS179" s="3781"/>
      <c r="AT179" s="3781"/>
      <c r="AU179" s="3896" t="s">
        <v>560</v>
      </c>
      <c r="AV179" s="3823"/>
      <c r="AW179" s="3897"/>
      <c r="AX179" s="3897" t="str">
        <f>IF(T179="","",T179)</f>
        <v>Схема подключения теплопотребляющей установки к коллектору источника тепловой энергии</v>
      </c>
      <c r="AY179" s="3897"/>
      <c r="AZ179" s="3897"/>
      <c r="BA179" s="3775">
        <v>0</v>
      </c>
    </row>
    <row s="10307" customFormat="1" customHeight="1" ht="21">
      <c r="A180" s="3885"/>
      <c r="B180" s="3885"/>
      <c r="C180" s="3885"/>
      <c r="D180" s="3885"/>
      <c r="E180" s="3886"/>
      <c r="F180" s="3886" t="s">
        <v>139</v>
      </c>
      <c r="G180" s="3886"/>
      <c r="H180" s="3886"/>
      <c r="I180" s="3905"/>
      <c r="J180" s="3899" t="str">
        <f>I179&amp;".1"</f>
        <v>1.10.1.1.1.1</v>
      </c>
      <c r="K180" s="3885"/>
      <c r="L180" s="3888" t="s">
        <v>561</v>
      </c>
      <c r="M180" s="3815"/>
      <c r="N180" s="3815"/>
      <c r="O180" s="3900"/>
      <c r="P180" s="3901"/>
      <c r="Q180" s="3901">
        <v>1</v>
      </c>
      <c r="R180" s="3906"/>
      <c r="S180" s="3893" t="str">
        <f>$J180</f>
        <v>1.10.1.1.1.1</v>
      </c>
      <c r="T180" s="3907" t="s">
        <v>562</v>
      </c>
      <c r="U180" s="3895"/>
      <c r="V180" s="3779"/>
      <c r="W180" s="3780"/>
      <c r="X180" s="3780"/>
      <c r="Y180" s="3780"/>
      <c r="Z180" s="3780"/>
      <c r="AA180" s="3780"/>
      <c r="AB180" s="3780"/>
      <c r="AC180" s="3781"/>
      <c r="AD180" s="3779" t="s">
        <v>602</v>
      </c>
      <c r="AE180" s="3780"/>
      <c r="AF180" s="3780"/>
      <c r="AG180" s="3780"/>
      <c r="AH180" s="3780"/>
      <c r="AI180" s="3780"/>
      <c r="AJ180" s="3780"/>
      <c r="AK180" s="3780"/>
      <c r="AL180" s="3779"/>
      <c r="AM180" s="3780"/>
      <c r="AN180" s="3780"/>
      <c r="AO180" s="3780"/>
      <c r="AP180" s="3780"/>
      <c r="AQ180" s="3780"/>
      <c r="AR180" s="3780"/>
      <c r="AS180" s="3781"/>
      <c r="AT180" s="3781"/>
      <c r="AU180" s="3896" t="s">
        <v>563</v>
      </c>
      <c r="AV180" s="3823"/>
      <c r="AW180" s="3897"/>
      <c r="AX180" s="3897" t="str">
        <f>IF(T180="","",T180)</f>
        <v>Группа потребителей</v>
      </c>
      <c r="AY180" s="3897"/>
      <c r="AZ180" s="3897"/>
      <c r="BA180" s="3775">
        <v>0</v>
      </c>
    </row>
    <row s="10308" customFormat="1" customHeight="1" ht="21">
      <c r="A181" s="3885"/>
      <c r="B181" s="3885"/>
      <c r="C181" s="3885"/>
      <c r="D181" s="3885"/>
      <c r="E181" s="3886"/>
      <c r="F181" s="3886" t="s">
        <v>139</v>
      </c>
      <c r="G181" s="3886"/>
      <c r="H181" s="3886"/>
      <c r="I181" s="3905"/>
      <c r="J181" s="3905"/>
      <c r="K181" s="3899" t="str">
        <f>J180&amp;".1"</f>
        <v>1.10.1.1.1.1.1</v>
      </c>
      <c r="L181" s="3888" t="s">
        <v>564</v>
      </c>
      <c r="M181" s="3815"/>
      <c r="N181" s="3815"/>
      <c r="O181" s="3815"/>
      <c r="P181" s="3901"/>
      <c r="Q181" s="3901"/>
      <c r="R181" s="3906">
        <v>1</v>
      </c>
      <c r="S181" s="3893" t="str">
        <f>$K181</f>
        <v>1.10.1.1.1.1.1</v>
      </c>
      <c r="T181" s="3909" t="s">
        <v>603</v>
      </c>
      <c r="U181" s="3895"/>
      <c r="V181" s="3855"/>
      <c r="W181" s="3855"/>
      <c r="X181" s="3855"/>
      <c r="Y181" s="3856"/>
      <c r="Z181" s="3857"/>
      <c r="AA181" s="3858" t="s">
        <v>63</v>
      </c>
      <c r="AB181" s="3857"/>
      <c r="AC181" s="3858" t="s">
        <v>63</v>
      </c>
      <c r="AD181" s="3783"/>
      <c r="AE181" s="3784">
        <v>705.55</v>
      </c>
      <c r="AF181" s="3783"/>
      <c r="AG181" s="3785"/>
      <c r="AH181" s="3786">
        <v>45658</v>
      </c>
      <c r="AI181" s="3191" t="s">
        <v>63</v>
      </c>
      <c r="AJ181" s="3786">
        <v>46022</v>
      </c>
      <c r="AK181" s="3191" t="s">
        <v>19</v>
      </c>
      <c r="AL181" s="3855"/>
      <c r="AM181" s="3855"/>
      <c r="AN181" s="3855"/>
      <c r="AO181" s="3856"/>
      <c r="AP181" s="3857"/>
      <c r="AQ181" s="3858" t="s">
        <v>63</v>
      </c>
      <c r="AR181" s="3857"/>
      <c r="AS181" s="3858" t="s">
        <v>63</v>
      </c>
      <c r="AT181" s="3783"/>
      <c r="AU181" s="3910" t="s">
        <v>565</v>
      </c>
      <c r="AV181" s="3823">
        <f>STRCHECKDATE(V182:AT182)</f>
      </c>
      <c r="AW181" s="3897"/>
      <c r="AX181" s="3897" t="str">
        <f>IF(T181="","",T181)</f>
        <v>вода</v>
      </c>
      <c r="AY181" s="3897"/>
      <c r="AZ181" s="3897"/>
      <c r="BA181" s="3775">
        <v>0</v>
      </c>
    </row>
    <row s="10309" customFormat="1" customHeight="1" ht="0.75">
      <c r="A182" s="3885"/>
      <c r="B182" s="3885"/>
      <c r="C182" s="3885"/>
      <c r="D182" s="3885"/>
      <c r="E182" s="3886"/>
      <c r="F182" s="3886" t="s">
        <v>139</v>
      </c>
      <c r="G182" s="3886"/>
      <c r="H182" s="3886"/>
      <c r="I182" s="3905"/>
      <c r="J182" s="3905"/>
      <c r="K182" s="3899"/>
      <c r="L182" s="3888"/>
      <c r="M182" s="3815"/>
      <c r="N182" s="3815"/>
      <c r="O182" s="3815"/>
      <c r="P182" s="3901"/>
      <c r="Q182" s="3901"/>
      <c r="R182" s="3906"/>
      <c r="S182" s="3912"/>
      <c r="T182" s="3895"/>
      <c r="U182" s="3895"/>
      <c r="V182" s="3855"/>
      <c r="W182" s="3855"/>
      <c r="X182" s="3855"/>
      <c r="Y182" s="3787" t="str">
        <f>Z181&amp;"-"&amp;AB181</f>
        <v>-</v>
      </c>
      <c r="Z182" s="3858"/>
      <c r="AA182" s="3858"/>
      <c r="AB182" s="3858"/>
      <c r="AC182" s="3858"/>
      <c r="AD182" s="3783"/>
      <c r="AE182" s="3783"/>
      <c r="AF182" s="3783"/>
      <c r="AG182" s="3787" t="str">
        <f>AH181&amp;"-"&amp;AJ181</f>
        <v>45658-46022</v>
      </c>
      <c r="AH182" s="3788"/>
      <c r="AI182" s="3191"/>
      <c r="AJ182" s="3788"/>
      <c r="AK182" s="3191"/>
      <c r="AL182" s="3855"/>
      <c r="AM182" s="3855"/>
      <c r="AN182" s="3855"/>
      <c r="AO182" s="3787" t="str">
        <f>AP181&amp;"-"&amp;AR181</f>
        <v>-</v>
      </c>
      <c r="AP182" s="3858"/>
      <c r="AQ182" s="3858"/>
      <c r="AR182" s="3858"/>
      <c r="AS182" s="3858"/>
      <c r="AT182" s="3783"/>
      <c r="AU182" s="3913"/>
      <c r="AV182" s="3823"/>
      <c r="AW182" s="3897"/>
      <c r="AX182" s="3897" t="str">
        <f>IF(T182="","",T182)</f>
        <v/>
      </c>
      <c r="AY182" s="3897"/>
      <c r="AZ182" s="3897"/>
      <c r="BA182" s="3775">
        <v>0</v>
      </c>
    </row>
    <row s="10310" customFormat="1" customHeight="1" ht="15">
      <c r="A183" s="3885"/>
      <c r="B183" s="3885"/>
      <c r="C183" s="3885"/>
      <c r="D183" s="3885"/>
      <c r="E183" s="3886"/>
      <c r="F183" s="3886" t="s">
        <v>139</v>
      </c>
      <c r="G183" s="3886"/>
      <c r="H183" s="3886"/>
      <c r="I183" s="3905"/>
      <c r="J183" s="3899"/>
      <c r="K183" s="3885"/>
      <c r="L183" s="3888"/>
      <c r="M183" s="3815"/>
      <c r="N183" s="3815"/>
      <c r="O183" s="3900"/>
      <c r="P183" s="3901"/>
      <c r="Q183" s="3901"/>
      <c r="R183" s="3902"/>
      <c r="S183" s="5000"/>
      <c r="T183" s="5001" t="s">
        <v>566</v>
      </c>
      <c r="U183" s="5002"/>
      <c r="V183" s="5003"/>
      <c r="W183" s="5004"/>
      <c r="X183" s="5005"/>
      <c r="Y183" s="5006"/>
      <c r="Z183" s="5007"/>
      <c r="AA183" s="5008"/>
      <c r="AB183" s="5009"/>
      <c r="AC183" s="5010"/>
      <c r="AD183" s="5011"/>
      <c r="AE183" s="5012"/>
      <c r="AF183" s="5013"/>
      <c r="AG183" s="5014"/>
      <c r="AH183" s="5015"/>
      <c r="AI183" s="5016"/>
      <c r="AJ183" s="5017"/>
      <c r="AK183" s="5018"/>
      <c r="AL183" s="5019"/>
      <c r="AM183" s="5020"/>
      <c r="AN183" s="5021"/>
      <c r="AO183" s="5022"/>
      <c r="AP183" s="5023"/>
      <c r="AQ183" s="5024"/>
      <c r="AR183" s="5025"/>
      <c r="AS183" s="5026"/>
      <c r="AT183" s="5027"/>
      <c r="AU183" s="3943"/>
      <c r="AV183" s="3823"/>
      <c r="AW183" s="3897"/>
      <c r="AX183" s="3897" t="str">
        <f>IF(T183="","",T183)</f>
        <v>Добавить вид теплоносителя (параметры теплоносителя)</v>
      </c>
      <c r="AY183" s="3897"/>
      <c r="AZ183" s="3897"/>
      <c r="BA183" s="3775">
        <v>0</v>
      </c>
    </row>
    <row s="10339" customFormat="1" customHeight="1" ht="15">
      <c r="A184" s="3885"/>
      <c r="B184" s="3885"/>
      <c r="C184" s="3885"/>
      <c r="D184" s="3885"/>
      <c r="E184" s="3886"/>
      <c r="F184" s="3886" t="s">
        <v>139</v>
      </c>
      <c r="G184" s="3886"/>
      <c r="H184" s="3886"/>
      <c r="I184" s="3899"/>
      <c r="J184" s="3885"/>
      <c r="K184" s="3885"/>
      <c r="L184" s="3888"/>
      <c r="M184" s="3815"/>
      <c r="N184" s="3900"/>
      <c r="O184" s="3900"/>
      <c r="P184" s="3901"/>
      <c r="Q184" s="3901"/>
      <c r="R184" s="3902"/>
      <c r="S184" s="5029"/>
      <c r="T184" s="5030" t="s">
        <v>567</v>
      </c>
      <c r="U184" s="5031"/>
      <c r="V184" s="5032"/>
      <c r="W184" s="5033"/>
      <c r="X184" s="5034"/>
      <c r="Y184" s="5035"/>
      <c r="Z184" s="5036"/>
      <c r="AA184" s="5037"/>
      <c r="AB184" s="5038"/>
      <c r="AC184" s="5039"/>
      <c r="AD184" s="5040"/>
      <c r="AE184" s="5041"/>
      <c r="AF184" s="5042"/>
      <c r="AG184" s="5043"/>
      <c r="AH184" s="5044"/>
      <c r="AI184" s="5045"/>
      <c r="AJ184" s="5046"/>
      <c r="AK184" s="5047"/>
      <c r="AL184" s="5048"/>
      <c r="AM184" s="5049"/>
      <c r="AN184" s="5050"/>
      <c r="AO184" s="5051"/>
      <c r="AP184" s="5052"/>
      <c r="AQ184" s="5053"/>
      <c r="AR184" s="5054"/>
      <c r="AS184" s="5055"/>
      <c r="AT184" s="5056"/>
      <c r="AU184" s="5057"/>
      <c r="AV184" s="3823"/>
      <c r="AW184" s="3897"/>
      <c r="AX184" s="3897" t="str">
        <f>IF(T184="","",T184)</f>
        <v>Добавить группу потребителей</v>
      </c>
      <c r="AY184" s="3897"/>
      <c r="AZ184" s="3897"/>
      <c r="BA184" s="3775">
        <v>0</v>
      </c>
    </row>
    <row s="10369" customFormat="1" customHeight="1" ht="14.25">
      <c r="A185" s="3885"/>
      <c r="B185" s="3885"/>
      <c r="C185" s="3885"/>
      <c r="D185" s="3885"/>
      <c r="E185" s="3886"/>
      <c r="F185" s="3886" t="s">
        <v>139</v>
      </c>
      <c r="G185" s="3886"/>
      <c r="H185" s="3887"/>
      <c r="I185" s="3885"/>
      <c r="J185" s="3885"/>
      <c r="K185" s="3885"/>
      <c r="L185" s="3888"/>
      <c r="M185" s="3889"/>
      <c r="N185" s="3889"/>
      <c r="O185" s="3815"/>
      <c r="P185" s="3975"/>
      <c r="Q185" s="3976"/>
      <c r="R185" s="3977"/>
      <c r="S185" s="5059"/>
      <c r="T185" s="5060" t="s">
        <v>568</v>
      </c>
      <c r="U185" s="5061"/>
      <c r="V185" s="5062"/>
      <c r="W185" s="5063"/>
      <c r="X185" s="5064"/>
      <c r="Y185" s="5065"/>
      <c r="Z185" s="5066"/>
      <c r="AA185" s="5067"/>
      <c r="AB185" s="5068"/>
      <c r="AC185" s="5069"/>
      <c r="AD185" s="5070"/>
      <c r="AE185" s="5071"/>
      <c r="AF185" s="5072"/>
      <c r="AG185" s="5073"/>
      <c r="AH185" s="5074"/>
      <c r="AI185" s="5075"/>
      <c r="AJ185" s="5076"/>
      <c r="AK185" s="5077"/>
      <c r="AL185" s="5078"/>
      <c r="AM185" s="5079"/>
      <c r="AN185" s="5080"/>
      <c r="AO185" s="5081"/>
      <c r="AP185" s="5082"/>
      <c r="AQ185" s="5083"/>
      <c r="AR185" s="5084"/>
      <c r="AS185" s="5085"/>
      <c r="AT185" s="5086"/>
      <c r="AU185" s="5087"/>
      <c r="AV185" s="3823"/>
      <c r="AW185" s="3897"/>
      <c r="AX185" s="3897" t="str">
        <f>IF(T185="","",T185)</f>
        <v>Добавить схему подключения</v>
      </c>
      <c r="AY185" s="3897"/>
      <c r="AZ185" s="3897"/>
      <c r="BA185" s="3775">
        <v>0</v>
      </c>
    </row>
    <row s="10399" customFormat="1" customHeight="1" ht="0.75">
      <c r="A186" s="4107"/>
      <c r="B186" s="4107"/>
      <c r="C186" s="4107"/>
      <c r="D186" s="4107"/>
      <c r="E186" s="3886"/>
      <c r="F186" s="3886" t="s">
        <v>139</v>
      </c>
      <c r="G186" s="3887"/>
      <c r="H186" s="4107"/>
      <c r="I186" s="4107"/>
      <c r="J186" s="4107"/>
      <c r="K186" s="4107"/>
      <c r="L186" s="4108"/>
      <c r="M186" s="4109"/>
      <c r="N186" s="4109"/>
      <c r="O186" s="3823"/>
      <c r="P186" s="4110"/>
      <c r="Q186" s="4111"/>
      <c r="R186" s="4110"/>
      <c r="S186" s="4112"/>
      <c r="T186" s="4113" t="s">
        <v>273</v>
      </c>
      <c r="U186" s="3813"/>
      <c r="V186" s="3813"/>
      <c r="W186" s="3813"/>
      <c r="X186" s="3813"/>
      <c r="Y186" s="3813"/>
      <c r="Z186" s="3813"/>
      <c r="AA186" s="3813"/>
      <c r="AB186" s="3813"/>
      <c r="AC186" s="3813"/>
      <c r="AD186" s="3813"/>
      <c r="AE186" s="3813"/>
      <c r="AF186" s="3813"/>
      <c r="AG186" s="3813"/>
      <c r="AH186" s="3813"/>
      <c r="AI186" s="3813"/>
      <c r="AJ186" s="3813"/>
      <c r="AK186" s="3813"/>
      <c r="AL186" s="3813"/>
      <c r="AM186" s="3813"/>
      <c r="AN186" s="3813"/>
      <c r="AO186" s="3813"/>
      <c r="AP186" s="3813"/>
      <c r="AQ186" s="3813"/>
      <c r="AR186" s="3813"/>
      <c r="AS186" s="3813"/>
      <c r="AT186" s="3813"/>
      <c r="AU186" s="3813"/>
      <c r="AV186" s="3823"/>
      <c r="AW186" s="3897"/>
      <c r="AX186" s="3897" t="str">
        <f>IF(T186="","",T186)</f>
        <v>Добавить источник для дифференциации</v>
      </c>
      <c r="AY186" s="3897"/>
      <c r="AZ186" s="3897"/>
      <c r="BA186" s="3823">
        <v>0</v>
      </c>
    </row>
    <row s="10400" customFormat="1" customHeight="1" ht="0.75">
      <c r="A187" s="4107"/>
      <c r="B187" s="4107"/>
      <c r="C187" s="4107"/>
      <c r="D187" s="4107"/>
      <c r="E187" s="3886"/>
      <c r="F187" s="3887" t="s">
        <v>139</v>
      </c>
      <c r="G187" s="4107"/>
      <c r="H187" s="4107"/>
      <c r="I187" s="4107"/>
      <c r="J187" s="4107"/>
      <c r="K187" s="4107"/>
      <c r="L187" s="4108"/>
      <c r="M187" s="4115"/>
      <c r="N187" s="4115"/>
      <c r="O187" s="3823"/>
      <c r="P187" s="4110"/>
      <c r="Q187" s="4111"/>
      <c r="R187" s="4110"/>
      <c r="S187" s="4116"/>
      <c r="T187" s="4117" t="s">
        <v>274</v>
      </c>
      <c r="U187" s="3814"/>
      <c r="V187" s="3814"/>
      <c r="W187" s="3814"/>
      <c r="X187" s="3814"/>
      <c r="Y187" s="3814"/>
      <c r="Z187" s="3814"/>
      <c r="AA187" s="3814"/>
      <c r="AB187" s="3814"/>
      <c r="AC187" s="3814"/>
      <c r="AD187" s="3814"/>
      <c r="AE187" s="3814"/>
      <c r="AF187" s="3814"/>
      <c r="AG187" s="3814"/>
      <c r="AH187" s="3814"/>
      <c r="AI187" s="3814"/>
      <c r="AJ187" s="3814"/>
      <c r="AK187" s="3814"/>
      <c r="AL187" s="3814"/>
      <c r="AM187" s="3814"/>
      <c r="AN187" s="3814"/>
      <c r="AO187" s="3814"/>
      <c r="AP187" s="3814"/>
      <c r="AQ187" s="3814"/>
      <c r="AR187" s="3814"/>
      <c r="AS187" s="3814"/>
      <c r="AT187" s="3814"/>
      <c r="AU187" s="3814"/>
      <c r="AV187" s="3823"/>
      <c r="AW187" s="3897"/>
      <c r="AX187" s="3897" t="str">
        <f>IF(T187="","",T187)</f>
        <v>Добавить централизованную систему для дифференциации</v>
      </c>
      <c r="AY187" s="3897"/>
      <c r="AZ187" s="3897"/>
      <c r="BA187" s="3823">
        <v>0</v>
      </c>
    </row>
    <row s="10401" customFormat="1" customHeight="1" ht="21">
      <c r="A188" s="3885"/>
      <c r="B188" s="3885" t="s">
        <v>310</v>
      </c>
      <c r="C188" s="3885"/>
      <c r="D188" s="3885"/>
      <c r="E188" s="3886"/>
      <c r="F188" s="3887" t="s">
        <v>148</v>
      </c>
      <c r="G188" s="3885"/>
      <c r="H188" s="3885"/>
      <c r="I188" s="3885"/>
      <c r="J188" s="3885"/>
      <c r="K188" s="3885"/>
      <c r="L188" s="3888"/>
      <c r="M188" s="3889"/>
      <c r="N188" s="3889"/>
      <c r="O188" s="3889"/>
      <c r="P188" s="4008"/>
      <c r="Q188" s="3891"/>
      <c r="R188" s="3892"/>
      <c r="S188" s="3893" t="str">
        <f>INDEX(PT_DIFFERENTIATION_NUM_TER,MATCH(B188,PT_DIFFERENTIATION_TER_ID,0))</f>
        <v>1.11</v>
      </c>
      <c r="T188" s="4009" t="s">
        <v>552</v>
      </c>
      <c r="U188" s="3895"/>
      <c r="V188" s="3776"/>
      <c r="W188" s="3777"/>
      <c r="X188" s="3777"/>
      <c r="Y188" s="3777"/>
      <c r="Z188" s="3777"/>
      <c r="AA188" s="3777"/>
      <c r="AB188" s="3777"/>
      <c r="AC188" s="3778"/>
      <c r="AD188" s="3776" t="str">
        <f>INDEX(PT_DIFFERENTIATION_TER,MATCH(B188,PT_DIFFERENTIATION_TER_ID,0))</f>
        <v>Территория 11</v>
      </c>
      <c r="AE188" s="3777"/>
      <c r="AF188" s="3777"/>
      <c r="AG188" s="3777"/>
      <c r="AH188" s="3777"/>
      <c r="AI188" s="3777"/>
      <c r="AJ188" s="3777"/>
      <c r="AK188" s="3777"/>
      <c r="AL188" s="3776"/>
      <c r="AM188" s="3777"/>
      <c r="AN188" s="3777"/>
      <c r="AO188" s="3777"/>
      <c r="AP188" s="3777"/>
      <c r="AQ188" s="3777"/>
      <c r="AR188" s="3777"/>
      <c r="AS188" s="3778"/>
      <c r="AT188" s="3778"/>
      <c r="AU188" s="3896" t="s">
        <v>553</v>
      </c>
      <c r="AV188" s="3823"/>
      <c r="AW188" s="3897"/>
      <c r="AX188" s="3897" t="str">
        <f>IF(T188="","",T188)</f>
        <v>Территория действия тарифа</v>
      </c>
      <c r="AY188" s="3897"/>
      <c r="AZ188" s="3897"/>
      <c r="BA188" s="3775">
        <v>0</v>
      </c>
    </row>
    <row s="10402" customFormat="1" customHeight="1" ht="23.25">
      <c r="A189" s="3885"/>
      <c r="B189" s="3885"/>
      <c r="C189" s="3885" t="s">
        <v>311</v>
      </c>
      <c r="D189" s="3885"/>
      <c r="E189" s="3886"/>
      <c r="F189" s="3886" t="s">
        <v>144</v>
      </c>
      <c r="G189" s="3887">
        <v>1</v>
      </c>
      <c r="H189" s="3885"/>
      <c r="I189" s="3885"/>
      <c r="J189" s="3885"/>
      <c r="K189" s="3885"/>
      <c r="L189" s="3888"/>
      <c r="M189" s="3889"/>
      <c r="N189" s="3889"/>
      <c r="O189" s="3889"/>
      <c r="P189" s="3890"/>
      <c r="Q189" s="3891"/>
      <c r="R189" s="3892"/>
      <c r="S189" s="3893" t="str">
        <f>INDEX(PT_DIFFERENTIATION_NUM_CS,MATCH(C189,PT_DIFFERENTIATION_CS_ID,0))</f>
        <v>1.11.1</v>
      </c>
      <c r="T189" s="4011" t="s">
        <v>554</v>
      </c>
      <c r="U189" s="3895"/>
      <c r="V189" s="3776"/>
      <c r="W189" s="3777"/>
      <c r="X189" s="3777"/>
      <c r="Y189" s="3777"/>
      <c r="Z189" s="3777"/>
      <c r="AA189" s="3777"/>
      <c r="AB189" s="3777"/>
      <c r="AC189" s="3778"/>
      <c r="AD189" s="3776" t="str">
        <f>INDEX(PT_DIFFERENTIATION_CS,MATCH(C189,PT_DIFFERENTIATION_CS_ID,0))</f>
        <v>без дифференциации</v>
      </c>
      <c r="AE189" s="3777"/>
      <c r="AF189" s="3777"/>
      <c r="AG189" s="3777"/>
      <c r="AH189" s="3777"/>
      <c r="AI189" s="3777"/>
      <c r="AJ189" s="3777"/>
      <c r="AK189" s="3777"/>
      <c r="AL189" s="3776"/>
      <c r="AM189" s="3777"/>
      <c r="AN189" s="3777"/>
      <c r="AO189" s="3777"/>
      <c r="AP189" s="3777"/>
      <c r="AQ189" s="3777"/>
      <c r="AR189" s="3777"/>
      <c r="AS189" s="3778"/>
      <c r="AT189" s="3778"/>
      <c r="AU189" s="3896" t="s">
        <v>555</v>
      </c>
      <c r="AV189" s="3823"/>
      <c r="AW189" s="3897"/>
      <c r="AX189" s="3897" t="str">
        <f>IF(T189="","",T189)</f>
        <v>Наименование системы теплоснабжения </v>
      </c>
      <c r="AY189" s="3897"/>
      <c r="AZ189" s="3897"/>
      <c r="BA189" s="3775">
        <v>0</v>
      </c>
    </row>
    <row s="10403" customFormat="1" customHeight="1" ht="21">
      <c r="A190" s="3885"/>
      <c r="B190" s="3885"/>
      <c r="C190" s="3885"/>
      <c r="D190" s="3885" t="s">
        <v>312</v>
      </c>
      <c r="E190" s="3886"/>
      <c r="F190" s="3886" t="s">
        <v>144</v>
      </c>
      <c r="G190" s="3886"/>
      <c r="H190" s="3887">
        <v>1</v>
      </c>
      <c r="I190" s="3885"/>
      <c r="J190" s="3885"/>
      <c r="K190" s="3885"/>
      <c r="L190" s="3888"/>
      <c r="M190" s="3889"/>
      <c r="N190" s="3889"/>
      <c r="O190" s="3889"/>
      <c r="P190" s="3890"/>
      <c r="Q190" s="3891"/>
      <c r="R190" s="3892"/>
      <c r="S190" s="3893" t="str">
        <f>INDEX(PT_DIFFERENTIATION_NUM_IST_TE,MATCH(D190,PT_DIFFERENTIATION_IST_TE_ID,0))</f>
        <v>1.11.1.1</v>
      </c>
      <c r="T190" s="3894" t="s">
        <v>556</v>
      </c>
      <c r="U190" s="3895"/>
      <c r="V190" s="3776"/>
      <c r="W190" s="3777"/>
      <c r="X190" s="3777"/>
      <c r="Y190" s="3777"/>
      <c r="Z190" s="3777"/>
      <c r="AA190" s="3777"/>
      <c r="AB190" s="3777"/>
      <c r="AC190" s="3778"/>
      <c r="AD190" s="3776" t="str">
        <f>INDEX(PT_DIFFERENTIATION_IST_TE,MATCH(D190,PT_DIFFERENTIATION_IST_TE_ID,0))</f>
        <v>город Никель</v>
      </c>
      <c r="AE190" s="3777"/>
      <c r="AF190" s="3777"/>
      <c r="AG190" s="3777"/>
      <c r="AH190" s="3777"/>
      <c r="AI190" s="3777"/>
      <c r="AJ190" s="3777"/>
      <c r="AK190" s="3777"/>
      <c r="AL190" s="3776"/>
      <c r="AM190" s="3777"/>
      <c r="AN190" s="3777"/>
      <c r="AO190" s="3777"/>
      <c r="AP190" s="3777"/>
      <c r="AQ190" s="3777"/>
      <c r="AR190" s="3777"/>
      <c r="AS190" s="3778"/>
      <c r="AT190" s="3778"/>
      <c r="AU190" s="3896" t="s">
        <v>557</v>
      </c>
      <c r="AV190" s="3823"/>
      <c r="AW190" s="3897"/>
      <c r="AX190" s="3897" t="str">
        <f>IF(T190="","",T190)</f>
        <v>Источник тепловой энергии  </v>
      </c>
      <c r="AY190" s="3897"/>
      <c r="AZ190" s="3897"/>
      <c r="BA190" s="3775">
        <v>0</v>
      </c>
    </row>
    <row s="10404" customFormat="1" customHeight="1" ht="47.25">
      <c r="A191" s="3885"/>
      <c r="B191" s="3885"/>
      <c r="C191" s="3885"/>
      <c r="D191" s="3885"/>
      <c r="E191" s="3886"/>
      <c r="F191" s="3886" t="s">
        <v>144</v>
      </c>
      <c r="G191" s="3886"/>
      <c r="H191" s="3886"/>
      <c r="I191" s="3899" t="str">
        <f>S190&amp;".1"</f>
        <v>1.11.1.1.1</v>
      </c>
      <c r="J191" s="3885"/>
      <c r="K191" s="3885"/>
      <c r="L191" s="3888" t="s">
        <v>558</v>
      </c>
      <c r="M191" s="3815"/>
      <c r="N191" s="3900"/>
      <c r="O191" s="3900"/>
      <c r="P191" s="3901">
        <v>1</v>
      </c>
      <c r="Q191" s="3901"/>
      <c r="R191" s="3902"/>
      <c r="S191" s="3893" t="str">
        <f>$I191</f>
        <v>1.11.1.1.1</v>
      </c>
      <c r="T191" s="3903" t="s">
        <v>559</v>
      </c>
      <c r="U191" s="3895"/>
      <c r="V191" s="3779"/>
      <c r="W191" s="3780"/>
      <c r="X191" s="3780"/>
      <c r="Y191" s="3780"/>
      <c r="Z191" s="3780"/>
      <c r="AA191" s="3780"/>
      <c r="AB191" s="3780"/>
      <c r="AC191" s="3781"/>
      <c r="AD191" s="3779" t="s">
        <v>601</v>
      </c>
      <c r="AE191" s="3780"/>
      <c r="AF191" s="3780"/>
      <c r="AG191" s="3780"/>
      <c r="AH191" s="3780"/>
      <c r="AI191" s="3780"/>
      <c r="AJ191" s="3780"/>
      <c r="AK191" s="3780"/>
      <c r="AL191" s="3779"/>
      <c r="AM191" s="3780"/>
      <c r="AN191" s="3780"/>
      <c r="AO191" s="3780"/>
      <c r="AP191" s="3780"/>
      <c r="AQ191" s="3780"/>
      <c r="AR191" s="3780"/>
      <c r="AS191" s="3781"/>
      <c r="AT191" s="3781"/>
      <c r="AU191" s="3896" t="s">
        <v>560</v>
      </c>
      <c r="AV191" s="3823"/>
      <c r="AW191" s="3897"/>
      <c r="AX191" s="3897" t="str">
        <f>IF(T191="","",T191)</f>
        <v>Схема подключения теплопотребляющей установки к коллектору источника тепловой энергии</v>
      </c>
      <c r="AY191" s="3897"/>
      <c r="AZ191" s="3897"/>
      <c r="BA191" s="3775">
        <v>0</v>
      </c>
    </row>
    <row s="10405" customFormat="1" customHeight="1" ht="21">
      <c r="A192" s="3885"/>
      <c r="B192" s="3885"/>
      <c r="C192" s="3885"/>
      <c r="D192" s="3885"/>
      <c r="E192" s="3886"/>
      <c r="F192" s="3886" t="s">
        <v>144</v>
      </c>
      <c r="G192" s="3886"/>
      <c r="H192" s="3886"/>
      <c r="I192" s="3905"/>
      <c r="J192" s="3899" t="str">
        <f>I191&amp;".1"</f>
        <v>1.11.1.1.1.1</v>
      </c>
      <c r="K192" s="3885"/>
      <c r="L192" s="3888" t="s">
        <v>561</v>
      </c>
      <c r="M192" s="3815"/>
      <c r="N192" s="3815"/>
      <c r="O192" s="3900"/>
      <c r="P192" s="3901"/>
      <c r="Q192" s="3901">
        <v>1</v>
      </c>
      <c r="R192" s="3906"/>
      <c r="S192" s="3893" t="str">
        <f>$J192</f>
        <v>1.11.1.1.1.1</v>
      </c>
      <c r="T192" s="3907" t="s">
        <v>562</v>
      </c>
      <c r="U192" s="3895"/>
      <c r="V192" s="3779"/>
      <c r="W192" s="3780"/>
      <c r="X192" s="3780"/>
      <c r="Y192" s="3780"/>
      <c r="Z192" s="3780"/>
      <c r="AA192" s="3780"/>
      <c r="AB192" s="3780"/>
      <c r="AC192" s="3781"/>
      <c r="AD192" s="3779" t="s">
        <v>602</v>
      </c>
      <c r="AE192" s="3780"/>
      <c r="AF192" s="3780"/>
      <c r="AG192" s="3780"/>
      <c r="AH192" s="3780"/>
      <c r="AI192" s="3780"/>
      <c r="AJ192" s="3780"/>
      <c r="AK192" s="3780"/>
      <c r="AL192" s="3779"/>
      <c r="AM192" s="3780"/>
      <c r="AN192" s="3780"/>
      <c r="AO192" s="3780"/>
      <c r="AP192" s="3780"/>
      <c r="AQ192" s="3780"/>
      <c r="AR192" s="3780"/>
      <c r="AS192" s="3781"/>
      <c r="AT192" s="3781"/>
      <c r="AU192" s="3896" t="s">
        <v>563</v>
      </c>
      <c r="AV192" s="3823"/>
      <c r="AW192" s="3897"/>
      <c r="AX192" s="3897" t="str">
        <f>IF(T192="","",T192)</f>
        <v>Группа потребителей</v>
      </c>
      <c r="AY192" s="3897"/>
      <c r="AZ192" s="3897"/>
      <c r="BA192" s="3775">
        <v>0</v>
      </c>
    </row>
    <row s="10406" customFormat="1" customHeight="1" ht="21">
      <c r="A193" s="3885"/>
      <c r="B193" s="3885"/>
      <c r="C193" s="3885"/>
      <c r="D193" s="3885"/>
      <c r="E193" s="3886"/>
      <c r="F193" s="3886" t="s">
        <v>144</v>
      </c>
      <c r="G193" s="3886"/>
      <c r="H193" s="3886"/>
      <c r="I193" s="3905"/>
      <c r="J193" s="3905"/>
      <c r="K193" s="3899" t="str">
        <f>J192&amp;".1"</f>
        <v>1.11.1.1.1.1.1</v>
      </c>
      <c r="L193" s="3888" t="s">
        <v>564</v>
      </c>
      <c r="M193" s="3815"/>
      <c r="N193" s="3815"/>
      <c r="O193" s="3815"/>
      <c r="P193" s="3901"/>
      <c r="Q193" s="3901"/>
      <c r="R193" s="3906">
        <v>1</v>
      </c>
      <c r="S193" s="3893" t="str">
        <f>$K193</f>
        <v>1.11.1.1.1.1.1</v>
      </c>
      <c r="T193" s="3909" t="s">
        <v>603</v>
      </c>
      <c r="U193" s="3895"/>
      <c r="V193" s="3855"/>
      <c r="W193" s="3855"/>
      <c r="X193" s="3855"/>
      <c r="Y193" s="3856"/>
      <c r="Z193" s="3857"/>
      <c r="AA193" s="3858" t="s">
        <v>63</v>
      </c>
      <c r="AB193" s="3857"/>
      <c r="AC193" s="3858" t="s">
        <v>63</v>
      </c>
      <c r="AD193" s="3783"/>
      <c r="AE193" s="3784">
        <v>705.55</v>
      </c>
      <c r="AF193" s="3783"/>
      <c r="AG193" s="3785"/>
      <c r="AH193" s="3786">
        <v>45658</v>
      </c>
      <c r="AI193" s="3191" t="s">
        <v>63</v>
      </c>
      <c r="AJ193" s="3786">
        <v>46022</v>
      </c>
      <c r="AK193" s="3191" t="s">
        <v>19</v>
      </c>
      <c r="AL193" s="3855"/>
      <c r="AM193" s="3855"/>
      <c r="AN193" s="3855"/>
      <c r="AO193" s="3856"/>
      <c r="AP193" s="3857"/>
      <c r="AQ193" s="3858" t="s">
        <v>63</v>
      </c>
      <c r="AR193" s="3857"/>
      <c r="AS193" s="3858" t="s">
        <v>63</v>
      </c>
      <c r="AT193" s="3783"/>
      <c r="AU193" s="3910" t="s">
        <v>565</v>
      </c>
      <c r="AV193" s="3823">
        <f>STRCHECKDATE(V194:AT194)</f>
      </c>
      <c r="AW193" s="3897"/>
      <c r="AX193" s="3897" t="str">
        <f>IF(T193="","",T193)</f>
        <v>вода</v>
      </c>
      <c r="AY193" s="3897"/>
      <c r="AZ193" s="3897"/>
      <c r="BA193" s="3775">
        <v>0</v>
      </c>
    </row>
    <row s="10407" customFormat="1" customHeight="1" ht="0.75">
      <c r="A194" s="3885"/>
      <c r="B194" s="3885"/>
      <c r="C194" s="3885"/>
      <c r="D194" s="3885"/>
      <c r="E194" s="3886"/>
      <c r="F194" s="3886" t="s">
        <v>144</v>
      </c>
      <c r="G194" s="3886"/>
      <c r="H194" s="3886"/>
      <c r="I194" s="3905"/>
      <c r="J194" s="3905"/>
      <c r="K194" s="3899"/>
      <c r="L194" s="3888"/>
      <c r="M194" s="3815"/>
      <c r="N194" s="3815"/>
      <c r="O194" s="3815"/>
      <c r="P194" s="3901"/>
      <c r="Q194" s="3901"/>
      <c r="R194" s="3906"/>
      <c r="S194" s="3912"/>
      <c r="T194" s="3895"/>
      <c r="U194" s="3895"/>
      <c r="V194" s="3855"/>
      <c r="W194" s="3855"/>
      <c r="X194" s="3855"/>
      <c r="Y194" s="3787" t="str">
        <f>Z193&amp;"-"&amp;AB193</f>
        <v>-</v>
      </c>
      <c r="Z194" s="3858"/>
      <c r="AA194" s="3858"/>
      <c r="AB194" s="3858"/>
      <c r="AC194" s="3858"/>
      <c r="AD194" s="3783"/>
      <c r="AE194" s="3783"/>
      <c r="AF194" s="3783"/>
      <c r="AG194" s="3787" t="str">
        <f>AH193&amp;"-"&amp;AJ193</f>
        <v>45658-46022</v>
      </c>
      <c r="AH194" s="3788"/>
      <c r="AI194" s="3191"/>
      <c r="AJ194" s="3788"/>
      <c r="AK194" s="3191"/>
      <c r="AL194" s="3855"/>
      <c r="AM194" s="3855"/>
      <c r="AN194" s="3855"/>
      <c r="AO194" s="3787" t="str">
        <f>AP193&amp;"-"&amp;AR193</f>
        <v>-</v>
      </c>
      <c r="AP194" s="3858"/>
      <c r="AQ194" s="3858"/>
      <c r="AR194" s="3858"/>
      <c r="AS194" s="3858"/>
      <c r="AT194" s="3783"/>
      <c r="AU194" s="3913"/>
      <c r="AV194" s="3823"/>
      <c r="AW194" s="3897"/>
      <c r="AX194" s="3897" t="str">
        <f>IF(T194="","",T194)</f>
        <v/>
      </c>
      <c r="AY194" s="3897"/>
      <c r="AZ194" s="3897"/>
      <c r="BA194" s="3775">
        <v>0</v>
      </c>
    </row>
    <row s="10408" customFormat="1" customHeight="1" ht="15">
      <c r="A195" s="3885"/>
      <c r="B195" s="3885"/>
      <c r="C195" s="3885"/>
      <c r="D195" s="3885"/>
      <c r="E195" s="3886"/>
      <c r="F195" s="3886" t="s">
        <v>144</v>
      </c>
      <c r="G195" s="3886"/>
      <c r="H195" s="3886"/>
      <c r="I195" s="3905"/>
      <c r="J195" s="3899"/>
      <c r="K195" s="3885"/>
      <c r="L195" s="3888"/>
      <c r="M195" s="3815"/>
      <c r="N195" s="3815"/>
      <c r="O195" s="3900"/>
      <c r="P195" s="3901"/>
      <c r="Q195" s="3901"/>
      <c r="R195" s="3902"/>
      <c r="S195" s="5098"/>
      <c r="T195" s="5099" t="s">
        <v>566</v>
      </c>
      <c r="U195" s="5100"/>
      <c r="V195" s="5101"/>
      <c r="W195" s="5102"/>
      <c r="X195" s="5103"/>
      <c r="Y195" s="5104"/>
      <c r="Z195" s="5105"/>
      <c r="AA195" s="5106"/>
      <c r="AB195" s="5107"/>
      <c r="AC195" s="5108"/>
      <c r="AD195" s="5109"/>
      <c r="AE195" s="5110"/>
      <c r="AF195" s="5111"/>
      <c r="AG195" s="5112"/>
      <c r="AH195" s="5113"/>
      <c r="AI195" s="5114"/>
      <c r="AJ195" s="5115"/>
      <c r="AK195" s="5116"/>
      <c r="AL195" s="5117"/>
      <c r="AM195" s="5118"/>
      <c r="AN195" s="5119"/>
      <c r="AO195" s="5120"/>
      <c r="AP195" s="5121"/>
      <c r="AQ195" s="5122"/>
      <c r="AR195" s="5123"/>
      <c r="AS195" s="5124"/>
      <c r="AT195" s="5125"/>
      <c r="AU195" s="3943"/>
      <c r="AV195" s="3823"/>
      <c r="AW195" s="3897"/>
      <c r="AX195" s="3897" t="str">
        <f>IF(T195="","",T195)</f>
        <v>Добавить вид теплоносителя (параметры теплоносителя)</v>
      </c>
      <c r="AY195" s="3897"/>
      <c r="AZ195" s="3897"/>
      <c r="BA195" s="3775">
        <v>0</v>
      </c>
    </row>
    <row s="10437" customFormat="1" customHeight="1" ht="15">
      <c r="A196" s="3885"/>
      <c r="B196" s="3885"/>
      <c r="C196" s="3885"/>
      <c r="D196" s="3885"/>
      <c r="E196" s="3886"/>
      <c r="F196" s="3886" t="s">
        <v>144</v>
      </c>
      <c r="G196" s="3886"/>
      <c r="H196" s="3886"/>
      <c r="I196" s="3899"/>
      <c r="J196" s="3885"/>
      <c r="K196" s="3885"/>
      <c r="L196" s="3888"/>
      <c r="M196" s="3815"/>
      <c r="N196" s="3900"/>
      <c r="O196" s="3900"/>
      <c r="P196" s="3901"/>
      <c r="Q196" s="3901"/>
      <c r="R196" s="3902"/>
      <c r="S196" s="5127"/>
      <c r="T196" s="5128" t="s">
        <v>567</v>
      </c>
      <c r="U196" s="5129"/>
      <c r="V196" s="5130"/>
      <c r="W196" s="5131"/>
      <c r="X196" s="5132"/>
      <c r="Y196" s="5133"/>
      <c r="Z196" s="5134"/>
      <c r="AA196" s="5135"/>
      <c r="AB196" s="5136"/>
      <c r="AC196" s="5137"/>
      <c r="AD196" s="5138"/>
      <c r="AE196" s="5139"/>
      <c r="AF196" s="5140"/>
      <c r="AG196" s="5141"/>
      <c r="AH196" s="5142"/>
      <c r="AI196" s="5143"/>
      <c r="AJ196" s="5144"/>
      <c r="AK196" s="5145"/>
      <c r="AL196" s="5146"/>
      <c r="AM196" s="5147"/>
      <c r="AN196" s="5148"/>
      <c r="AO196" s="5149"/>
      <c r="AP196" s="5150"/>
      <c r="AQ196" s="5151"/>
      <c r="AR196" s="5152"/>
      <c r="AS196" s="5153"/>
      <c r="AT196" s="5154"/>
      <c r="AU196" s="5155"/>
      <c r="AV196" s="3823"/>
      <c r="AW196" s="3897"/>
      <c r="AX196" s="3897" t="str">
        <f>IF(T196="","",T196)</f>
        <v>Добавить группу потребителей</v>
      </c>
      <c r="AY196" s="3897"/>
      <c r="AZ196" s="3897"/>
      <c r="BA196" s="3775">
        <v>0</v>
      </c>
    </row>
    <row s="10467" customFormat="1" customHeight="1" ht="14.25">
      <c r="A197" s="3885"/>
      <c r="B197" s="3885"/>
      <c r="C197" s="3885"/>
      <c r="D197" s="3885"/>
      <c r="E197" s="3886"/>
      <c r="F197" s="3886" t="s">
        <v>144</v>
      </c>
      <c r="G197" s="3886"/>
      <c r="H197" s="3887"/>
      <c r="I197" s="3885"/>
      <c r="J197" s="3885"/>
      <c r="K197" s="3885"/>
      <c r="L197" s="3888"/>
      <c r="M197" s="3889"/>
      <c r="N197" s="3889"/>
      <c r="O197" s="3815"/>
      <c r="P197" s="3975"/>
      <c r="Q197" s="3976"/>
      <c r="R197" s="3977"/>
      <c r="S197" s="5157"/>
      <c r="T197" s="5158" t="s">
        <v>568</v>
      </c>
      <c r="U197" s="5159"/>
      <c r="V197" s="5160"/>
      <c r="W197" s="5161"/>
      <c r="X197" s="5162"/>
      <c r="Y197" s="5163"/>
      <c r="Z197" s="5164"/>
      <c r="AA197" s="5165"/>
      <c r="AB197" s="5166"/>
      <c r="AC197" s="5167"/>
      <c r="AD197" s="5168"/>
      <c r="AE197" s="5169"/>
      <c r="AF197" s="5170"/>
      <c r="AG197" s="5171"/>
      <c r="AH197" s="5172"/>
      <c r="AI197" s="5173"/>
      <c r="AJ197" s="5174"/>
      <c r="AK197" s="5175"/>
      <c r="AL197" s="5176"/>
      <c r="AM197" s="5177"/>
      <c r="AN197" s="5178"/>
      <c r="AO197" s="5179"/>
      <c r="AP197" s="5180"/>
      <c r="AQ197" s="5181"/>
      <c r="AR197" s="5182"/>
      <c r="AS197" s="5183"/>
      <c r="AT197" s="5184"/>
      <c r="AU197" s="5185"/>
      <c r="AV197" s="3823"/>
      <c r="AW197" s="3897"/>
      <c r="AX197" s="3897" t="str">
        <f>IF(T197="","",T197)</f>
        <v>Добавить схему подключения</v>
      </c>
      <c r="AY197" s="3897"/>
      <c r="AZ197" s="3897"/>
      <c r="BA197" s="3775">
        <v>0</v>
      </c>
    </row>
    <row s="10497" customFormat="1" customHeight="1" ht="21">
      <c r="A198" s="3885"/>
      <c r="B198" s="3885"/>
      <c r="C198" s="3885"/>
      <c r="D198" s="3885" t="s">
        <v>314</v>
      </c>
      <c r="E198" s="3886"/>
      <c r="F198" s="3886"/>
      <c r="G198" s="3886"/>
      <c r="H198" s="3887" t="s">
        <v>105</v>
      </c>
      <c r="I198" s="3885"/>
      <c r="J198" s="3885"/>
      <c r="K198" s="3885"/>
      <c r="L198" s="3888"/>
      <c r="M198" s="3889"/>
      <c r="N198" s="3889"/>
      <c r="O198" s="3889"/>
      <c r="P198" s="3890"/>
      <c r="Q198" s="3891"/>
      <c r="R198" s="3892"/>
      <c r="S198" s="3893" t="str">
        <f>INDEX(PT_DIFFERENTIATION_NUM_IST_TE,MATCH(D198,PT_DIFFERENTIATION_IST_TE_ID,0))</f>
        <v>1.11.1.2</v>
      </c>
      <c r="T198" s="3894" t="s">
        <v>556</v>
      </c>
      <c r="U198" s="3895"/>
      <c r="V198" s="3776"/>
      <c r="W198" s="3777"/>
      <c r="X198" s="3777"/>
      <c r="Y198" s="3777"/>
      <c r="Z198" s="3777"/>
      <c r="AA198" s="3777"/>
      <c r="AB198" s="3777"/>
      <c r="AC198" s="3778"/>
      <c r="AD198" s="3776" t="str">
        <f>INDEX(PT_DIFFERENTIATION_IST_TE,MATCH(D198,PT_DIFFERENTIATION_IST_TE_ID,0))</f>
        <v>Город Заполярный Печенгского муниципального округа Мурманской области (кроме потребителей, присоединенных к тепловым сетям МУП "Тепловые сети")</v>
      </c>
      <c r="AE198" s="3777"/>
      <c r="AF198" s="3777"/>
      <c r="AG198" s="3777"/>
      <c r="AH198" s="3777"/>
      <c r="AI198" s="3777"/>
      <c r="AJ198" s="3777"/>
      <c r="AK198" s="3777"/>
      <c r="AL198" s="3776"/>
      <c r="AM198" s="3777"/>
      <c r="AN198" s="3777"/>
      <c r="AO198" s="3777"/>
      <c r="AP198" s="3777"/>
      <c r="AQ198" s="3777"/>
      <c r="AR198" s="3777"/>
      <c r="AS198" s="3778"/>
      <c r="AT198" s="3778"/>
      <c r="AU198" s="3896" t="s">
        <v>557</v>
      </c>
      <c r="AV198" s="3823"/>
      <c r="AW198" s="3897"/>
      <c r="AX198" s="3897" t="str">
        <f>IF(T198="","",T198)</f>
        <v>Источник тепловой энергии  </v>
      </c>
      <c r="AY198" s="3897"/>
      <c r="AZ198" s="3897"/>
      <c r="BA198" s="3775">
        <v>0</v>
      </c>
    </row>
    <row s="10498" customFormat="1" customHeight="1" ht="47.25">
      <c r="A199" s="3885"/>
      <c r="B199" s="3885"/>
      <c r="C199" s="3885"/>
      <c r="D199" s="3885"/>
      <c r="E199" s="3886"/>
      <c r="F199" s="3886"/>
      <c r="G199" s="3886"/>
      <c r="H199" s="3886">
        <v>1</v>
      </c>
      <c r="I199" s="3899" t="str">
        <f>S198&amp;".1"</f>
        <v>1.11.1.2.1</v>
      </c>
      <c r="J199" s="3885"/>
      <c r="K199" s="3885"/>
      <c r="L199" s="3888" t="s">
        <v>558</v>
      </c>
      <c r="M199" s="3815"/>
      <c r="N199" s="3900"/>
      <c r="O199" s="3900"/>
      <c r="P199" s="3901">
        <v>1</v>
      </c>
      <c r="Q199" s="3901"/>
      <c r="R199" s="3902"/>
      <c r="S199" s="3893" t="str">
        <f>$I199</f>
        <v>1.11.1.2.1</v>
      </c>
      <c r="T199" s="3903" t="s">
        <v>559</v>
      </c>
      <c r="U199" s="3895"/>
      <c r="V199" s="3779"/>
      <c r="W199" s="3780"/>
      <c r="X199" s="3780"/>
      <c r="Y199" s="3780"/>
      <c r="Z199" s="3780"/>
      <c r="AA199" s="3780"/>
      <c r="AB199" s="3780"/>
      <c r="AC199" s="3781"/>
      <c r="AD199" s="3779" t="s">
        <v>601</v>
      </c>
      <c r="AE199" s="3780"/>
      <c r="AF199" s="3780"/>
      <c r="AG199" s="3780"/>
      <c r="AH199" s="3780"/>
      <c r="AI199" s="3780"/>
      <c r="AJ199" s="3780"/>
      <c r="AK199" s="3780"/>
      <c r="AL199" s="3779"/>
      <c r="AM199" s="3780"/>
      <c r="AN199" s="3780"/>
      <c r="AO199" s="3780"/>
      <c r="AP199" s="3780"/>
      <c r="AQ199" s="3780"/>
      <c r="AR199" s="3780"/>
      <c r="AS199" s="3781"/>
      <c r="AT199" s="3781"/>
      <c r="AU199" s="3896" t="s">
        <v>560</v>
      </c>
      <c r="AV199" s="3823"/>
      <c r="AW199" s="3897"/>
      <c r="AX199" s="3897" t="str">
        <f>IF(T199="","",T199)</f>
        <v>Схема подключения теплопотребляющей установки к коллектору источника тепловой энергии</v>
      </c>
      <c r="AY199" s="3897"/>
      <c r="AZ199" s="3897"/>
      <c r="BA199" s="3775">
        <v>0</v>
      </c>
    </row>
    <row s="10499" customFormat="1" customHeight="1" ht="21">
      <c r="A200" s="3885"/>
      <c r="B200" s="3885"/>
      <c r="C200" s="3885"/>
      <c r="D200" s="3885"/>
      <c r="E200" s="3886"/>
      <c r="F200" s="3886"/>
      <c r="G200" s="3886"/>
      <c r="H200" s="3886">
        <v>1</v>
      </c>
      <c r="I200" s="3905"/>
      <c r="J200" s="3899" t="str">
        <f>I199&amp;".1"</f>
        <v>1.11.1.2.1.1</v>
      </c>
      <c r="K200" s="3885"/>
      <c r="L200" s="3888" t="s">
        <v>561</v>
      </c>
      <c r="M200" s="3815"/>
      <c r="N200" s="3815"/>
      <c r="O200" s="3900"/>
      <c r="P200" s="3901"/>
      <c r="Q200" s="3901">
        <v>1</v>
      </c>
      <c r="R200" s="3906"/>
      <c r="S200" s="3893" t="str">
        <f>$J200</f>
        <v>1.11.1.2.1.1</v>
      </c>
      <c r="T200" s="3907" t="s">
        <v>562</v>
      </c>
      <c r="U200" s="3895"/>
      <c r="V200" s="3779"/>
      <c r="W200" s="3780"/>
      <c r="X200" s="3780"/>
      <c r="Y200" s="3780"/>
      <c r="Z200" s="3780"/>
      <c r="AA200" s="3780"/>
      <c r="AB200" s="3780"/>
      <c r="AC200" s="3781"/>
      <c r="AD200" s="3779" t="s">
        <v>602</v>
      </c>
      <c r="AE200" s="3780"/>
      <c r="AF200" s="3780"/>
      <c r="AG200" s="3780"/>
      <c r="AH200" s="3780"/>
      <c r="AI200" s="3780"/>
      <c r="AJ200" s="3780"/>
      <c r="AK200" s="3780"/>
      <c r="AL200" s="3779"/>
      <c r="AM200" s="3780"/>
      <c r="AN200" s="3780"/>
      <c r="AO200" s="3780"/>
      <c r="AP200" s="3780"/>
      <c r="AQ200" s="3780"/>
      <c r="AR200" s="3780"/>
      <c r="AS200" s="3781"/>
      <c r="AT200" s="3781"/>
      <c r="AU200" s="3896" t="s">
        <v>563</v>
      </c>
      <c r="AV200" s="3823"/>
      <c r="AW200" s="3897"/>
      <c r="AX200" s="3897" t="str">
        <f>IF(T200="","",T200)</f>
        <v>Группа потребителей</v>
      </c>
      <c r="AY200" s="3897"/>
      <c r="AZ200" s="3897"/>
      <c r="BA200" s="3775">
        <v>0</v>
      </c>
    </row>
    <row s="10500" customFormat="1" customHeight="1" ht="21">
      <c r="A201" s="3885"/>
      <c r="B201" s="3885"/>
      <c r="C201" s="3885"/>
      <c r="D201" s="3885"/>
      <c r="E201" s="3886"/>
      <c r="F201" s="3886"/>
      <c r="G201" s="3886"/>
      <c r="H201" s="3886">
        <v>1</v>
      </c>
      <c r="I201" s="3905"/>
      <c r="J201" s="3905"/>
      <c r="K201" s="3899" t="str">
        <f>J200&amp;".1"</f>
        <v>1.11.1.2.1.1.1</v>
      </c>
      <c r="L201" s="3888" t="s">
        <v>564</v>
      </c>
      <c r="M201" s="3815"/>
      <c r="N201" s="3815"/>
      <c r="O201" s="3815"/>
      <c r="P201" s="3901"/>
      <c r="Q201" s="3901"/>
      <c r="R201" s="3906">
        <v>1</v>
      </c>
      <c r="S201" s="3893" t="str">
        <f>$K201</f>
        <v>1.11.1.2.1.1.1</v>
      </c>
      <c r="T201" s="3909" t="s">
        <v>603</v>
      </c>
      <c r="U201" s="3895"/>
      <c r="V201" s="3855"/>
      <c r="W201" s="3855"/>
      <c r="X201" s="3855"/>
      <c r="Y201" s="3856"/>
      <c r="Z201" s="3857"/>
      <c r="AA201" s="3858" t="s">
        <v>63</v>
      </c>
      <c r="AB201" s="3857"/>
      <c r="AC201" s="3858" t="s">
        <v>63</v>
      </c>
      <c r="AD201" s="3783"/>
      <c r="AE201" s="3784">
        <v>705.55</v>
      </c>
      <c r="AF201" s="3783"/>
      <c r="AG201" s="3785"/>
      <c r="AH201" s="3786">
        <v>45658</v>
      </c>
      <c r="AI201" s="3191" t="s">
        <v>63</v>
      </c>
      <c r="AJ201" s="3786">
        <v>46022</v>
      </c>
      <c r="AK201" s="3191" t="s">
        <v>19</v>
      </c>
      <c r="AL201" s="3855"/>
      <c r="AM201" s="3855"/>
      <c r="AN201" s="3855"/>
      <c r="AO201" s="3856"/>
      <c r="AP201" s="3857"/>
      <c r="AQ201" s="3858" t="s">
        <v>63</v>
      </c>
      <c r="AR201" s="3857"/>
      <c r="AS201" s="3858" t="s">
        <v>63</v>
      </c>
      <c r="AT201" s="3783"/>
      <c r="AU201" s="3910" t="s">
        <v>565</v>
      </c>
      <c r="AV201" s="3823">
        <f>STRCHECKDATE(V202:AT202)</f>
      </c>
      <c r="AW201" s="3897"/>
      <c r="AX201" s="3897" t="str">
        <f>IF(T201="","",T201)</f>
        <v>вода</v>
      </c>
      <c r="AY201" s="3897"/>
      <c r="AZ201" s="3897"/>
      <c r="BA201" s="3775">
        <v>0</v>
      </c>
    </row>
    <row s="10501" customFormat="1" customHeight="1" ht="0.75">
      <c r="A202" s="3885"/>
      <c r="B202" s="3885"/>
      <c r="C202" s="3885"/>
      <c r="D202" s="3885"/>
      <c r="E202" s="3886"/>
      <c r="F202" s="3886"/>
      <c r="G202" s="3886"/>
      <c r="H202" s="3886">
        <v>1</v>
      </c>
      <c r="I202" s="3905"/>
      <c r="J202" s="3905"/>
      <c r="K202" s="3899"/>
      <c r="L202" s="3888"/>
      <c r="M202" s="3815"/>
      <c r="N202" s="3815"/>
      <c r="O202" s="3815"/>
      <c r="P202" s="3901"/>
      <c r="Q202" s="3901"/>
      <c r="R202" s="3906"/>
      <c r="S202" s="3912"/>
      <c r="T202" s="3895"/>
      <c r="U202" s="3895"/>
      <c r="V202" s="3855"/>
      <c r="W202" s="3855"/>
      <c r="X202" s="3855"/>
      <c r="Y202" s="3787" t="str">
        <f>Z201&amp;"-"&amp;AB201</f>
        <v>-</v>
      </c>
      <c r="Z202" s="3858"/>
      <c r="AA202" s="3858"/>
      <c r="AB202" s="3858"/>
      <c r="AC202" s="3858"/>
      <c r="AD202" s="3783"/>
      <c r="AE202" s="3783"/>
      <c r="AF202" s="3783"/>
      <c r="AG202" s="3787" t="str">
        <f>AH201&amp;"-"&amp;AJ201</f>
        <v>45658-46022</v>
      </c>
      <c r="AH202" s="3788"/>
      <c r="AI202" s="3191"/>
      <c r="AJ202" s="3788"/>
      <c r="AK202" s="3191"/>
      <c r="AL202" s="3855"/>
      <c r="AM202" s="3855"/>
      <c r="AN202" s="3855"/>
      <c r="AO202" s="3787" t="str">
        <f>AP201&amp;"-"&amp;AR201</f>
        <v>-</v>
      </c>
      <c r="AP202" s="3858"/>
      <c r="AQ202" s="3858"/>
      <c r="AR202" s="3858"/>
      <c r="AS202" s="3858"/>
      <c r="AT202" s="3783"/>
      <c r="AU202" s="3913"/>
      <c r="AV202" s="3823"/>
      <c r="AW202" s="3897"/>
      <c r="AX202" s="3897" t="str">
        <f>IF(T202="","",T202)</f>
        <v/>
      </c>
      <c r="AY202" s="3897"/>
      <c r="AZ202" s="3897"/>
      <c r="BA202" s="3775">
        <v>0</v>
      </c>
    </row>
    <row s="10502" customFormat="1" customHeight="1" ht="15">
      <c r="A203" s="3885"/>
      <c r="B203" s="3885"/>
      <c r="C203" s="3885"/>
      <c r="D203" s="3885"/>
      <c r="E203" s="3886"/>
      <c r="F203" s="3886"/>
      <c r="G203" s="3886"/>
      <c r="H203" s="3886">
        <v>1</v>
      </c>
      <c r="I203" s="3905"/>
      <c r="J203" s="3899"/>
      <c r="K203" s="3885"/>
      <c r="L203" s="3888"/>
      <c r="M203" s="3815"/>
      <c r="N203" s="3815"/>
      <c r="O203" s="3900"/>
      <c r="P203" s="3901"/>
      <c r="Q203" s="3901"/>
      <c r="R203" s="3902"/>
      <c r="S203" s="5192"/>
      <c r="T203" s="5193" t="s">
        <v>566</v>
      </c>
      <c r="U203" s="5194"/>
      <c r="V203" s="5195"/>
      <c r="W203" s="5196"/>
      <c r="X203" s="5197"/>
      <c r="Y203" s="5198"/>
      <c r="Z203" s="5199"/>
      <c r="AA203" s="5200"/>
      <c r="AB203" s="5201"/>
      <c r="AC203" s="5202"/>
      <c r="AD203" s="5203"/>
      <c r="AE203" s="5204"/>
      <c r="AF203" s="5205"/>
      <c r="AG203" s="5206"/>
      <c r="AH203" s="5207"/>
      <c r="AI203" s="5208"/>
      <c r="AJ203" s="5209"/>
      <c r="AK203" s="5210"/>
      <c r="AL203" s="5211"/>
      <c r="AM203" s="5212"/>
      <c r="AN203" s="5213"/>
      <c r="AO203" s="5214"/>
      <c r="AP203" s="5215"/>
      <c r="AQ203" s="5216"/>
      <c r="AR203" s="5217"/>
      <c r="AS203" s="5218"/>
      <c r="AT203" s="5219"/>
      <c r="AU203" s="3943"/>
      <c r="AV203" s="3823"/>
      <c r="AW203" s="3897"/>
      <c r="AX203" s="3897" t="str">
        <f>IF(T203="","",T203)</f>
        <v>Добавить вид теплоносителя (параметры теплоносителя)</v>
      </c>
      <c r="AY203" s="3897"/>
      <c r="AZ203" s="3897"/>
      <c r="BA203" s="3775">
        <v>0</v>
      </c>
    </row>
    <row s="10531" customFormat="1" customHeight="1" ht="15">
      <c r="A204" s="3885"/>
      <c r="B204" s="3885"/>
      <c r="C204" s="3885"/>
      <c r="D204" s="3885"/>
      <c r="E204" s="3886"/>
      <c r="F204" s="3886"/>
      <c r="G204" s="3886"/>
      <c r="H204" s="3886">
        <v>1</v>
      </c>
      <c r="I204" s="3899"/>
      <c r="J204" s="3885"/>
      <c r="K204" s="3885"/>
      <c r="L204" s="3888"/>
      <c r="M204" s="3815"/>
      <c r="N204" s="3900"/>
      <c r="O204" s="3900"/>
      <c r="P204" s="3901"/>
      <c r="Q204" s="3901"/>
      <c r="R204" s="3902"/>
      <c r="S204" s="5221"/>
      <c r="T204" s="5222" t="s">
        <v>567</v>
      </c>
      <c r="U204" s="5223"/>
      <c r="V204" s="5224"/>
      <c r="W204" s="5225"/>
      <c r="X204" s="5226"/>
      <c r="Y204" s="5227"/>
      <c r="Z204" s="5228"/>
      <c r="AA204" s="5229"/>
      <c r="AB204" s="5230"/>
      <c r="AC204" s="5231"/>
      <c r="AD204" s="5232"/>
      <c r="AE204" s="5233"/>
      <c r="AF204" s="5234"/>
      <c r="AG204" s="5235"/>
      <c r="AH204" s="5236"/>
      <c r="AI204" s="5237"/>
      <c r="AJ204" s="5238"/>
      <c r="AK204" s="5239"/>
      <c r="AL204" s="5240"/>
      <c r="AM204" s="5241"/>
      <c r="AN204" s="5242"/>
      <c r="AO204" s="5243"/>
      <c r="AP204" s="5244"/>
      <c r="AQ204" s="5245"/>
      <c r="AR204" s="5246"/>
      <c r="AS204" s="5247"/>
      <c r="AT204" s="5248"/>
      <c r="AU204" s="5249"/>
      <c r="AV204" s="3823"/>
      <c r="AW204" s="3897"/>
      <c r="AX204" s="3897" t="str">
        <f>IF(T204="","",T204)</f>
        <v>Добавить группу потребителей</v>
      </c>
      <c r="AY204" s="3897"/>
      <c r="AZ204" s="3897"/>
      <c r="BA204" s="3775">
        <v>0</v>
      </c>
    </row>
    <row s="10561" customFormat="1" customHeight="1" ht="14.25">
      <c r="A205" s="3885"/>
      <c r="B205" s="3885"/>
      <c r="C205" s="3885"/>
      <c r="D205" s="3885"/>
      <c r="E205" s="3886"/>
      <c r="F205" s="3886"/>
      <c r="G205" s="3886"/>
      <c r="H205" s="3887">
        <v>1</v>
      </c>
      <c r="I205" s="3885"/>
      <c r="J205" s="3885"/>
      <c r="K205" s="3885"/>
      <c r="L205" s="3888"/>
      <c r="M205" s="3889"/>
      <c r="N205" s="3889"/>
      <c r="O205" s="3815"/>
      <c r="P205" s="3975"/>
      <c r="Q205" s="3976"/>
      <c r="R205" s="3977"/>
      <c r="S205" s="5251"/>
      <c r="T205" s="5252" t="s">
        <v>568</v>
      </c>
      <c r="U205" s="5253"/>
      <c r="V205" s="5254"/>
      <c r="W205" s="5255"/>
      <c r="X205" s="5256"/>
      <c r="Y205" s="5257"/>
      <c r="Z205" s="5258"/>
      <c r="AA205" s="5259"/>
      <c r="AB205" s="5260"/>
      <c r="AC205" s="5261"/>
      <c r="AD205" s="5262"/>
      <c r="AE205" s="5263"/>
      <c r="AF205" s="5264"/>
      <c r="AG205" s="5265"/>
      <c r="AH205" s="5266"/>
      <c r="AI205" s="5267"/>
      <c r="AJ205" s="5268"/>
      <c r="AK205" s="5269"/>
      <c r="AL205" s="5270"/>
      <c r="AM205" s="5271"/>
      <c r="AN205" s="5272"/>
      <c r="AO205" s="5273"/>
      <c r="AP205" s="5274"/>
      <c r="AQ205" s="5275"/>
      <c r="AR205" s="5276"/>
      <c r="AS205" s="5277"/>
      <c r="AT205" s="5278"/>
      <c r="AU205" s="5279"/>
      <c r="AV205" s="3823"/>
      <c r="AW205" s="3897"/>
      <c r="AX205" s="3897" t="str">
        <f>IF(T205="","",T205)</f>
        <v>Добавить схему подключения</v>
      </c>
      <c r="AY205" s="3897"/>
      <c r="AZ205" s="3897"/>
      <c r="BA205" s="3775">
        <v>0</v>
      </c>
    </row>
    <row s="10591" customFormat="1" customHeight="1" ht="0.75">
      <c r="A206" s="4107"/>
      <c r="B206" s="4107"/>
      <c r="C206" s="4107"/>
      <c r="D206" s="4107"/>
      <c r="E206" s="3886"/>
      <c r="F206" s="3886" t="s">
        <v>144</v>
      </c>
      <c r="G206" s="3887"/>
      <c r="H206" s="4107"/>
      <c r="I206" s="4107"/>
      <c r="J206" s="4107"/>
      <c r="K206" s="4107"/>
      <c r="L206" s="4108"/>
      <c r="M206" s="4109"/>
      <c r="N206" s="4109"/>
      <c r="O206" s="3823"/>
      <c r="P206" s="4110"/>
      <c r="Q206" s="4111"/>
      <c r="R206" s="4110"/>
      <c r="S206" s="4112"/>
      <c r="T206" s="4113" t="s">
        <v>273</v>
      </c>
      <c r="U206" s="3813"/>
      <c r="V206" s="3813"/>
      <c r="W206" s="3813"/>
      <c r="X206" s="3813"/>
      <c r="Y206" s="3813"/>
      <c r="Z206" s="3813"/>
      <c r="AA206" s="3813"/>
      <c r="AB206" s="3813"/>
      <c r="AC206" s="3813"/>
      <c r="AD206" s="3813"/>
      <c r="AE206" s="3813"/>
      <c r="AF206" s="3813"/>
      <c r="AG206" s="3813"/>
      <c r="AH206" s="3813"/>
      <c r="AI206" s="3813"/>
      <c r="AJ206" s="3813"/>
      <c r="AK206" s="3813"/>
      <c r="AL206" s="3813"/>
      <c r="AM206" s="3813"/>
      <c r="AN206" s="3813"/>
      <c r="AO206" s="3813"/>
      <c r="AP206" s="3813"/>
      <c r="AQ206" s="3813"/>
      <c r="AR206" s="3813"/>
      <c r="AS206" s="3813"/>
      <c r="AT206" s="3813"/>
      <c r="AU206" s="3813"/>
      <c r="AV206" s="3823"/>
      <c r="AW206" s="3897"/>
      <c r="AX206" s="3897" t="str">
        <f>IF(T206="","",T206)</f>
        <v>Добавить источник для дифференциации</v>
      </c>
      <c r="AY206" s="3897"/>
      <c r="AZ206" s="3897"/>
      <c r="BA206" s="3823">
        <v>0</v>
      </c>
    </row>
    <row s="10592" customFormat="1" customHeight="1" ht="0.75">
      <c r="A207" s="4107"/>
      <c r="B207" s="4107"/>
      <c r="C207" s="4107"/>
      <c r="D207" s="4107"/>
      <c r="E207" s="3886"/>
      <c r="F207" s="3887" t="s">
        <v>144</v>
      </c>
      <c r="G207" s="4107"/>
      <c r="H207" s="4107"/>
      <c r="I207" s="4107"/>
      <c r="J207" s="4107"/>
      <c r="K207" s="4107"/>
      <c r="L207" s="4108"/>
      <c r="M207" s="4115"/>
      <c r="N207" s="4115"/>
      <c r="O207" s="3823"/>
      <c r="P207" s="4110"/>
      <c r="Q207" s="4111"/>
      <c r="R207" s="4110"/>
      <c r="S207" s="4116"/>
      <c r="T207" s="4117" t="s">
        <v>274</v>
      </c>
      <c r="U207" s="3814"/>
      <c r="V207" s="3814"/>
      <c r="W207" s="3814"/>
      <c r="X207" s="3814"/>
      <c r="Y207" s="3814"/>
      <c r="Z207" s="3814"/>
      <c r="AA207" s="3814"/>
      <c r="AB207" s="3814"/>
      <c r="AC207" s="3814"/>
      <c r="AD207" s="3814"/>
      <c r="AE207" s="3814"/>
      <c r="AF207" s="3814"/>
      <c r="AG207" s="3814"/>
      <c r="AH207" s="3814"/>
      <c r="AI207" s="3814"/>
      <c r="AJ207" s="3814"/>
      <c r="AK207" s="3814"/>
      <c r="AL207" s="3814"/>
      <c r="AM207" s="3814"/>
      <c r="AN207" s="3814"/>
      <c r="AO207" s="3814"/>
      <c r="AP207" s="3814"/>
      <c r="AQ207" s="3814"/>
      <c r="AR207" s="3814"/>
      <c r="AS207" s="3814"/>
      <c r="AT207" s="3814"/>
      <c r="AU207" s="3814"/>
      <c r="AV207" s="3823"/>
      <c r="AW207" s="3897"/>
      <c r="AX207" s="3897" t="str">
        <f>IF(T207="","",T207)</f>
        <v>Добавить централизованную систему для дифференциации</v>
      </c>
      <c r="AY207" s="3897"/>
      <c r="AZ207" s="3897"/>
      <c r="BA207" s="3823">
        <v>0</v>
      </c>
    </row>
    <row s="10593" customFormat="1" customHeight="1" ht="21">
      <c r="A208" s="3885"/>
      <c r="B208" s="3885" t="s">
        <v>316</v>
      </c>
      <c r="C208" s="3885"/>
      <c r="D208" s="3885"/>
      <c r="E208" s="3886"/>
      <c r="F208" s="3887" t="s">
        <v>153</v>
      </c>
      <c r="G208" s="3885"/>
      <c r="H208" s="3885"/>
      <c r="I208" s="3885"/>
      <c r="J208" s="3885"/>
      <c r="K208" s="3885"/>
      <c r="L208" s="3888"/>
      <c r="M208" s="3889"/>
      <c r="N208" s="3889"/>
      <c r="O208" s="3889"/>
      <c r="P208" s="4008"/>
      <c r="Q208" s="3891"/>
      <c r="R208" s="3892"/>
      <c r="S208" s="3893" t="str">
        <f>INDEX(PT_DIFFERENTIATION_NUM_TER,MATCH(B208,PT_DIFFERENTIATION_TER_ID,0))</f>
        <v>1.12</v>
      </c>
      <c r="T208" s="4009" t="s">
        <v>552</v>
      </c>
      <c r="U208" s="3895"/>
      <c r="V208" s="3776"/>
      <c r="W208" s="3777"/>
      <c r="X208" s="3777"/>
      <c r="Y208" s="3777"/>
      <c r="Z208" s="3777"/>
      <c r="AA208" s="3777"/>
      <c r="AB208" s="3777"/>
      <c r="AC208" s="3778"/>
      <c r="AD208" s="3776" t="str">
        <f>INDEX(PT_DIFFERENTIATION_TER,MATCH(B208,PT_DIFFERENTIATION_TER_ID,0))</f>
        <v>Территория 12</v>
      </c>
      <c r="AE208" s="3777"/>
      <c r="AF208" s="3777"/>
      <c r="AG208" s="3777"/>
      <c r="AH208" s="3777"/>
      <c r="AI208" s="3777"/>
      <c r="AJ208" s="3777"/>
      <c r="AK208" s="3777"/>
      <c r="AL208" s="3776"/>
      <c r="AM208" s="3777"/>
      <c r="AN208" s="3777"/>
      <c r="AO208" s="3777"/>
      <c r="AP208" s="3777"/>
      <c r="AQ208" s="3777"/>
      <c r="AR208" s="3777"/>
      <c r="AS208" s="3778"/>
      <c r="AT208" s="3778"/>
      <c r="AU208" s="3896" t="s">
        <v>553</v>
      </c>
      <c r="AV208" s="3823"/>
      <c r="AW208" s="3897"/>
      <c r="AX208" s="3897" t="str">
        <f>IF(T208="","",T208)</f>
        <v>Территория действия тарифа</v>
      </c>
      <c r="AY208" s="3897"/>
      <c r="AZ208" s="3897"/>
      <c r="BA208" s="3775">
        <v>0</v>
      </c>
    </row>
    <row s="10594" customFormat="1" customHeight="1" ht="23.25">
      <c r="A209" s="3885"/>
      <c r="B209" s="3885"/>
      <c r="C209" s="3885" t="s">
        <v>317</v>
      </c>
      <c r="D209" s="3885"/>
      <c r="E209" s="3886"/>
      <c r="F209" s="3886" t="s">
        <v>148</v>
      </c>
      <c r="G209" s="3887">
        <v>1</v>
      </c>
      <c r="H209" s="3885"/>
      <c r="I209" s="3885"/>
      <c r="J209" s="3885"/>
      <c r="K209" s="3885"/>
      <c r="L209" s="3888"/>
      <c r="M209" s="3889"/>
      <c r="N209" s="3889"/>
      <c r="O209" s="3889"/>
      <c r="P209" s="3890"/>
      <c r="Q209" s="3891"/>
      <c r="R209" s="3892"/>
      <c r="S209" s="3893" t="str">
        <f>INDEX(PT_DIFFERENTIATION_NUM_CS,MATCH(C209,PT_DIFFERENTIATION_CS_ID,0))</f>
        <v>1.12.1</v>
      </c>
      <c r="T209" s="4011" t="s">
        <v>554</v>
      </c>
      <c r="U209" s="3895"/>
      <c r="V209" s="3776"/>
      <c r="W209" s="3777"/>
      <c r="X209" s="3777"/>
      <c r="Y209" s="3777"/>
      <c r="Z209" s="3777"/>
      <c r="AA209" s="3777"/>
      <c r="AB209" s="3777"/>
      <c r="AC209" s="3778"/>
      <c r="AD209" s="3776" t="str">
        <f>INDEX(PT_DIFFERENTIATION_CS,MATCH(C209,PT_DIFFERENTIATION_CS_ID,0))</f>
        <v>без дифференциации</v>
      </c>
      <c r="AE209" s="3777"/>
      <c r="AF209" s="3777"/>
      <c r="AG209" s="3777"/>
      <c r="AH209" s="3777"/>
      <c r="AI209" s="3777"/>
      <c r="AJ209" s="3777"/>
      <c r="AK209" s="3777"/>
      <c r="AL209" s="3776"/>
      <c r="AM209" s="3777"/>
      <c r="AN209" s="3777"/>
      <c r="AO209" s="3777"/>
      <c r="AP209" s="3777"/>
      <c r="AQ209" s="3777"/>
      <c r="AR209" s="3777"/>
      <c r="AS209" s="3778"/>
      <c r="AT209" s="3778"/>
      <c r="AU209" s="3896" t="s">
        <v>555</v>
      </c>
      <c r="AV209" s="3823"/>
      <c r="AW209" s="3897"/>
      <c r="AX209" s="3897" t="str">
        <f>IF(T209="","",T209)</f>
        <v>Наименование системы теплоснабжения </v>
      </c>
      <c r="AY209" s="3897"/>
      <c r="AZ209" s="3897"/>
      <c r="BA209" s="3775">
        <v>0</v>
      </c>
    </row>
    <row s="10595" customFormat="1" customHeight="1" ht="21">
      <c r="A210" s="3885"/>
      <c r="B210" s="3885"/>
      <c r="C210" s="3885"/>
      <c r="D210" s="3885" t="s">
        <v>318</v>
      </c>
      <c r="E210" s="3886"/>
      <c r="F210" s="3886" t="s">
        <v>148</v>
      </c>
      <c r="G210" s="3886"/>
      <c r="H210" s="3887">
        <v>1</v>
      </c>
      <c r="I210" s="3885"/>
      <c r="J210" s="3885"/>
      <c r="K210" s="3885"/>
      <c r="L210" s="3888"/>
      <c r="M210" s="3889"/>
      <c r="N210" s="3889"/>
      <c r="O210" s="3889"/>
      <c r="P210" s="3890"/>
      <c r="Q210" s="3891"/>
      <c r="R210" s="3892"/>
      <c r="S210" s="3893" t="str">
        <f>INDEX(PT_DIFFERENTIATION_NUM_IST_TE,MATCH(D210,PT_DIFFERENTIATION_IST_TE_ID,0))</f>
        <v>1.12.1.1</v>
      </c>
      <c r="T210" s="3894" t="s">
        <v>556</v>
      </c>
      <c r="U210" s="3895"/>
      <c r="V210" s="3776"/>
      <c r="W210" s="3777"/>
      <c r="X210" s="3777"/>
      <c r="Y210" s="3777"/>
      <c r="Z210" s="3777"/>
      <c r="AA210" s="3777"/>
      <c r="AB210" s="3777"/>
      <c r="AC210" s="3778"/>
      <c r="AD210" s="3776" t="str">
        <f>INDEX(PT_DIFFERENTIATION_IST_TE,MATCH(D210,PT_DIFFERENTIATION_IST_TE_ID,0))</f>
        <v>город Гаджиево</v>
      </c>
      <c r="AE210" s="3777"/>
      <c r="AF210" s="3777"/>
      <c r="AG210" s="3777"/>
      <c r="AH210" s="3777"/>
      <c r="AI210" s="3777"/>
      <c r="AJ210" s="3777"/>
      <c r="AK210" s="3777"/>
      <c r="AL210" s="3776"/>
      <c r="AM210" s="3777"/>
      <c r="AN210" s="3777"/>
      <c r="AO210" s="3777"/>
      <c r="AP210" s="3777"/>
      <c r="AQ210" s="3777"/>
      <c r="AR210" s="3777"/>
      <c r="AS210" s="3778"/>
      <c r="AT210" s="3778"/>
      <c r="AU210" s="3896" t="s">
        <v>557</v>
      </c>
      <c r="AV210" s="3823"/>
      <c r="AW210" s="3897"/>
      <c r="AX210" s="3897" t="str">
        <f>IF(T210="","",T210)</f>
        <v>Источник тепловой энергии  </v>
      </c>
      <c r="AY210" s="3897"/>
      <c r="AZ210" s="3897"/>
      <c r="BA210" s="3775">
        <v>0</v>
      </c>
    </row>
    <row s="10596" customFormat="1" customHeight="1" ht="47.25">
      <c r="A211" s="3885"/>
      <c r="B211" s="3885"/>
      <c r="C211" s="3885"/>
      <c r="D211" s="3885"/>
      <c r="E211" s="3886"/>
      <c r="F211" s="3886" t="s">
        <v>148</v>
      </c>
      <c r="G211" s="3886"/>
      <c r="H211" s="3886"/>
      <c r="I211" s="3899" t="str">
        <f>S210&amp;".1"</f>
        <v>1.12.1.1.1</v>
      </c>
      <c r="J211" s="3885"/>
      <c r="K211" s="3885"/>
      <c r="L211" s="3888" t="s">
        <v>558</v>
      </c>
      <c r="M211" s="3815"/>
      <c r="N211" s="3900"/>
      <c r="O211" s="3900"/>
      <c r="P211" s="3901">
        <v>1</v>
      </c>
      <c r="Q211" s="3901"/>
      <c r="R211" s="3902"/>
      <c r="S211" s="3893" t="str">
        <f>$I211</f>
        <v>1.12.1.1.1</v>
      </c>
      <c r="T211" s="3903" t="s">
        <v>559</v>
      </c>
      <c r="U211" s="3895"/>
      <c r="V211" s="3779"/>
      <c r="W211" s="3780"/>
      <c r="X211" s="3780"/>
      <c r="Y211" s="3780"/>
      <c r="Z211" s="3780"/>
      <c r="AA211" s="3780"/>
      <c r="AB211" s="3780"/>
      <c r="AC211" s="3781"/>
      <c r="AD211" s="3779" t="s">
        <v>601</v>
      </c>
      <c r="AE211" s="3780"/>
      <c r="AF211" s="3780"/>
      <c r="AG211" s="3780"/>
      <c r="AH211" s="3780"/>
      <c r="AI211" s="3780"/>
      <c r="AJ211" s="3780"/>
      <c r="AK211" s="3780"/>
      <c r="AL211" s="3779"/>
      <c r="AM211" s="3780"/>
      <c r="AN211" s="3780"/>
      <c r="AO211" s="3780"/>
      <c r="AP211" s="3780"/>
      <c r="AQ211" s="3780"/>
      <c r="AR211" s="3780"/>
      <c r="AS211" s="3781"/>
      <c r="AT211" s="3781"/>
      <c r="AU211" s="3896" t="s">
        <v>560</v>
      </c>
      <c r="AV211" s="3823"/>
      <c r="AW211" s="3897"/>
      <c r="AX211" s="3897" t="str">
        <f>IF(T211="","",T211)</f>
        <v>Схема подключения теплопотребляющей установки к коллектору источника тепловой энергии</v>
      </c>
      <c r="AY211" s="3897"/>
      <c r="AZ211" s="3897"/>
      <c r="BA211" s="3775">
        <v>0</v>
      </c>
    </row>
    <row s="10597" customFormat="1" customHeight="1" ht="21">
      <c r="A212" s="3885"/>
      <c r="B212" s="3885"/>
      <c r="C212" s="3885"/>
      <c r="D212" s="3885"/>
      <c r="E212" s="3886"/>
      <c r="F212" s="3886" t="s">
        <v>148</v>
      </c>
      <c r="G212" s="3886"/>
      <c r="H212" s="3886"/>
      <c r="I212" s="3905"/>
      <c r="J212" s="3899" t="str">
        <f>I211&amp;".1"</f>
        <v>1.12.1.1.1.1</v>
      </c>
      <c r="K212" s="3885"/>
      <c r="L212" s="3888" t="s">
        <v>561</v>
      </c>
      <c r="M212" s="3815"/>
      <c r="N212" s="3815"/>
      <c r="O212" s="3900"/>
      <c r="P212" s="3901"/>
      <c r="Q212" s="3901">
        <v>1</v>
      </c>
      <c r="R212" s="3906"/>
      <c r="S212" s="3893" t="str">
        <f>$J212</f>
        <v>1.12.1.1.1.1</v>
      </c>
      <c r="T212" s="3907" t="s">
        <v>562</v>
      </c>
      <c r="U212" s="3895"/>
      <c r="V212" s="3779"/>
      <c r="W212" s="3780"/>
      <c r="X212" s="3780"/>
      <c r="Y212" s="3780"/>
      <c r="Z212" s="3780"/>
      <c r="AA212" s="3780"/>
      <c r="AB212" s="3780"/>
      <c r="AC212" s="3781"/>
      <c r="AD212" s="3779" t="s">
        <v>602</v>
      </c>
      <c r="AE212" s="3780"/>
      <c r="AF212" s="3780"/>
      <c r="AG212" s="3780"/>
      <c r="AH212" s="3780"/>
      <c r="AI212" s="3780"/>
      <c r="AJ212" s="3780"/>
      <c r="AK212" s="3780"/>
      <c r="AL212" s="3779"/>
      <c r="AM212" s="3780"/>
      <c r="AN212" s="3780"/>
      <c r="AO212" s="3780"/>
      <c r="AP212" s="3780"/>
      <c r="AQ212" s="3780"/>
      <c r="AR212" s="3780"/>
      <c r="AS212" s="3781"/>
      <c r="AT212" s="3781"/>
      <c r="AU212" s="3896" t="s">
        <v>563</v>
      </c>
      <c r="AV212" s="3823"/>
      <c r="AW212" s="3897"/>
      <c r="AX212" s="3897" t="str">
        <f>IF(T212="","",T212)</f>
        <v>Группа потребителей</v>
      </c>
      <c r="AY212" s="3897"/>
      <c r="AZ212" s="3897"/>
      <c r="BA212" s="3775">
        <v>0</v>
      </c>
    </row>
    <row s="10598" customFormat="1" customHeight="1" ht="21">
      <c r="A213" s="3885"/>
      <c r="B213" s="3885"/>
      <c r="C213" s="3885"/>
      <c r="D213" s="3885"/>
      <c r="E213" s="3886"/>
      <c r="F213" s="3886" t="s">
        <v>148</v>
      </c>
      <c r="G213" s="3886"/>
      <c r="H213" s="3886"/>
      <c r="I213" s="3905"/>
      <c r="J213" s="3905"/>
      <c r="K213" s="3899" t="str">
        <f>J212&amp;".1"</f>
        <v>1.12.1.1.1.1.1</v>
      </c>
      <c r="L213" s="3888" t="s">
        <v>564</v>
      </c>
      <c r="M213" s="3815"/>
      <c r="N213" s="3815"/>
      <c r="O213" s="3815"/>
      <c r="P213" s="3901"/>
      <c r="Q213" s="3901"/>
      <c r="R213" s="3906">
        <v>1</v>
      </c>
      <c r="S213" s="3893" t="str">
        <f>$K213</f>
        <v>1.12.1.1.1.1.1</v>
      </c>
      <c r="T213" s="3909" t="s">
        <v>603</v>
      </c>
      <c r="U213" s="3895"/>
      <c r="V213" s="3855"/>
      <c r="W213" s="3855"/>
      <c r="X213" s="3855"/>
      <c r="Y213" s="3856"/>
      <c r="Z213" s="3857"/>
      <c r="AA213" s="3858" t="s">
        <v>63</v>
      </c>
      <c r="AB213" s="3857"/>
      <c r="AC213" s="3858" t="s">
        <v>63</v>
      </c>
      <c r="AD213" s="3783"/>
      <c r="AE213" s="3784">
        <v>705.55</v>
      </c>
      <c r="AF213" s="3783"/>
      <c r="AG213" s="3785"/>
      <c r="AH213" s="3786">
        <v>45658</v>
      </c>
      <c r="AI213" s="3191" t="s">
        <v>63</v>
      </c>
      <c r="AJ213" s="3786">
        <v>46022</v>
      </c>
      <c r="AK213" s="3191" t="s">
        <v>19</v>
      </c>
      <c r="AL213" s="3855"/>
      <c r="AM213" s="3855"/>
      <c r="AN213" s="3855"/>
      <c r="AO213" s="3856"/>
      <c r="AP213" s="3857"/>
      <c r="AQ213" s="3858" t="s">
        <v>63</v>
      </c>
      <c r="AR213" s="3857"/>
      <c r="AS213" s="3858" t="s">
        <v>63</v>
      </c>
      <c r="AT213" s="3783"/>
      <c r="AU213" s="3910" t="s">
        <v>565</v>
      </c>
      <c r="AV213" s="3823">
        <f>STRCHECKDATE(V214:AT214)</f>
      </c>
      <c r="AW213" s="3897"/>
      <c r="AX213" s="3897" t="str">
        <f>IF(T213="","",T213)</f>
        <v>вода</v>
      </c>
      <c r="AY213" s="3897"/>
      <c r="AZ213" s="3897"/>
      <c r="BA213" s="3775">
        <v>0</v>
      </c>
    </row>
    <row s="10599" customFormat="1" customHeight="1" ht="0.75">
      <c r="A214" s="3885"/>
      <c r="B214" s="3885"/>
      <c r="C214" s="3885"/>
      <c r="D214" s="3885"/>
      <c r="E214" s="3886"/>
      <c r="F214" s="3886" t="s">
        <v>148</v>
      </c>
      <c r="G214" s="3886"/>
      <c r="H214" s="3886"/>
      <c r="I214" s="3905"/>
      <c r="J214" s="3905"/>
      <c r="K214" s="3899"/>
      <c r="L214" s="3888"/>
      <c r="M214" s="3815"/>
      <c r="N214" s="3815"/>
      <c r="O214" s="3815"/>
      <c r="P214" s="3901"/>
      <c r="Q214" s="3901"/>
      <c r="R214" s="3906"/>
      <c r="S214" s="3912"/>
      <c r="T214" s="3895"/>
      <c r="U214" s="3895"/>
      <c r="V214" s="3855"/>
      <c r="W214" s="3855"/>
      <c r="X214" s="3855"/>
      <c r="Y214" s="3787" t="str">
        <f>Z213&amp;"-"&amp;AB213</f>
        <v>-</v>
      </c>
      <c r="Z214" s="3858"/>
      <c r="AA214" s="3858"/>
      <c r="AB214" s="3858"/>
      <c r="AC214" s="3858"/>
      <c r="AD214" s="3783"/>
      <c r="AE214" s="3783"/>
      <c r="AF214" s="3783"/>
      <c r="AG214" s="3787" t="str">
        <f>AH213&amp;"-"&amp;AJ213</f>
        <v>45658-46022</v>
      </c>
      <c r="AH214" s="3788"/>
      <c r="AI214" s="3191"/>
      <c r="AJ214" s="3788"/>
      <c r="AK214" s="3191"/>
      <c r="AL214" s="3855"/>
      <c r="AM214" s="3855"/>
      <c r="AN214" s="3855"/>
      <c r="AO214" s="3787" t="str">
        <f>AP213&amp;"-"&amp;AR213</f>
        <v>-</v>
      </c>
      <c r="AP214" s="3858"/>
      <c r="AQ214" s="3858"/>
      <c r="AR214" s="3858"/>
      <c r="AS214" s="3858"/>
      <c r="AT214" s="3783"/>
      <c r="AU214" s="3913"/>
      <c r="AV214" s="3823"/>
      <c r="AW214" s="3897"/>
      <c r="AX214" s="3897" t="str">
        <f>IF(T214="","",T214)</f>
        <v/>
      </c>
      <c r="AY214" s="3897"/>
      <c r="AZ214" s="3897"/>
      <c r="BA214" s="3775">
        <v>0</v>
      </c>
    </row>
    <row s="10600" customFormat="1" customHeight="1" ht="15">
      <c r="A215" s="3885"/>
      <c r="B215" s="3885"/>
      <c r="C215" s="3885"/>
      <c r="D215" s="3885"/>
      <c r="E215" s="3886"/>
      <c r="F215" s="3886" t="s">
        <v>148</v>
      </c>
      <c r="G215" s="3886"/>
      <c r="H215" s="3886"/>
      <c r="I215" s="3905"/>
      <c r="J215" s="3899"/>
      <c r="K215" s="3885"/>
      <c r="L215" s="3888"/>
      <c r="M215" s="3815"/>
      <c r="N215" s="3815"/>
      <c r="O215" s="3900"/>
      <c r="P215" s="3901"/>
      <c r="Q215" s="3901"/>
      <c r="R215" s="3902"/>
      <c r="S215" s="5290"/>
      <c r="T215" s="5291" t="s">
        <v>566</v>
      </c>
      <c r="U215" s="5292"/>
      <c r="V215" s="5293"/>
      <c r="W215" s="5294"/>
      <c r="X215" s="5295"/>
      <c r="Y215" s="5296"/>
      <c r="Z215" s="5297"/>
      <c r="AA215" s="5298"/>
      <c r="AB215" s="5299"/>
      <c r="AC215" s="5300"/>
      <c r="AD215" s="5301"/>
      <c r="AE215" s="5302"/>
      <c r="AF215" s="5303"/>
      <c r="AG215" s="5304"/>
      <c r="AH215" s="5305"/>
      <c r="AI215" s="5306"/>
      <c r="AJ215" s="5307"/>
      <c r="AK215" s="5308"/>
      <c r="AL215" s="5309"/>
      <c r="AM215" s="5310"/>
      <c r="AN215" s="5311"/>
      <c r="AO215" s="5312"/>
      <c r="AP215" s="5313"/>
      <c r="AQ215" s="5314"/>
      <c r="AR215" s="5315"/>
      <c r="AS215" s="5316"/>
      <c r="AT215" s="5317"/>
      <c r="AU215" s="3943"/>
      <c r="AV215" s="3823"/>
      <c r="AW215" s="3897"/>
      <c r="AX215" s="3897" t="str">
        <f>IF(T215="","",T215)</f>
        <v>Добавить вид теплоносителя (параметры теплоносителя)</v>
      </c>
      <c r="AY215" s="3897"/>
      <c r="AZ215" s="3897"/>
      <c r="BA215" s="3775">
        <v>0</v>
      </c>
    </row>
    <row s="10629" customFormat="1" customHeight="1" ht="15">
      <c r="A216" s="3885"/>
      <c r="B216" s="3885"/>
      <c r="C216" s="3885"/>
      <c r="D216" s="3885"/>
      <c r="E216" s="3886"/>
      <c r="F216" s="3886" t="s">
        <v>148</v>
      </c>
      <c r="G216" s="3886"/>
      <c r="H216" s="3886"/>
      <c r="I216" s="3899"/>
      <c r="J216" s="3885"/>
      <c r="K216" s="3885"/>
      <c r="L216" s="3888"/>
      <c r="M216" s="3815"/>
      <c r="N216" s="3900"/>
      <c r="O216" s="3900"/>
      <c r="P216" s="3901"/>
      <c r="Q216" s="3901"/>
      <c r="R216" s="3902"/>
      <c r="S216" s="5319"/>
      <c r="T216" s="5320" t="s">
        <v>567</v>
      </c>
      <c r="U216" s="5321"/>
      <c r="V216" s="5322"/>
      <c r="W216" s="5323"/>
      <c r="X216" s="5324"/>
      <c r="Y216" s="5325"/>
      <c r="Z216" s="5326"/>
      <c r="AA216" s="5327"/>
      <c r="AB216" s="5328"/>
      <c r="AC216" s="5329"/>
      <c r="AD216" s="5330"/>
      <c r="AE216" s="5331"/>
      <c r="AF216" s="5332"/>
      <c r="AG216" s="5333"/>
      <c r="AH216" s="5334"/>
      <c r="AI216" s="5335"/>
      <c r="AJ216" s="5336"/>
      <c r="AK216" s="5337"/>
      <c r="AL216" s="5338"/>
      <c r="AM216" s="5339"/>
      <c r="AN216" s="5340"/>
      <c r="AO216" s="5341"/>
      <c r="AP216" s="5342"/>
      <c r="AQ216" s="5343"/>
      <c r="AR216" s="5344"/>
      <c r="AS216" s="5345"/>
      <c r="AT216" s="5346"/>
      <c r="AU216" s="5347"/>
      <c r="AV216" s="3823"/>
      <c r="AW216" s="3897"/>
      <c r="AX216" s="3897" t="str">
        <f>IF(T216="","",T216)</f>
        <v>Добавить группу потребителей</v>
      </c>
      <c r="AY216" s="3897"/>
      <c r="AZ216" s="3897"/>
      <c r="BA216" s="3775">
        <v>0</v>
      </c>
    </row>
    <row s="10659" customFormat="1" customHeight="1" ht="14.25">
      <c r="A217" s="3885"/>
      <c r="B217" s="3885"/>
      <c r="C217" s="3885"/>
      <c r="D217" s="3885"/>
      <c r="E217" s="3886"/>
      <c r="F217" s="3886" t="s">
        <v>148</v>
      </c>
      <c r="G217" s="3886"/>
      <c r="H217" s="3887"/>
      <c r="I217" s="3885"/>
      <c r="J217" s="3885"/>
      <c r="K217" s="3885"/>
      <c r="L217" s="3888"/>
      <c r="M217" s="3889"/>
      <c r="N217" s="3889"/>
      <c r="O217" s="3815"/>
      <c r="P217" s="3975"/>
      <c r="Q217" s="3976"/>
      <c r="R217" s="3977"/>
      <c r="S217" s="5349"/>
      <c r="T217" s="5350" t="s">
        <v>568</v>
      </c>
      <c r="U217" s="5351"/>
      <c r="V217" s="5352"/>
      <c r="W217" s="5353"/>
      <c r="X217" s="5354"/>
      <c r="Y217" s="5355"/>
      <c r="Z217" s="5356"/>
      <c r="AA217" s="5357"/>
      <c r="AB217" s="5358"/>
      <c r="AC217" s="5359"/>
      <c r="AD217" s="5360"/>
      <c r="AE217" s="5361"/>
      <c r="AF217" s="5362"/>
      <c r="AG217" s="5363"/>
      <c r="AH217" s="5364"/>
      <c r="AI217" s="5365"/>
      <c r="AJ217" s="5366"/>
      <c r="AK217" s="5367"/>
      <c r="AL217" s="5368"/>
      <c r="AM217" s="5369"/>
      <c r="AN217" s="5370"/>
      <c r="AO217" s="5371"/>
      <c r="AP217" s="5372"/>
      <c r="AQ217" s="5373"/>
      <c r="AR217" s="5374"/>
      <c r="AS217" s="5375"/>
      <c r="AT217" s="5376"/>
      <c r="AU217" s="5377"/>
      <c r="AV217" s="3823"/>
      <c r="AW217" s="3897"/>
      <c r="AX217" s="3897" t="str">
        <f>IF(T217="","",T217)</f>
        <v>Добавить схему подключения</v>
      </c>
      <c r="AY217" s="3897"/>
      <c r="AZ217" s="3897"/>
      <c r="BA217" s="3775">
        <v>0</v>
      </c>
    </row>
    <row s="10689" customFormat="1" customHeight="1" ht="21">
      <c r="A218" s="3885"/>
      <c r="B218" s="3885"/>
      <c r="C218" s="3885"/>
      <c r="D218" s="3885" t="s">
        <v>320</v>
      </c>
      <c r="E218" s="3886"/>
      <c r="F218" s="3886"/>
      <c r="G218" s="3886"/>
      <c r="H218" s="3887" t="s">
        <v>105</v>
      </c>
      <c r="I218" s="3885"/>
      <c r="J218" s="3885"/>
      <c r="K218" s="3885"/>
      <c r="L218" s="3888"/>
      <c r="M218" s="3889"/>
      <c r="N218" s="3889"/>
      <c r="O218" s="3889"/>
      <c r="P218" s="3890"/>
      <c r="Q218" s="3891"/>
      <c r="R218" s="3892"/>
      <c r="S218" s="3893" t="str">
        <f>INDEX(PT_DIFFERENTIATION_NUM_IST_TE,MATCH(D218,PT_DIFFERENTIATION_IST_TE_ID,0))</f>
        <v>1.12.1.2</v>
      </c>
      <c r="T218" s="3894" t="s">
        <v>556</v>
      </c>
      <c r="U218" s="3895"/>
      <c r="V218" s="3776"/>
      <c r="W218" s="3777"/>
      <c r="X218" s="3777"/>
      <c r="Y218" s="3777"/>
      <c r="Z218" s="3777"/>
      <c r="AA218" s="3777"/>
      <c r="AB218" s="3777"/>
      <c r="AC218" s="3778"/>
      <c r="AD218" s="3776" t="str">
        <f>INDEX(PT_DIFFERENTIATION_IST_TE,MATCH(D218,PT_DIFFERENTIATION_IST_TE_ID,0))</f>
        <v>город Полярный</v>
      </c>
      <c r="AE218" s="3777"/>
      <c r="AF218" s="3777"/>
      <c r="AG218" s="3777"/>
      <c r="AH218" s="3777"/>
      <c r="AI218" s="3777"/>
      <c r="AJ218" s="3777"/>
      <c r="AK218" s="3777"/>
      <c r="AL218" s="3776"/>
      <c r="AM218" s="3777"/>
      <c r="AN218" s="3777"/>
      <c r="AO218" s="3777"/>
      <c r="AP218" s="3777"/>
      <c r="AQ218" s="3777"/>
      <c r="AR218" s="3777"/>
      <c r="AS218" s="3778"/>
      <c r="AT218" s="3778"/>
      <c r="AU218" s="3896" t="s">
        <v>557</v>
      </c>
      <c r="AV218" s="3823"/>
      <c r="AW218" s="3897"/>
      <c r="AX218" s="3897" t="str">
        <f>IF(T218="","",T218)</f>
        <v>Источник тепловой энергии  </v>
      </c>
      <c r="AY218" s="3897"/>
      <c r="AZ218" s="3897"/>
      <c r="BA218" s="3775">
        <v>0</v>
      </c>
    </row>
    <row s="10690" customFormat="1" customHeight="1" ht="47.25">
      <c r="A219" s="3885"/>
      <c r="B219" s="3885"/>
      <c r="C219" s="3885"/>
      <c r="D219" s="3885"/>
      <c r="E219" s="3886"/>
      <c r="F219" s="3886"/>
      <c r="G219" s="3886"/>
      <c r="H219" s="3886">
        <v>1</v>
      </c>
      <c r="I219" s="3899" t="str">
        <f>S218&amp;".1"</f>
        <v>1.12.1.2.1</v>
      </c>
      <c r="J219" s="3885"/>
      <c r="K219" s="3885"/>
      <c r="L219" s="3888" t="s">
        <v>558</v>
      </c>
      <c r="M219" s="3815"/>
      <c r="N219" s="3900"/>
      <c r="O219" s="3900"/>
      <c r="P219" s="3901">
        <v>1</v>
      </c>
      <c r="Q219" s="3901"/>
      <c r="R219" s="3902"/>
      <c r="S219" s="3893" t="str">
        <f>$I219</f>
        <v>1.12.1.2.1</v>
      </c>
      <c r="T219" s="3903" t="s">
        <v>559</v>
      </c>
      <c r="U219" s="3895"/>
      <c r="V219" s="3779"/>
      <c r="W219" s="3780"/>
      <c r="X219" s="3780"/>
      <c r="Y219" s="3780"/>
      <c r="Z219" s="3780"/>
      <c r="AA219" s="3780"/>
      <c r="AB219" s="3780"/>
      <c r="AC219" s="3781"/>
      <c r="AD219" s="3779" t="s">
        <v>601</v>
      </c>
      <c r="AE219" s="3780"/>
      <c r="AF219" s="3780"/>
      <c r="AG219" s="3780"/>
      <c r="AH219" s="3780"/>
      <c r="AI219" s="3780"/>
      <c r="AJ219" s="3780"/>
      <c r="AK219" s="3780"/>
      <c r="AL219" s="3779"/>
      <c r="AM219" s="3780"/>
      <c r="AN219" s="3780"/>
      <c r="AO219" s="3780"/>
      <c r="AP219" s="3780"/>
      <c r="AQ219" s="3780"/>
      <c r="AR219" s="3780"/>
      <c r="AS219" s="3781"/>
      <c r="AT219" s="3781"/>
      <c r="AU219" s="3896" t="s">
        <v>560</v>
      </c>
      <c r="AV219" s="3823"/>
      <c r="AW219" s="3897"/>
      <c r="AX219" s="3897" t="str">
        <f>IF(T219="","",T219)</f>
        <v>Схема подключения теплопотребляющей установки к коллектору источника тепловой энергии</v>
      </c>
      <c r="AY219" s="3897"/>
      <c r="AZ219" s="3897"/>
      <c r="BA219" s="3775">
        <v>0</v>
      </c>
    </row>
    <row s="10691" customFormat="1" customHeight="1" ht="21">
      <c r="A220" s="3885"/>
      <c r="B220" s="3885"/>
      <c r="C220" s="3885"/>
      <c r="D220" s="3885"/>
      <c r="E220" s="3886"/>
      <c r="F220" s="3886"/>
      <c r="G220" s="3886"/>
      <c r="H220" s="3886">
        <v>1</v>
      </c>
      <c r="I220" s="3905"/>
      <c r="J220" s="3899" t="str">
        <f>I219&amp;".1"</f>
        <v>1.12.1.2.1.1</v>
      </c>
      <c r="K220" s="3885"/>
      <c r="L220" s="3888" t="s">
        <v>561</v>
      </c>
      <c r="M220" s="3815"/>
      <c r="N220" s="3815"/>
      <c r="O220" s="3900"/>
      <c r="P220" s="3901"/>
      <c r="Q220" s="3901">
        <v>1</v>
      </c>
      <c r="R220" s="3906"/>
      <c r="S220" s="3893" t="str">
        <f>$J220</f>
        <v>1.12.1.2.1.1</v>
      </c>
      <c r="T220" s="3907" t="s">
        <v>562</v>
      </c>
      <c r="U220" s="3895"/>
      <c r="V220" s="3779"/>
      <c r="W220" s="3780"/>
      <c r="X220" s="3780"/>
      <c r="Y220" s="3780"/>
      <c r="Z220" s="3780"/>
      <c r="AA220" s="3780"/>
      <c r="AB220" s="3780"/>
      <c r="AC220" s="3781"/>
      <c r="AD220" s="3779" t="s">
        <v>602</v>
      </c>
      <c r="AE220" s="3780"/>
      <c r="AF220" s="3780"/>
      <c r="AG220" s="3780"/>
      <c r="AH220" s="3780"/>
      <c r="AI220" s="3780"/>
      <c r="AJ220" s="3780"/>
      <c r="AK220" s="3780"/>
      <c r="AL220" s="3779"/>
      <c r="AM220" s="3780"/>
      <c r="AN220" s="3780"/>
      <c r="AO220" s="3780"/>
      <c r="AP220" s="3780"/>
      <c r="AQ220" s="3780"/>
      <c r="AR220" s="3780"/>
      <c r="AS220" s="3781"/>
      <c r="AT220" s="3781"/>
      <c r="AU220" s="3896" t="s">
        <v>563</v>
      </c>
      <c r="AV220" s="3823"/>
      <c r="AW220" s="3897"/>
      <c r="AX220" s="3897" t="str">
        <f>IF(T220="","",T220)</f>
        <v>Группа потребителей</v>
      </c>
      <c r="AY220" s="3897"/>
      <c r="AZ220" s="3897"/>
      <c r="BA220" s="3775">
        <v>0</v>
      </c>
    </row>
    <row s="10692" customFormat="1" customHeight="1" ht="21">
      <c r="A221" s="3885"/>
      <c r="B221" s="3885"/>
      <c r="C221" s="3885"/>
      <c r="D221" s="3885"/>
      <c r="E221" s="3886"/>
      <c r="F221" s="3886"/>
      <c r="G221" s="3886"/>
      <c r="H221" s="3886">
        <v>1</v>
      </c>
      <c r="I221" s="3905"/>
      <c r="J221" s="3905"/>
      <c r="K221" s="3899" t="str">
        <f>J220&amp;".1"</f>
        <v>1.12.1.2.1.1.1</v>
      </c>
      <c r="L221" s="3888" t="s">
        <v>564</v>
      </c>
      <c r="M221" s="3815"/>
      <c r="N221" s="3815"/>
      <c r="O221" s="3815"/>
      <c r="P221" s="3901"/>
      <c r="Q221" s="3901"/>
      <c r="R221" s="3906">
        <v>1</v>
      </c>
      <c r="S221" s="3893" t="str">
        <f>$K221</f>
        <v>1.12.1.2.1.1.1</v>
      </c>
      <c r="T221" s="3909" t="s">
        <v>603</v>
      </c>
      <c r="U221" s="3895"/>
      <c r="V221" s="3855"/>
      <c r="W221" s="3855"/>
      <c r="X221" s="3855"/>
      <c r="Y221" s="3856"/>
      <c r="Z221" s="3857"/>
      <c r="AA221" s="3858" t="s">
        <v>63</v>
      </c>
      <c r="AB221" s="3857"/>
      <c r="AC221" s="3858" t="s">
        <v>63</v>
      </c>
      <c r="AD221" s="3783"/>
      <c r="AE221" s="3784">
        <v>705.55</v>
      </c>
      <c r="AF221" s="3783"/>
      <c r="AG221" s="3785"/>
      <c r="AH221" s="3786">
        <v>45658</v>
      </c>
      <c r="AI221" s="3191" t="s">
        <v>63</v>
      </c>
      <c r="AJ221" s="3786">
        <v>46022</v>
      </c>
      <c r="AK221" s="3191" t="s">
        <v>19</v>
      </c>
      <c r="AL221" s="3855"/>
      <c r="AM221" s="3855"/>
      <c r="AN221" s="3855"/>
      <c r="AO221" s="3856"/>
      <c r="AP221" s="3857"/>
      <c r="AQ221" s="3858" t="s">
        <v>63</v>
      </c>
      <c r="AR221" s="3857"/>
      <c r="AS221" s="3858" t="s">
        <v>63</v>
      </c>
      <c r="AT221" s="3783"/>
      <c r="AU221" s="3910" t="s">
        <v>565</v>
      </c>
      <c r="AV221" s="3823">
        <f>STRCHECKDATE(V222:AT222)</f>
      </c>
      <c r="AW221" s="3897"/>
      <c r="AX221" s="3897" t="str">
        <f>IF(T221="","",T221)</f>
        <v>вода</v>
      </c>
      <c r="AY221" s="3897"/>
      <c r="AZ221" s="3897"/>
      <c r="BA221" s="3775">
        <v>0</v>
      </c>
    </row>
    <row s="10693" customFormat="1" customHeight="1" ht="0.75">
      <c r="A222" s="3885"/>
      <c r="B222" s="3885"/>
      <c r="C222" s="3885"/>
      <c r="D222" s="3885"/>
      <c r="E222" s="3886"/>
      <c r="F222" s="3886"/>
      <c r="G222" s="3886"/>
      <c r="H222" s="3886">
        <v>1</v>
      </c>
      <c r="I222" s="3905"/>
      <c r="J222" s="3905"/>
      <c r="K222" s="3899"/>
      <c r="L222" s="3888"/>
      <c r="M222" s="3815"/>
      <c r="N222" s="3815"/>
      <c r="O222" s="3815"/>
      <c r="P222" s="3901"/>
      <c r="Q222" s="3901"/>
      <c r="R222" s="3906"/>
      <c r="S222" s="3912"/>
      <c r="T222" s="3895"/>
      <c r="U222" s="3895"/>
      <c r="V222" s="3855"/>
      <c r="W222" s="3855"/>
      <c r="X222" s="3855"/>
      <c r="Y222" s="3787" t="str">
        <f>Z221&amp;"-"&amp;AB221</f>
        <v>-</v>
      </c>
      <c r="Z222" s="3858"/>
      <c r="AA222" s="3858"/>
      <c r="AB222" s="3858"/>
      <c r="AC222" s="3858"/>
      <c r="AD222" s="3783"/>
      <c r="AE222" s="3783"/>
      <c r="AF222" s="3783"/>
      <c r="AG222" s="3787" t="str">
        <f>AH221&amp;"-"&amp;AJ221</f>
        <v>45658-46022</v>
      </c>
      <c r="AH222" s="3788"/>
      <c r="AI222" s="3191"/>
      <c r="AJ222" s="3788"/>
      <c r="AK222" s="3191"/>
      <c r="AL222" s="3855"/>
      <c r="AM222" s="3855"/>
      <c r="AN222" s="3855"/>
      <c r="AO222" s="3787" t="str">
        <f>AP221&amp;"-"&amp;AR221</f>
        <v>-</v>
      </c>
      <c r="AP222" s="3858"/>
      <c r="AQ222" s="3858"/>
      <c r="AR222" s="3858"/>
      <c r="AS222" s="3858"/>
      <c r="AT222" s="3783"/>
      <c r="AU222" s="3913"/>
      <c r="AV222" s="3823"/>
      <c r="AW222" s="3897"/>
      <c r="AX222" s="3897" t="str">
        <f>IF(T222="","",T222)</f>
        <v/>
      </c>
      <c r="AY222" s="3897"/>
      <c r="AZ222" s="3897"/>
      <c r="BA222" s="3775">
        <v>0</v>
      </c>
    </row>
    <row s="10694" customFormat="1" customHeight="1" ht="15">
      <c r="A223" s="3885"/>
      <c r="B223" s="3885"/>
      <c r="C223" s="3885"/>
      <c r="D223" s="3885"/>
      <c r="E223" s="3886"/>
      <c r="F223" s="3886"/>
      <c r="G223" s="3886"/>
      <c r="H223" s="3886">
        <v>1</v>
      </c>
      <c r="I223" s="3905"/>
      <c r="J223" s="3899"/>
      <c r="K223" s="3885"/>
      <c r="L223" s="3888"/>
      <c r="M223" s="3815"/>
      <c r="N223" s="3815"/>
      <c r="O223" s="3900"/>
      <c r="P223" s="3901"/>
      <c r="Q223" s="3901"/>
      <c r="R223" s="3902"/>
      <c r="S223" s="5384"/>
      <c r="T223" s="5385" t="s">
        <v>566</v>
      </c>
      <c r="U223" s="5386"/>
      <c r="V223" s="5387"/>
      <c r="W223" s="5388"/>
      <c r="X223" s="5389"/>
      <c r="Y223" s="5390"/>
      <c r="Z223" s="5391"/>
      <c r="AA223" s="5392"/>
      <c r="AB223" s="5393"/>
      <c r="AC223" s="5394"/>
      <c r="AD223" s="5395"/>
      <c r="AE223" s="5396"/>
      <c r="AF223" s="5397"/>
      <c r="AG223" s="5398"/>
      <c r="AH223" s="5399"/>
      <c r="AI223" s="5400"/>
      <c r="AJ223" s="5401"/>
      <c r="AK223" s="5402"/>
      <c r="AL223" s="5403"/>
      <c r="AM223" s="5404"/>
      <c r="AN223" s="5405"/>
      <c r="AO223" s="5406"/>
      <c r="AP223" s="5407"/>
      <c r="AQ223" s="5408"/>
      <c r="AR223" s="5409"/>
      <c r="AS223" s="5410"/>
      <c r="AT223" s="5411"/>
      <c r="AU223" s="3943"/>
      <c r="AV223" s="3823"/>
      <c r="AW223" s="3897"/>
      <c r="AX223" s="3897" t="str">
        <f>IF(T223="","",T223)</f>
        <v>Добавить вид теплоносителя (параметры теплоносителя)</v>
      </c>
      <c r="AY223" s="3897"/>
      <c r="AZ223" s="3897"/>
      <c r="BA223" s="3775">
        <v>0</v>
      </c>
    </row>
    <row s="10723" customFormat="1" customHeight="1" ht="15">
      <c r="A224" s="3885"/>
      <c r="B224" s="3885"/>
      <c r="C224" s="3885"/>
      <c r="D224" s="3885"/>
      <c r="E224" s="3886"/>
      <c r="F224" s="3886"/>
      <c r="G224" s="3886"/>
      <c r="H224" s="3886">
        <v>1</v>
      </c>
      <c r="I224" s="3899"/>
      <c r="J224" s="3885"/>
      <c r="K224" s="3885"/>
      <c r="L224" s="3888"/>
      <c r="M224" s="3815"/>
      <c r="N224" s="3900"/>
      <c r="O224" s="3900"/>
      <c r="P224" s="3901"/>
      <c r="Q224" s="3901"/>
      <c r="R224" s="3902"/>
      <c r="S224" s="5413"/>
      <c r="T224" s="5414" t="s">
        <v>567</v>
      </c>
      <c r="U224" s="5415"/>
      <c r="V224" s="5416"/>
      <c r="W224" s="5417"/>
      <c r="X224" s="5418"/>
      <c r="Y224" s="5419"/>
      <c r="Z224" s="5420"/>
      <c r="AA224" s="5421"/>
      <c r="AB224" s="5422"/>
      <c r="AC224" s="5423"/>
      <c r="AD224" s="5424"/>
      <c r="AE224" s="5425"/>
      <c r="AF224" s="5426"/>
      <c r="AG224" s="5427"/>
      <c r="AH224" s="5428"/>
      <c r="AI224" s="5429"/>
      <c r="AJ224" s="5430"/>
      <c r="AK224" s="5431"/>
      <c r="AL224" s="5432"/>
      <c r="AM224" s="5433"/>
      <c r="AN224" s="5434"/>
      <c r="AO224" s="5435"/>
      <c r="AP224" s="5436"/>
      <c r="AQ224" s="5437"/>
      <c r="AR224" s="5438"/>
      <c r="AS224" s="5439"/>
      <c r="AT224" s="5440"/>
      <c r="AU224" s="5441"/>
      <c r="AV224" s="3823"/>
      <c r="AW224" s="3897"/>
      <c r="AX224" s="3897" t="str">
        <f>IF(T224="","",T224)</f>
        <v>Добавить группу потребителей</v>
      </c>
      <c r="AY224" s="3897"/>
      <c r="AZ224" s="3897"/>
      <c r="BA224" s="3775">
        <v>0</v>
      </c>
    </row>
    <row s="10753" customFormat="1" customHeight="1" ht="14.25">
      <c r="A225" s="3885"/>
      <c r="B225" s="3885"/>
      <c r="C225" s="3885"/>
      <c r="D225" s="3885"/>
      <c r="E225" s="3886"/>
      <c r="F225" s="3886"/>
      <c r="G225" s="3886"/>
      <c r="H225" s="3887">
        <v>1</v>
      </c>
      <c r="I225" s="3885"/>
      <c r="J225" s="3885"/>
      <c r="K225" s="3885"/>
      <c r="L225" s="3888"/>
      <c r="M225" s="3889"/>
      <c r="N225" s="3889"/>
      <c r="O225" s="3815"/>
      <c r="P225" s="3975"/>
      <c r="Q225" s="3976"/>
      <c r="R225" s="3977"/>
      <c r="S225" s="5443"/>
      <c r="T225" s="5444" t="s">
        <v>568</v>
      </c>
      <c r="U225" s="5445"/>
      <c r="V225" s="5446"/>
      <c r="W225" s="5447"/>
      <c r="X225" s="5448"/>
      <c r="Y225" s="5449"/>
      <c r="Z225" s="5450"/>
      <c r="AA225" s="5451"/>
      <c r="AB225" s="5452"/>
      <c r="AC225" s="5453"/>
      <c r="AD225" s="5454"/>
      <c r="AE225" s="5455"/>
      <c r="AF225" s="5456"/>
      <c r="AG225" s="5457"/>
      <c r="AH225" s="5458"/>
      <c r="AI225" s="5459"/>
      <c r="AJ225" s="5460"/>
      <c r="AK225" s="5461"/>
      <c r="AL225" s="5462"/>
      <c r="AM225" s="5463"/>
      <c r="AN225" s="5464"/>
      <c r="AO225" s="5465"/>
      <c r="AP225" s="5466"/>
      <c r="AQ225" s="5467"/>
      <c r="AR225" s="5468"/>
      <c r="AS225" s="5469"/>
      <c r="AT225" s="5470"/>
      <c r="AU225" s="5471"/>
      <c r="AV225" s="3823"/>
      <c r="AW225" s="3897"/>
      <c r="AX225" s="3897" t="str">
        <f>IF(T225="","",T225)</f>
        <v>Добавить схему подключения</v>
      </c>
      <c r="AY225" s="3897"/>
      <c r="AZ225" s="3897"/>
      <c r="BA225" s="3775">
        <v>0</v>
      </c>
    </row>
    <row s="10783" customFormat="1" customHeight="1" ht="21">
      <c r="A226" s="3885"/>
      <c r="B226" s="3885"/>
      <c r="C226" s="3885"/>
      <c r="D226" s="3885" t="s">
        <v>322</v>
      </c>
      <c r="E226" s="3886"/>
      <c r="F226" s="3886"/>
      <c r="G226" s="3886"/>
      <c r="H226" s="3887" t="s">
        <v>92</v>
      </c>
      <c r="I226" s="3885"/>
      <c r="J226" s="3885"/>
      <c r="K226" s="3885"/>
      <c r="L226" s="3888"/>
      <c r="M226" s="3889"/>
      <c r="N226" s="3889"/>
      <c r="O226" s="3889"/>
      <c r="P226" s="3890"/>
      <c r="Q226" s="3891"/>
      <c r="R226" s="3892"/>
      <c r="S226" s="3893" t="str">
        <f>INDEX(PT_DIFFERENTIATION_NUM_IST_TE,MATCH(D226,PT_DIFFERENTIATION_IST_TE_ID,0))</f>
        <v>1.12.1.3</v>
      </c>
      <c r="T226" s="3894" t="s">
        <v>556</v>
      </c>
      <c r="U226" s="3895"/>
      <c r="V226" s="3776"/>
      <c r="W226" s="3777"/>
      <c r="X226" s="3777"/>
      <c r="Y226" s="3777"/>
      <c r="Z226" s="3777"/>
      <c r="AA226" s="3777"/>
      <c r="AB226" s="3777"/>
      <c r="AC226" s="3778"/>
      <c r="AD226" s="3776" t="str">
        <f>INDEX(PT_DIFFERENTIATION_IST_TE,MATCH(D226,PT_DIFFERENTIATION_IST_TE_ID,0))</f>
        <v>город Снежногорск, населенный пункт Оленья Губа</v>
      </c>
      <c r="AE226" s="3777"/>
      <c r="AF226" s="3777"/>
      <c r="AG226" s="3777"/>
      <c r="AH226" s="3777"/>
      <c r="AI226" s="3777"/>
      <c r="AJ226" s="3777"/>
      <c r="AK226" s="3777"/>
      <c r="AL226" s="3776"/>
      <c r="AM226" s="3777"/>
      <c r="AN226" s="3777"/>
      <c r="AO226" s="3777"/>
      <c r="AP226" s="3777"/>
      <c r="AQ226" s="3777"/>
      <c r="AR226" s="3777"/>
      <c r="AS226" s="3778"/>
      <c r="AT226" s="3778"/>
      <c r="AU226" s="3896" t="s">
        <v>557</v>
      </c>
      <c r="AV226" s="3823"/>
      <c r="AW226" s="3897"/>
      <c r="AX226" s="3897" t="str">
        <f>IF(T226="","",T226)</f>
        <v>Источник тепловой энергии  </v>
      </c>
      <c r="AY226" s="3897"/>
      <c r="AZ226" s="3897"/>
      <c r="BA226" s="3775">
        <v>0</v>
      </c>
    </row>
    <row s="10784" customFormat="1" customHeight="1" ht="47.25">
      <c r="A227" s="3885"/>
      <c r="B227" s="3885"/>
      <c r="C227" s="3885"/>
      <c r="D227" s="3885"/>
      <c r="E227" s="3886"/>
      <c r="F227" s="3886"/>
      <c r="G227" s="3886"/>
      <c r="H227" s="3886" t="s">
        <v>105</v>
      </c>
      <c r="I227" s="3899" t="str">
        <f>S226&amp;".1"</f>
        <v>1.12.1.3.1</v>
      </c>
      <c r="J227" s="3885"/>
      <c r="K227" s="3885"/>
      <c r="L227" s="3888" t="s">
        <v>558</v>
      </c>
      <c r="M227" s="3815"/>
      <c r="N227" s="3900"/>
      <c r="O227" s="3900"/>
      <c r="P227" s="3901">
        <v>1</v>
      </c>
      <c r="Q227" s="3901"/>
      <c r="R227" s="3902"/>
      <c r="S227" s="3893" t="str">
        <f>$I227</f>
        <v>1.12.1.3.1</v>
      </c>
      <c r="T227" s="3903" t="s">
        <v>559</v>
      </c>
      <c r="U227" s="3895"/>
      <c r="V227" s="3779"/>
      <c r="W227" s="3780"/>
      <c r="X227" s="3780"/>
      <c r="Y227" s="3780"/>
      <c r="Z227" s="3780"/>
      <c r="AA227" s="3780"/>
      <c r="AB227" s="3780"/>
      <c r="AC227" s="3781"/>
      <c r="AD227" s="3779" t="s">
        <v>601</v>
      </c>
      <c r="AE227" s="3780"/>
      <c r="AF227" s="3780"/>
      <c r="AG227" s="3780"/>
      <c r="AH227" s="3780"/>
      <c r="AI227" s="3780"/>
      <c r="AJ227" s="3780"/>
      <c r="AK227" s="3780"/>
      <c r="AL227" s="3779"/>
      <c r="AM227" s="3780"/>
      <c r="AN227" s="3780"/>
      <c r="AO227" s="3780"/>
      <c r="AP227" s="3780"/>
      <c r="AQ227" s="3780"/>
      <c r="AR227" s="3780"/>
      <c r="AS227" s="3781"/>
      <c r="AT227" s="3781"/>
      <c r="AU227" s="3896" t="s">
        <v>560</v>
      </c>
      <c r="AV227" s="3823"/>
      <c r="AW227" s="3897"/>
      <c r="AX227" s="3897" t="str">
        <f>IF(T227="","",T227)</f>
        <v>Схема подключения теплопотребляющей установки к коллектору источника тепловой энергии</v>
      </c>
      <c r="AY227" s="3897"/>
      <c r="AZ227" s="3897"/>
      <c r="BA227" s="3775">
        <v>0</v>
      </c>
    </row>
    <row s="10785" customFormat="1" customHeight="1" ht="21">
      <c r="A228" s="3885"/>
      <c r="B228" s="3885"/>
      <c r="C228" s="3885"/>
      <c r="D228" s="3885"/>
      <c r="E228" s="3886"/>
      <c r="F228" s="3886"/>
      <c r="G228" s="3886"/>
      <c r="H228" s="3886" t="s">
        <v>105</v>
      </c>
      <c r="I228" s="3905"/>
      <c r="J228" s="3899" t="str">
        <f>I227&amp;".1"</f>
        <v>1.12.1.3.1.1</v>
      </c>
      <c r="K228" s="3885"/>
      <c r="L228" s="3888" t="s">
        <v>561</v>
      </c>
      <c r="M228" s="3815"/>
      <c r="N228" s="3815"/>
      <c r="O228" s="3900"/>
      <c r="P228" s="3901"/>
      <c r="Q228" s="3901">
        <v>1</v>
      </c>
      <c r="R228" s="3906"/>
      <c r="S228" s="3893" t="str">
        <f>$J228</f>
        <v>1.12.1.3.1.1</v>
      </c>
      <c r="T228" s="3907" t="s">
        <v>562</v>
      </c>
      <c r="U228" s="3895"/>
      <c r="V228" s="3779"/>
      <c r="W228" s="3780"/>
      <c r="X228" s="3780"/>
      <c r="Y228" s="3780"/>
      <c r="Z228" s="3780"/>
      <c r="AA228" s="3780"/>
      <c r="AB228" s="3780"/>
      <c r="AC228" s="3781"/>
      <c r="AD228" s="3779" t="s">
        <v>602</v>
      </c>
      <c r="AE228" s="3780"/>
      <c r="AF228" s="3780"/>
      <c r="AG228" s="3780"/>
      <c r="AH228" s="3780"/>
      <c r="AI228" s="3780"/>
      <c r="AJ228" s="3780"/>
      <c r="AK228" s="3780"/>
      <c r="AL228" s="3779"/>
      <c r="AM228" s="3780"/>
      <c r="AN228" s="3780"/>
      <c r="AO228" s="3780"/>
      <c r="AP228" s="3780"/>
      <c r="AQ228" s="3780"/>
      <c r="AR228" s="3780"/>
      <c r="AS228" s="3781"/>
      <c r="AT228" s="3781"/>
      <c r="AU228" s="3896" t="s">
        <v>563</v>
      </c>
      <c r="AV228" s="3823"/>
      <c r="AW228" s="3897"/>
      <c r="AX228" s="3897" t="str">
        <f>IF(T228="","",T228)</f>
        <v>Группа потребителей</v>
      </c>
      <c r="AY228" s="3897"/>
      <c r="AZ228" s="3897"/>
      <c r="BA228" s="3775">
        <v>0</v>
      </c>
    </row>
    <row s="10786" customFormat="1" customHeight="1" ht="21">
      <c r="A229" s="3885"/>
      <c r="B229" s="3885"/>
      <c r="C229" s="3885"/>
      <c r="D229" s="3885"/>
      <c r="E229" s="3886"/>
      <c r="F229" s="3886"/>
      <c r="G229" s="3886"/>
      <c r="H229" s="3886" t="s">
        <v>105</v>
      </c>
      <c r="I229" s="3905"/>
      <c r="J229" s="3905"/>
      <c r="K229" s="3899" t="str">
        <f>J228&amp;".1"</f>
        <v>1.12.1.3.1.1.1</v>
      </c>
      <c r="L229" s="3888" t="s">
        <v>564</v>
      </c>
      <c r="M229" s="3815"/>
      <c r="N229" s="3815"/>
      <c r="O229" s="3815"/>
      <c r="P229" s="3901"/>
      <c r="Q229" s="3901"/>
      <c r="R229" s="3906">
        <v>1</v>
      </c>
      <c r="S229" s="3893" t="str">
        <f>$K229</f>
        <v>1.12.1.3.1.1.1</v>
      </c>
      <c r="T229" s="3909" t="s">
        <v>603</v>
      </c>
      <c r="U229" s="3895"/>
      <c r="V229" s="3855"/>
      <c r="W229" s="3855"/>
      <c r="X229" s="3855"/>
      <c r="Y229" s="3856"/>
      <c r="Z229" s="3857"/>
      <c r="AA229" s="3858" t="s">
        <v>63</v>
      </c>
      <c r="AB229" s="3857"/>
      <c r="AC229" s="3858" t="s">
        <v>63</v>
      </c>
      <c r="AD229" s="3783"/>
      <c r="AE229" s="3784">
        <v>705.55</v>
      </c>
      <c r="AF229" s="3783"/>
      <c r="AG229" s="3785"/>
      <c r="AH229" s="3786">
        <v>45658</v>
      </c>
      <c r="AI229" s="3191" t="s">
        <v>63</v>
      </c>
      <c r="AJ229" s="3786">
        <v>46022</v>
      </c>
      <c r="AK229" s="3191" t="s">
        <v>19</v>
      </c>
      <c r="AL229" s="3855"/>
      <c r="AM229" s="3855"/>
      <c r="AN229" s="3855"/>
      <c r="AO229" s="3856"/>
      <c r="AP229" s="3857"/>
      <c r="AQ229" s="3858" t="s">
        <v>63</v>
      </c>
      <c r="AR229" s="3857"/>
      <c r="AS229" s="3858" t="s">
        <v>63</v>
      </c>
      <c r="AT229" s="3783"/>
      <c r="AU229" s="3910" t="s">
        <v>565</v>
      </c>
      <c r="AV229" s="3823">
        <f>STRCHECKDATE(V230:AT230)</f>
      </c>
      <c r="AW229" s="3897"/>
      <c r="AX229" s="3897" t="str">
        <f>IF(T229="","",T229)</f>
        <v>вода</v>
      </c>
      <c r="AY229" s="3897"/>
      <c r="AZ229" s="3897"/>
      <c r="BA229" s="3775">
        <v>0</v>
      </c>
    </row>
    <row s="10787" customFormat="1" customHeight="1" ht="0.75">
      <c r="A230" s="3885"/>
      <c r="B230" s="3885"/>
      <c r="C230" s="3885"/>
      <c r="D230" s="3885"/>
      <c r="E230" s="3886"/>
      <c r="F230" s="3886"/>
      <c r="G230" s="3886"/>
      <c r="H230" s="3886" t="s">
        <v>105</v>
      </c>
      <c r="I230" s="3905"/>
      <c r="J230" s="3905"/>
      <c r="K230" s="3899"/>
      <c r="L230" s="3888"/>
      <c r="M230" s="3815"/>
      <c r="N230" s="3815"/>
      <c r="O230" s="3815"/>
      <c r="P230" s="3901"/>
      <c r="Q230" s="3901"/>
      <c r="R230" s="3906"/>
      <c r="S230" s="3912"/>
      <c r="T230" s="3895"/>
      <c r="U230" s="3895"/>
      <c r="V230" s="3855"/>
      <c r="W230" s="3855"/>
      <c r="X230" s="3855"/>
      <c r="Y230" s="3787" t="str">
        <f>Z229&amp;"-"&amp;AB229</f>
        <v>-</v>
      </c>
      <c r="Z230" s="3858"/>
      <c r="AA230" s="3858"/>
      <c r="AB230" s="3858"/>
      <c r="AC230" s="3858"/>
      <c r="AD230" s="3783"/>
      <c r="AE230" s="3783"/>
      <c r="AF230" s="3783"/>
      <c r="AG230" s="3787" t="str">
        <f>AH229&amp;"-"&amp;AJ229</f>
        <v>45658-46022</v>
      </c>
      <c r="AH230" s="3788"/>
      <c r="AI230" s="3191"/>
      <c r="AJ230" s="3788"/>
      <c r="AK230" s="3191"/>
      <c r="AL230" s="3855"/>
      <c r="AM230" s="3855"/>
      <c r="AN230" s="3855"/>
      <c r="AO230" s="3787" t="str">
        <f>AP229&amp;"-"&amp;AR229</f>
        <v>-</v>
      </c>
      <c r="AP230" s="3858"/>
      <c r="AQ230" s="3858"/>
      <c r="AR230" s="3858"/>
      <c r="AS230" s="3858"/>
      <c r="AT230" s="3783"/>
      <c r="AU230" s="3913"/>
      <c r="AV230" s="3823"/>
      <c r="AW230" s="3897"/>
      <c r="AX230" s="3897" t="str">
        <f>IF(T230="","",T230)</f>
        <v/>
      </c>
      <c r="AY230" s="3897"/>
      <c r="AZ230" s="3897"/>
      <c r="BA230" s="3775">
        <v>0</v>
      </c>
    </row>
    <row s="10788" customFormat="1" customHeight="1" ht="15">
      <c r="A231" s="3885"/>
      <c r="B231" s="3885"/>
      <c r="C231" s="3885"/>
      <c r="D231" s="3885"/>
      <c r="E231" s="3886"/>
      <c r="F231" s="3886"/>
      <c r="G231" s="3886"/>
      <c r="H231" s="3886" t="s">
        <v>105</v>
      </c>
      <c r="I231" s="3905"/>
      <c r="J231" s="3899"/>
      <c r="K231" s="3885"/>
      <c r="L231" s="3888"/>
      <c r="M231" s="3815"/>
      <c r="N231" s="3815"/>
      <c r="O231" s="3900"/>
      <c r="P231" s="3901"/>
      <c r="Q231" s="3901"/>
      <c r="R231" s="3902"/>
      <c r="S231" s="5478"/>
      <c r="T231" s="5479" t="s">
        <v>566</v>
      </c>
      <c r="U231" s="5480"/>
      <c r="V231" s="5481"/>
      <c r="W231" s="5482"/>
      <c r="X231" s="5483"/>
      <c r="Y231" s="5484"/>
      <c r="Z231" s="5485"/>
      <c r="AA231" s="5486"/>
      <c r="AB231" s="5487"/>
      <c r="AC231" s="5488"/>
      <c r="AD231" s="5489"/>
      <c r="AE231" s="5490"/>
      <c r="AF231" s="5491"/>
      <c r="AG231" s="5492"/>
      <c r="AH231" s="5493"/>
      <c r="AI231" s="5494"/>
      <c r="AJ231" s="5495"/>
      <c r="AK231" s="5496"/>
      <c r="AL231" s="5497"/>
      <c r="AM231" s="5498"/>
      <c r="AN231" s="5499"/>
      <c r="AO231" s="5500"/>
      <c r="AP231" s="5501"/>
      <c r="AQ231" s="5502"/>
      <c r="AR231" s="5503"/>
      <c r="AS231" s="5504"/>
      <c r="AT231" s="5505"/>
      <c r="AU231" s="3943"/>
      <c r="AV231" s="3823"/>
      <c r="AW231" s="3897"/>
      <c r="AX231" s="3897" t="str">
        <f>IF(T231="","",T231)</f>
        <v>Добавить вид теплоносителя (параметры теплоносителя)</v>
      </c>
      <c r="AY231" s="3897"/>
      <c r="AZ231" s="3897"/>
      <c r="BA231" s="3775">
        <v>0</v>
      </c>
    </row>
    <row s="10817" customFormat="1" customHeight="1" ht="15">
      <c r="A232" s="3885"/>
      <c r="B232" s="3885"/>
      <c r="C232" s="3885"/>
      <c r="D232" s="3885"/>
      <c r="E232" s="3886"/>
      <c r="F232" s="3886"/>
      <c r="G232" s="3886"/>
      <c r="H232" s="3886" t="s">
        <v>105</v>
      </c>
      <c r="I232" s="3899"/>
      <c r="J232" s="3885"/>
      <c r="K232" s="3885"/>
      <c r="L232" s="3888"/>
      <c r="M232" s="3815"/>
      <c r="N232" s="3900"/>
      <c r="O232" s="3900"/>
      <c r="P232" s="3901"/>
      <c r="Q232" s="3901"/>
      <c r="R232" s="3902"/>
      <c r="S232" s="5507"/>
      <c r="T232" s="5508" t="s">
        <v>567</v>
      </c>
      <c r="U232" s="5509"/>
      <c r="V232" s="5510"/>
      <c r="W232" s="5511"/>
      <c r="X232" s="5512"/>
      <c r="Y232" s="5513"/>
      <c r="Z232" s="5514"/>
      <c r="AA232" s="5515"/>
      <c r="AB232" s="5516"/>
      <c r="AC232" s="5517"/>
      <c r="AD232" s="5518"/>
      <c r="AE232" s="5519"/>
      <c r="AF232" s="5520"/>
      <c r="AG232" s="5521"/>
      <c r="AH232" s="5522"/>
      <c r="AI232" s="5523"/>
      <c r="AJ232" s="5524"/>
      <c r="AK232" s="5525"/>
      <c r="AL232" s="5526"/>
      <c r="AM232" s="5527"/>
      <c r="AN232" s="5528"/>
      <c r="AO232" s="5529"/>
      <c r="AP232" s="5530"/>
      <c r="AQ232" s="5531"/>
      <c r="AR232" s="5532"/>
      <c r="AS232" s="5533"/>
      <c r="AT232" s="5534"/>
      <c r="AU232" s="5535"/>
      <c r="AV232" s="3823"/>
      <c r="AW232" s="3897"/>
      <c r="AX232" s="3897" t="str">
        <f>IF(T232="","",T232)</f>
        <v>Добавить группу потребителей</v>
      </c>
      <c r="AY232" s="3897"/>
      <c r="AZ232" s="3897"/>
      <c r="BA232" s="3775">
        <v>0</v>
      </c>
    </row>
    <row s="10847" customFormat="1" customHeight="1" ht="14.25">
      <c r="A233" s="3885"/>
      <c r="B233" s="3885"/>
      <c r="C233" s="3885"/>
      <c r="D233" s="3885"/>
      <c r="E233" s="3886"/>
      <c r="F233" s="3886"/>
      <c r="G233" s="3886"/>
      <c r="H233" s="3887" t="s">
        <v>105</v>
      </c>
      <c r="I233" s="3885"/>
      <c r="J233" s="3885"/>
      <c r="K233" s="3885"/>
      <c r="L233" s="3888"/>
      <c r="M233" s="3889"/>
      <c r="N233" s="3889"/>
      <c r="O233" s="3815"/>
      <c r="P233" s="3975"/>
      <c r="Q233" s="3976"/>
      <c r="R233" s="3977"/>
      <c r="S233" s="5537"/>
      <c r="T233" s="5538" t="s">
        <v>568</v>
      </c>
      <c r="U233" s="5539"/>
      <c r="V233" s="5540"/>
      <c r="W233" s="5541"/>
      <c r="X233" s="5542"/>
      <c r="Y233" s="5543"/>
      <c r="Z233" s="5544"/>
      <c r="AA233" s="5545"/>
      <c r="AB233" s="5546"/>
      <c r="AC233" s="5547"/>
      <c r="AD233" s="5548"/>
      <c r="AE233" s="5549"/>
      <c r="AF233" s="5550"/>
      <c r="AG233" s="5551"/>
      <c r="AH233" s="5552"/>
      <c r="AI233" s="5553"/>
      <c r="AJ233" s="5554"/>
      <c r="AK233" s="5555"/>
      <c r="AL233" s="5556"/>
      <c r="AM233" s="5557"/>
      <c r="AN233" s="5558"/>
      <c r="AO233" s="5559"/>
      <c r="AP233" s="5560"/>
      <c r="AQ233" s="5561"/>
      <c r="AR233" s="5562"/>
      <c r="AS233" s="5563"/>
      <c r="AT233" s="5564"/>
      <c r="AU233" s="5565"/>
      <c r="AV233" s="3823"/>
      <c r="AW233" s="3897"/>
      <c r="AX233" s="3897" t="str">
        <f>IF(T233="","",T233)</f>
        <v>Добавить схему подключения</v>
      </c>
      <c r="AY233" s="3897"/>
      <c r="AZ233" s="3897"/>
      <c r="BA233" s="3775">
        <v>0</v>
      </c>
    </row>
    <row s="10877" customFormat="1" customHeight="1" ht="0.75">
      <c r="A234" s="4107"/>
      <c r="B234" s="4107"/>
      <c r="C234" s="4107"/>
      <c r="D234" s="4107"/>
      <c r="E234" s="3886"/>
      <c r="F234" s="3886" t="s">
        <v>148</v>
      </c>
      <c r="G234" s="3887"/>
      <c r="H234" s="4107"/>
      <c r="I234" s="4107"/>
      <c r="J234" s="4107"/>
      <c r="K234" s="4107"/>
      <c r="L234" s="4108"/>
      <c r="M234" s="4109"/>
      <c r="N234" s="4109"/>
      <c r="O234" s="3823"/>
      <c r="P234" s="4110"/>
      <c r="Q234" s="4111"/>
      <c r="R234" s="4110"/>
      <c r="S234" s="4112"/>
      <c r="T234" s="4113" t="s">
        <v>273</v>
      </c>
      <c r="U234" s="3813"/>
      <c r="V234" s="3813"/>
      <c r="W234" s="3813"/>
      <c r="X234" s="3813"/>
      <c r="Y234" s="3813"/>
      <c r="Z234" s="3813"/>
      <c r="AA234" s="3813"/>
      <c r="AB234" s="3813"/>
      <c r="AC234" s="3813"/>
      <c r="AD234" s="3813"/>
      <c r="AE234" s="3813"/>
      <c r="AF234" s="3813"/>
      <c r="AG234" s="3813"/>
      <c r="AH234" s="3813"/>
      <c r="AI234" s="3813"/>
      <c r="AJ234" s="3813"/>
      <c r="AK234" s="3813"/>
      <c r="AL234" s="3813"/>
      <c r="AM234" s="3813"/>
      <c r="AN234" s="3813"/>
      <c r="AO234" s="3813"/>
      <c r="AP234" s="3813"/>
      <c r="AQ234" s="3813"/>
      <c r="AR234" s="3813"/>
      <c r="AS234" s="3813"/>
      <c r="AT234" s="3813"/>
      <c r="AU234" s="3813"/>
      <c r="AV234" s="3823"/>
      <c r="AW234" s="3897"/>
      <c r="AX234" s="3897" t="str">
        <f>IF(T234="","",T234)</f>
        <v>Добавить источник для дифференциации</v>
      </c>
      <c r="AY234" s="3897"/>
      <c r="AZ234" s="3897"/>
      <c r="BA234" s="3823">
        <v>0</v>
      </c>
    </row>
    <row s="10878" customFormat="1" customHeight="1" ht="0.75">
      <c r="A235" s="4107"/>
      <c r="B235" s="4107"/>
      <c r="C235" s="4107"/>
      <c r="D235" s="4107"/>
      <c r="E235" s="3886"/>
      <c r="F235" s="3887" t="s">
        <v>148</v>
      </c>
      <c r="G235" s="4107"/>
      <c r="H235" s="4107"/>
      <c r="I235" s="4107"/>
      <c r="J235" s="4107"/>
      <c r="K235" s="4107"/>
      <c r="L235" s="4108"/>
      <c r="M235" s="4115"/>
      <c r="N235" s="4115"/>
      <c r="O235" s="3823"/>
      <c r="P235" s="4110"/>
      <c r="Q235" s="4111"/>
      <c r="R235" s="4110"/>
      <c r="S235" s="4116"/>
      <c r="T235" s="4117" t="s">
        <v>274</v>
      </c>
      <c r="U235" s="3814"/>
      <c r="V235" s="3814"/>
      <c r="W235" s="3814"/>
      <c r="X235" s="3814"/>
      <c r="Y235" s="3814"/>
      <c r="Z235" s="3814"/>
      <c r="AA235" s="3814"/>
      <c r="AB235" s="3814"/>
      <c r="AC235" s="3814"/>
      <c r="AD235" s="3814"/>
      <c r="AE235" s="3814"/>
      <c r="AF235" s="3814"/>
      <c r="AG235" s="3814"/>
      <c r="AH235" s="3814"/>
      <c r="AI235" s="3814"/>
      <c r="AJ235" s="3814"/>
      <c r="AK235" s="3814"/>
      <c r="AL235" s="3814"/>
      <c r="AM235" s="3814"/>
      <c r="AN235" s="3814"/>
      <c r="AO235" s="3814"/>
      <c r="AP235" s="3814"/>
      <c r="AQ235" s="3814"/>
      <c r="AR235" s="3814"/>
      <c r="AS235" s="3814"/>
      <c r="AT235" s="3814"/>
      <c r="AU235" s="3814"/>
      <c r="AV235" s="3823"/>
      <c r="AW235" s="3897"/>
      <c r="AX235" s="3897" t="str">
        <f>IF(T235="","",T235)</f>
        <v>Добавить централизованную систему для дифференциации</v>
      </c>
      <c r="AY235" s="3897"/>
      <c r="AZ235" s="3897"/>
      <c r="BA235" s="3823">
        <v>0</v>
      </c>
    </row>
    <row s="10879" customFormat="1" customHeight="1" ht="21">
      <c r="A236" s="3885"/>
      <c r="B236" s="3885" t="s">
        <v>324</v>
      </c>
      <c r="C236" s="3885"/>
      <c r="D236" s="3885"/>
      <c r="E236" s="3886"/>
      <c r="F236" s="3887" t="s">
        <v>158</v>
      </c>
      <c r="G236" s="3885"/>
      <c r="H236" s="3885"/>
      <c r="I236" s="3885"/>
      <c r="J236" s="3885"/>
      <c r="K236" s="3885"/>
      <c r="L236" s="3888"/>
      <c r="M236" s="3889"/>
      <c r="N236" s="3889"/>
      <c r="O236" s="3889"/>
      <c r="P236" s="4008"/>
      <c r="Q236" s="3891"/>
      <c r="R236" s="3892"/>
      <c r="S236" s="3893" t="str">
        <f>INDEX(PT_DIFFERENTIATION_NUM_TER,MATCH(B236,PT_DIFFERENTIATION_TER_ID,0))</f>
        <v>1.13</v>
      </c>
      <c r="T236" s="4009" t="s">
        <v>552</v>
      </c>
      <c r="U236" s="3895"/>
      <c r="V236" s="3776"/>
      <c r="W236" s="3777"/>
      <c r="X236" s="3777"/>
      <c r="Y236" s="3777"/>
      <c r="Z236" s="3777"/>
      <c r="AA236" s="3777"/>
      <c r="AB236" s="3777"/>
      <c r="AC236" s="3778"/>
      <c r="AD236" s="3776" t="str">
        <f>INDEX(PT_DIFFERENTIATION_TER,MATCH(B236,PT_DIFFERENTIATION_TER_ID,0))</f>
        <v>Территория 13</v>
      </c>
      <c r="AE236" s="3777"/>
      <c r="AF236" s="3777"/>
      <c r="AG236" s="3777"/>
      <c r="AH236" s="3777"/>
      <c r="AI236" s="3777"/>
      <c r="AJ236" s="3777"/>
      <c r="AK236" s="3777"/>
      <c r="AL236" s="3776"/>
      <c r="AM236" s="3777"/>
      <c r="AN236" s="3777"/>
      <c r="AO236" s="3777"/>
      <c r="AP236" s="3777"/>
      <c r="AQ236" s="3777"/>
      <c r="AR236" s="3777"/>
      <c r="AS236" s="3778"/>
      <c r="AT236" s="3778"/>
      <c r="AU236" s="3896" t="s">
        <v>553</v>
      </c>
      <c r="AV236" s="3823"/>
      <c r="AW236" s="3897"/>
      <c r="AX236" s="3897" t="str">
        <f>IF(T236="","",T236)</f>
        <v>Территория действия тарифа</v>
      </c>
      <c r="AY236" s="3897"/>
      <c r="AZ236" s="3897"/>
      <c r="BA236" s="3775">
        <v>0</v>
      </c>
    </row>
    <row s="10880" customFormat="1" customHeight="1" ht="23.25">
      <c r="A237" s="3885"/>
      <c r="B237" s="3885"/>
      <c r="C237" s="3885" t="s">
        <v>325</v>
      </c>
      <c r="D237" s="3885"/>
      <c r="E237" s="3886"/>
      <c r="F237" s="3886" t="s">
        <v>153</v>
      </c>
      <c r="G237" s="3887">
        <v>1</v>
      </c>
      <c r="H237" s="3885"/>
      <c r="I237" s="3885"/>
      <c r="J237" s="3885"/>
      <c r="K237" s="3885"/>
      <c r="L237" s="3888"/>
      <c r="M237" s="3889"/>
      <c r="N237" s="3889"/>
      <c r="O237" s="3889"/>
      <c r="P237" s="3890"/>
      <c r="Q237" s="3891"/>
      <c r="R237" s="3892"/>
      <c r="S237" s="3893" t="str">
        <f>INDEX(PT_DIFFERENTIATION_NUM_CS,MATCH(C237,PT_DIFFERENTIATION_CS_ID,0))</f>
        <v>1.13.1</v>
      </c>
      <c r="T237" s="4011" t="s">
        <v>554</v>
      </c>
      <c r="U237" s="3895"/>
      <c r="V237" s="3776"/>
      <c r="W237" s="3777"/>
      <c r="X237" s="3777"/>
      <c r="Y237" s="3777"/>
      <c r="Z237" s="3777"/>
      <c r="AA237" s="3777"/>
      <c r="AB237" s="3777"/>
      <c r="AC237" s="3778"/>
      <c r="AD237" s="3776" t="str">
        <f>INDEX(PT_DIFFERENTIATION_CS,MATCH(C237,PT_DIFFERENTIATION_CS_ID,0))</f>
        <v>без дифференциации</v>
      </c>
      <c r="AE237" s="3777"/>
      <c r="AF237" s="3777"/>
      <c r="AG237" s="3777"/>
      <c r="AH237" s="3777"/>
      <c r="AI237" s="3777"/>
      <c r="AJ237" s="3777"/>
      <c r="AK237" s="3777"/>
      <c r="AL237" s="3776"/>
      <c r="AM237" s="3777"/>
      <c r="AN237" s="3777"/>
      <c r="AO237" s="3777"/>
      <c r="AP237" s="3777"/>
      <c r="AQ237" s="3777"/>
      <c r="AR237" s="3777"/>
      <c r="AS237" s="3778"/>
      <c r="AT237" s="3778"/>
      <c r="AU237" s="3896" t="s">
        <v>555</v>
      </c>
      <c r="AV237" s="3823"/>
      <c r="AW237" s="3897"/>
      <c r="AX237" s="3897" t="str">
        <f>IF(T237="","",T237)</f>
        <v>Наименование системы теплоснабжения </v>
      </c>
      <c r="AY237" s="3897"/>
      <c r="AZ237" s="3897"/>
      <c r="BA237" s="3775">
        <v>0</v>
      </c>
    </row>
    <row s="10881" customFormat="1" customHeight="1" ht="21">
      <c r="A238" s="3885"/>
      <c r="B238" s="3885"/>
      <c r="C238" s="3885"/>
      <c r="D238" s="3885" t="s">
        <v>326</v>
      </c>
      <c r="E238" s="3886"/>
      <c r="F238" s="3886" t="s">
        <v>153</v>
      </c>
      <c r="G238" s="3886"/>
      <c r="H238" s="3887">
        <v>1</v>
      </c>
      <c r="I238" s="3885"/>
      <c r="J238" s="3885"/>
      <c r="K238" s="3885"/>
      <c r="L238" s="3888"/>
      <c r="M238" s="3889"/>
      <c r="N238" s="3889"/>
      <c r="O238" s="3889"/>
      <c r="P238" s="3890"/>
      <c r="Q238" s="3891"/>
      <c r="R238" s="3892"/>
      <c r="S238" s="3893" t="str">
        <f>INDEX(PT_DIFFERENTIATION_NUM_IST_TE,MATCH(D238,PT_DIFFERENTIATION_IST_TE_ID,0))</f>
        <v>1.13.1.1</v>
      </c>
      <c r="T238" s="3894" t="s">
        <v>556</v>
      </c>
      <c r="U238" s="3895"/>
      <c r="V238" s="3776"/>
      <c r="W238" s="3777"/>
      <c r="X238" s="3777"/>
      <c r="Y238" s="3777"/>
      <c r="Z238" s="3777"/>
      <c r="AA238" s="3777"/>
      <c r="AB238" s="3777"/>
      <c r="AC238" s="3778"/>
      <c r="AD238" s="3776" t="str">
        <f>INDEX(PT_DIFFERENTIATION_IST_TE,MATCH(D238,PT_DIFFERENTIATION_IST_TE_ID,0))</f>
        <v>Городское поселение Кандалакша Кандалакшского муниципального района Мурманской области (город Кандалакша)</v>
      </c>
      <c r="AE238" s="3777"/>
      <c r="AF238" s="3777"/>
      <c r="AG238" s="3777"/>
      <c r="AH238" s="3777"/>
      <c r="AI238" s="3777"/>
      <c r="AJ238" s="3777"/>
      <c r="AK238" s="3777"/>
      <c r="AL238" s="3776"/>
      <c r="AM238" s="3777"/>
      <c r="AN238" s="3777"/>
      <c r="AO238" s="3777"/>
      <c r="AP238" s="3777"/>
      <c r="AQ238" s="3777"/>
      <c r="AR238" s="3777"/>
      <c r="AS238" s="3778"/>
      <c r="AT238" s="3778"/>
      <c r="AU238" s="3896" t="s">
        <v>557</v>
      </c>
      <c r="AV238" s="3823"/>
      <c r="AW238" s="3897"/>
      <c r="AX238" s="3897" t="str">
        <f>IF(T238="","",T238)</f>
        <v>Источник тепловой энергии  </v>
      </c>
      <c r="AY238" s="3897"/>
      <c r="AZ238" s="3897"/>
      <c r="BA238" s="3775">
        <v>0</v>
      </c>
    </row>
    <row s="10882" customFormat="1" customHeight="1" ht="47.25">
      <c r="A239" s="3885"/>
      <c r="B239" s="3885"/>
      <c r="C239" s="3885"/>
      <c r="D239" s="3885"/>
      <c r="E239" s="3886"/>
      <c r="F239" s="3886" t="s">
        <v>153</v>
      </c>
      <c r="G239" s="3886"/>
      <c r="H239" s="3886"/>
      <c r="I239" s="3899" t="str">
        <f>S238&amp;".1"</f>
        <v>1.13.1.1.1</v>
      </c>
      <c r="J239" s="3885"/>
      <c r="K239" s="3885"/>
      <c r="L239" s="3888" t="s">
        <v>558</v>
      </c>
      <c r="M239" s="3815"/>
      <c r="N239" s="3900"/>
      <c r="O239" s="3900"/>
      <c r="P239" s="3901">
        <v>1</v>
      </c>
      <c r="Q239" s="3901"/>
      <c r="R239" s="3902"/>
      <c r="S239" s="3893" t="str">
        <f>$I239</f>
        <v>1.13.1.1.1</v>
      </c>
      <c r="T239" s="3903" t="s">
        <v>559</v>
      </c>
      <c r="U239" s="3895"/>
      <c r="V239" s="3779"/>
      <c r="W239" s="3780"/>
      <c r="X239" s="3780"/>
      <c r="Y239" s="3780"/>
      <c r="Z239" s="3780"/>
      <c r="AA239" s="3780"/>
      <c r="AB239" s="3780"/>
      <c r="AC239" s="3781"/>
      <c r="AD239" s="3779" t="s">
        <v>601</v>
      </c>
      <c r="AE239" s="3780"/>
      <c r="AF239" s="3780"/>
      <c r="AG239" s="3780"/>
      <c r="AH239" s="3780"/>
      <c r="AI239" s="3780"/>
      <c r="AJ239" s="3780"/>
      <c r="AK239" s="3780"/>
      <c r="AL239" s="3779"/>
      <c r="AM239" s="3780"/>
      <c r="AN239" s="3780"/>
      <c r="AO239" s="3780"/>
      <c r="AP239" s="3780"/>
      <c r="AQ239" s="3780"/>
      <c r="AR239" s="3780"/>
      <c r="AS239" s="3781"/>
      <c r="AT239" s="3781"/>
      <c r="AU239" s="3896" t="s">
        <v>560</v>
      </c>
      <c r="AV239" s="3823"/>
      <c r="AW239" s="3897"/>
      <c r="AX239" s="3897" t="str">
        <f>IF(T239="","",T239)</f>
        <v>Схема подключения теплопотребляющей установки к коллектору источника тепловой энергии</v>
      </c>
      <c r="AY239" s="3897"/>
      <c r="AZ239" s="3897"/>
      <c r="BA239" s="3775">
        <v>0</v>
      </c>
    </row>
    <row s="10883" customFormat="1" customHeight="1" ht="21">
      <c r="A240" s="3885"/>
      <c r="B240" s="3885"/>
      <c r="C240" s="3885"/>
      <c r="D240" s="3885"/>
      <c r="E240" s="3886"/>
      <c r="F240" s="3886" t="s">
        <v>153</v>
      </c>
      <c r="G240" s="3886"/>
      <c r="H240" s="3886"/>
      <c r="I240" s="3905"/>
      <c r="J240" s="3899" t="str">
        <f>I239&amp;".1"</f>
        <v>1.13.1.1.1.1</v>
      </c>
      <c r="K240" s="3885"/>
      <c r="L240" s="3888" t="s">
        <v>561</v>
      </c>
      <c r="M240" s="3815"/>
      <c r="N240" s="3815"/>
      <c r="O240" s="3900"/>
      <c r="P240" s="3901"/>
      <c r="Q240" s="3901">
        <v>1</v>
      </c>
      <c r="R240" s="3906"/>
      <c r="S240" s="3893" t="str">
        <f>$J240</f>
        <v>1.13.1.1.1.1</v>
      </c>
      <c r="T240" s="3907" t="s">
        <v>562</v>
      </c>
      <c r="U240" s="3895"/>
      <c r="V240" s="3779"/>
      <c r="W240" s="3780"/>
      <c r="X240" s="3780"/>
      <c r="Y240" s="3780"/>
      <c r="Z240" s="3780"/>
      <c r="AA240" s="3780"/>
      <c r="AB240" s="3780"/>
      <c r="AC240" s="3781"/>
      <c r="AD240" s="3779" t="s">
        <v>602</v>
      </c>
      <c r="AE240" s="3780"/>
      <c r="AF240" s="3780"/>
      <c r="AG240" s="3780"/>
      <c r="AH240" s="3780"/>
      <c r="AI240" s="3780"/>
      <c r="AJ240" s="3780"/>
      <c r="AK240" s="3780"/>
      <c r="AL240" s="3779"/>
      <c r="AM240" s="3780"/>
      <c r="AN240" s="3780"/>
      <c r="AO240" s="3780"/>
      <c r="AP240" s="3780"/>
      <c r="AQ240" s="3780"/>
      <c r="AR240" s="3780"/>
      <c r="AS240" s="3781"/>
      <c r="AT240" s="3781"/>
      <c r="AU240" s="3896" t="s">
        <v>563</v>
      </c>
      <c r="AV240" s="3823"/>
      <c r="AW240" s="3897"/>
      <c r="AX240" s="3897" t="str">
        <f>IF(T240="","",T240)</f>
        <v>Группа потребителей</v>
      </c>
      <c r="AY240" s="3897"/>
      <c r="AZ240" s="3897"/>
      <c r="BA240" s="3775">
        <v>0</v>
      </c>
    </row>
    <row s="10884" customFormat="1" customHeight="1" ht="21">
      <c r="A241" s="3885"/>
      <c r="B241" s="3885"/>
      <c r="C241" s="3885"/>
      <c r="D241" s="3885"/>
      <c r="E241" s="3886"/>
      <c r="F241" s="3886" t="s">
        <v>153</v>
      </c>
      <c r="G241" s="3886"/>
      <c r="H241" s="3886"/>
      <c r="I241" s="3905"/>
      <c r="J241" s="3905"/>
      <c r="K241" s="3899" t="str">
        <f>J240&amp;".1"</f>
        <v>1.13.1.1.1.1.1</v>
      </c>
      <c r="L241" s="3888" t="s">
        <v>564</v>
      </c>
      <c r="M241" s="3815"/>
      <c r="N241" s="3815"/>
      <c r="O241" s="3815"/>
      <c r="P241" s="3901"/>
      <c r="Q241" s="3901"/>
      <c r="R241" s="3906">
        <v>1</v>
      </c>
      <c r="S241" s="3893" t="str">
        <f>$K241</f>
        <v>1.13.1.1.1.1.1</v>
      </c>
      <c r="T241" s="3909" t="s">
        <v>603</v>
      </c>
      <c r="U241" s="3895"/>
      <c r="V241" s="3855"/>
      <c r="W241" s="3855"/>
      <c r="X241" s="3855"/>
      <c r="Y241" s="3856"/>
      <c r="Z241" s="3857"/>
      <c r="AA241" s="3858" t="s">
        <v>63</v>
      </c>
      <c r="AB241" s="3857"/>
      <c r="AC241" s="3858" t="s">
        <v>63</v>
      </c>
      <c r="AD241" s="3783"/>
      <c r="AE241" s="3784">
        <v>705.55</v>
      </c>
      <c r="AF241" s="3783"/>
      <c r="AG241" s="3785"/>
      <c r="AH241" s="3786">
        <v>45658</v>
      </c>
      <c r="AI241" s="3191" t="s">
        <v>63</v>
      </c>
      <c r="AJ241" s="3786">
        <v>46022</v>
      </c>
      <c r="AK241" s="3191" t="s">
        <v>19</v>
      </c>
      <c r="AL241" s="3855"/>
      <c r="AM241" s="3855"/>
      <c r="AN241" s="3855"/>
      <c r="AO241" s="3856"/>
      <c r="AP241" s="3857"/>
      <c r="AQ241" s="3858" t="s">
        <v>63</v>
      </c>
      <c r="AR241" s="3857"/>
      <c r="AS241" s="3858" t="s">
        <v>63</v>
      </c>
      <c r="AT241" s="3783"/>
      <c r="AU241" s="3910" t="s">
        <v>565</v>
      </c>
      <c r="AV241" s="3823">
        <f>STRCHECKDATE(V242:AT242)</f>
      </c>
      <c r="AW241" s="3897"/>
      <c r="AX241" s="3897" t="str">
        <f>IF(T241="","",T241)</f>
        <v>вода</v>
      </c>
      <c r="AY241" s="3897"/>
      <c r="AZ241" s="3897"/>
      <c r="BA241" s="3775">
        <v>0</v>
      </c>
    </row>
    <row s="10885" customFormat="1" customHeight="1" ht="0.75">
      <c r="A242" s="3885"/>
      <c r="B242" s="3885"/>
      <c r="C242" s="3885"/>
      <c r="D242" s="3885"/>
      <c r="E242" s="3886"/>
      <c r="F242" s="3886" t="s">
        <v>153</v>
      </c>
      <c r="G242" s="3886"/>
      <c r="H242" s="3886"/>
      <c r="I242" s="3905"/>
      <c r="J242" s="3905"/>
      <c r="K242" s="3899"/>
      <c r="L242" s="3888"/>
      <c r="M242" s="3815"/>
      <c r="N242" s="3815"/>
      <c r="O242" s="3815"/>
      <c r="P242" s="3901"/>
      <c r="Q242" s="3901"/>
      <c r="R242" s="3906"/>
      <c r="S242" s="3912"/>
      <c r="T242" s="3895"/>
      <c r="U242" s="3895"/>
      <c r="V242" s="3855"/>
      <c r="W242" s="3855"/>
      <c r="X242" s="3855"/>
      <c r="Y242" s="3787" t="str">
        <f>Z241&amp;"-"&amp;AB241</f>
        <v>-</v>
      </c>
      <c r="Z242" s="3858"/>
      <c r="AA242" s="3858"/>
      <c r="AB242" s="3858"/>
      <c r="AC242" s="3858"/>
      <c r="AD242" s="3783"/>
      <c r="AE242" s="3783"/>
      <c r="AF242" s="3783"/>
      <c r="AG242" s="3787" t="str">
        <f>AH241&amp;"-"&amp;AJ241</f>
        <v>45658-46022</v>
      </c>
      <c r="AH242" s="3788"/>
      <c r="AI242" s="3191"/>
      <c r="AJ242" s="3788"/>
      <c r="AK242" s="3191"/>
      <c r="AL242" s="3855"/>
      <c r="AM242" s="3855"/>
      <c r="AN242" s="3855"/>
      <c r="AO242" s="3787" t="str">
        <f>AP241&amp;"-"&amp;AR241</f>
        <v>-</v>
      </c>
      <c r="AP242" s="3858"/>
      <c r="AQ242" s="3858"/>
      <c r="AR242" s="3858"/>
      <c r="AS242" s="3858"/>
      <c r="AT242" s="3783"/>
      <c r="AU242" s="3913"/>
      <c r="AV242" s="3823"/>
      <c r="AW242" s="3897"/>
      <c r="AX242" s="3897" t="str">
        <f>IF(T242="","",T242)</f>
        <v/>
      </c>
      <c r="AY242" s="3897"/>
      <c r="AZ242" s="3897"/>
      <c r="BA242" s="3775">
        <v>0</v>
      </c>
    </row>
    <row s="10886" customFormat="1" customHeight="1" ht="15">
      <c r="A243" s="3885"/>
      <c r="B243" s="3885"/>
      <c r="C243" s="3885"/>
      <c r="D243" s="3885"/>
      <c r="E243" s="3886"/>
      <c r="F243" s="3886" t="s">
        <v>153</v>
      </c>
      <c r="G243" s="3886"/>
      <c r="H243" s="3886"/>
      <c r="I243" s="3905"/>
      <c r="J243" s="3899"/>
      <c r="K243" s="3885"/>
      <c r="L243" s="3888"/>
      <c r="M243" s="3815"/>
      <c r="N243" s="3815"/>
      <c r="O243" s="3900"/>
      <c r="P243" s="3901"/>
      <c r="Q243" s="3901"/>
      <c r="R243" s="3902"/>
      <c r="S243" s="5576"/>
      <c r="T243" s="5577" t="s">
        <v>566</v>
      </c>
      <c r="U243" s="5578"/>
      <c r="V243" s="5579"/>
      <c r="W243" s="5580"/>
      <c r="X243" s="5581"/>
      <c r="Y243" s="5582"/>
      <c r="Z243" s="5583"/>
      <c r="AA243" s="5584"/>
      <c r="AB243" s="5585"/>
      <c r="AC243" s="5586"/>
      <c r="AD243" s="5587"/>
      <c r="AE243" s="5588"/>
      <c r="AF243" s="5589"/>
      <c r="AG243" s="5590"/>
      <c r="AH243" s="5591"/>
      <c r="AI243" s="5592"/>
      <c r="AJ243" s="5593"/>
      <c r="AK243" s="5594"/>
      <c r="AL243" s="5595"/>
      <c r="AM243" s="5596"/>
      <c r="AN243" s="5597"/>
      <c r="AO243" s="5598"/>
      <c r="AP243" s="5599"/>
      <c r="AQ243" s="5600"/>
      <c r="AR243" s="5601"/>
      <c r="AS243" s="5602"/>
      <c r="AT243" s="5603"/>
      <c r="AU243" s="3943"/>
      <c r="AV243" s="3823"/>
      <c r="AW243" s="3897"/>
      <c r="AX243" s="3897" t="str">
        <f>IF(T243="","",T243)</f>
        <v>Добавить вид теплоносителя (параметры теплоносителя)</v>
      </c>
      <c r="AY243" s="3897"/>
      <c r="AZ243" s="3897"/>
      <c r="BA243" s="3775">
        <v>0</v>
      </c>
    </row>
    <row s="10915" customFormat="1" customHeight="1" ht="15">
      <c r="A244" s="3885"/>
      <c r="B244" s="3885"/>
      <c r="C244" s="3885"/>
      <c r="D244" s="3885"/>
      <c r="E244" s="3886"/>
      <c r="F244" s="3886" t="s">
        <v>153</v>
      </c>
      <c r="G244" s="3886"/>
      <c r="H244" s="3886"/>
      <c r="I244" s="3899"/>
      <c r="J244" s="3885"/>
      <c r="K244" s="3885"/>
      <c r="L244" s="3888"/>
      <c r="M244" s="3815"/>
      <c r="N244" s="3900"/>
      <c r="O244" s="3900"/>
      <c r="P244" s="3901"/>
      <c r="Q244" s="3901"/>
      <c r="R244" s="3902"/>
      <c r="S244" s="5605"/>
      <c r="T244" s="5606" t="s">
        <v>567</v>
      </c>
      <c r="U244" s="5607"/>
      <c r="V244" s="5608"/>
      <c r="W244" s="5609"/>
      <c r="X244" s="5610"/>
      <c r="Y244" s="5611"/>
      <c r="Z244" s="5612"/>
      <c r="AA244" s="5613"/>
      <c r="AB244" s="5614"/>
      <c r="AC244" s="5615"/>
      <c r="AD244" s="5616"/>
      <c r="AE244" s="5617"/>
      <c r="AF244" s="5618"/>
      <c r="AG244" s="5619"/>
      <c r="AH244" s="5620"/>
      <c r="AI244" s="5621"/>
      <c r="AJ244" s="5622"/>
      <c r="AK244" s="5623"/>
      <c r="AL244" s="5624"/>
      <c r="AM244" s="5625"/>
      <c r="AN244" s="5626"/>
      <c r="AO244" s="5627"/>
      <c r="AP244" s="5628"/>
      <c r="AQ244" s="5629"/>
      <c r="AR244" s="5630"/>
      <c r="AS244" s="5631"/>
      <c r="AT244" s="5632"/>
      <c r="AU244" s="5633"/>
      <c r="AV244" s="3823"/>
      <c r="AW244" s="3897"/>
      <c r="AX244" s="3897" t="str">
        <f>IF(T244="","",T244)</f>
        <v>Добавить группу потребителей</v>
      </c>
      <c r="AY244" s="3897"/>
      <c r="AZ244" s="3897"/>
      <c r="BA244" s="3775">
        <v>0</v>
      </c>
    </row>
    <row s="10945" customFormat="1" customHeight="1" ht="14.25">
      <c r="A245" s="3885"/>
      <c r="B245" s="3885"/>
      <c r="C245" s="3885"/>
      <c r="D245" s="3885"/>
      <c r="E245" s="3886"/>
      <c r="F245" s="3886" t="s">
        <v>153</v>
      </c>
      <c r="G245" s="3886"/>
      <c r="H245" s="3887"/>
      <c r="I245" s="3885"/>
      <c r="J245" s="3885"/>
      <c r="K245" s="3885"/>
      <c r="L245" s="3888"/>
      <c r="M245" s="3889"/>
      <c r="N245" s="3889"/>
      <c r="O245" s="3815"/>
      <c r="P245" s="3975"/>
      <c r="Q245" s="3976"/>
      <c r="R245" s="3977"/>
      <c r="S245" s="5635"/>
      <c r="T245" s="5636" t="s">
        <v>568</v>
      </c>
      <c r="U245" s="5637"/>
      <c r="V245" s="5638"/>
      <c r="W245" s="5639"/>
      <c r="X245" s="5640"/>
      <c r="Y245" s="5641"/>
      <c r="Z245" s="5642"/>
      <c r="AA245" s="5643"/>
      <c r="AB245" s="5644"/>
      <c r="AC245" s="5645"/>
      <c r="AD245" s="5646"/>
      <c r="AE245" s="5647"/>
      <c r="AF245" s="5648"/>
      <c r="AG245" s="5649"/>
      <c r="AH245" s="5650"/>
      <c r="AI245" s="5651"/>
      <c r="AJ245" s="5652"/>
      <c r="AK245" s="5653"/>
      <c r="AL245" s="5654"/>
      <c r="AM245" s="5655"/>
      <c r="AN245" s="5656"/>
      <c r="AO245" s="5657"/>
      <c r="AP245" s="5658"/>
      <c r="AQ245" s="5659"/>
      <c r="AR245" s="5660"/>
      <c r="AS245" s="5661"/>
      <c r="AT245" s="5662"/>
      <c r="AU245" s="5663"/>
      <c r="AV245" s="3823"/>
      <c r="AW245" s="3897"/>
      <c r="AX245" s="3897" t="str">
        <f>IF(T245="","",T245)</f>
        <v>Добавить схему подключения</v>
      </c>
      <c r="AY245" s="3897"/>
      <c r="AZ245" s="3897"/>
      <c r="BA245" s="3775">
        <v>0</v>
      </c>
    </row>
    <row s="10975" customFormat="1" customHeight="1" ht="21">
      <c r="A246" s="3885"/>
      <c r="B246" s="3885"/>
      <c r="C246" s="3885"/>
      <c r="D246" s="3885" t="s">
        <v>328</v>
      </c>
      <c r="E246" s="3886"/>
      <c r="F246" s="3886"/>
      <c r="G246" s="3886"/>
      <c r="H246" s="3887" t="s">
        <v>105</v>
      </c>
      <c r="I246" s="3885"/>
      <c r="J246" s="3885"/>
      <c r="K246" s="3885"/>
      <c r="L246" s="3888"/>
      <c r="M246" s="3889"/>
      <c r="N246" s="3889"/>
      <c r="O246" s="3889"/>
      <c r="P246" s="3890"/>
      <c r="Q246" s="3891"/>
      <c r="R246" s="3892"/>
      <c r="S246" s="3893" t="str">
        <f>INDEX(PT_DIFFERENTIATION_NUM_IST_TE,MATCH(D246,PT_DIFFERENTIATION_IST_TE_ID,0))</f>
        <v>1.13.1.2</v>
      </c>
      <c r="T246" s="3894" t="s">
        <v>556</v>
      </c>
      <c r="U246" s="3895"/>
      <c r="V246" s="3776"/>
      <c r="W246" s="3777"/>
      <c r="X246" s="3777"/>
      <c r="Y246" s="3777"/>
      <c r="Z246" s="3777"/>
      <c r="AA246" s="3777"/>
      <c r="AB246" s="3777"/>
      <c r="AC246" s="3778"/>
      <c r="AD246" s="3776" t="str">
        <f>INDEX(PT_DIFFERENTIATION_IST_TE,MATCH(D246,PT_DIFFERENTIATION_IST_TE_ID,0))</f>
        <v>Городское поселение Кандалакша Кандалакшского муниципального района Мурманской области (микрорайон Нива -3)</v>
      </c>
      <c r="AE246" s="3777"/>
      <c r="AF246" s="3777"/>
      <c r="AG246" s="3777"/>
      <c r="AH246" s="3777"/>
      <c r="AI246" s="3777"/>
      <c r="AJ246" s="3777"/>
      <c r="AK246" s="3777"/>
      <c r="AL246" s="3776"/>
      <c r="AM246" s="3777"/>
      <c r="AN246" s="3777"/>
      <c r="AO246" s="3777"/>
      <c r="AP246" s="3777"/>
      <c r="AQ246" s="3777"/>
      <c r="AR246" s="3777"/>
      <c r="AS246" s="3778"/>
      <c r="AT246" s="3778"/>
      <c r="AU246" s="3896" t="s">
        <v>557</v>
      </c>
      <c r="AV246" s="3823"/>
      <c r="AW246" s="3897"/>
      <c r="AX246" s="3897" t="str">
        <f>IF(T246="","",T246)</f>
        <v>Источник тепловой энергии  </v>
      </c>
      <c r="AY246" s="3897"/>
      <c r="AZ246" s="3897"/>
      <c r="BA246" s="3775">
        <v>0</v>
      </c>
    </row>
    <row s="10976" customFormat="1" customHeight="1" ht="47.25">
      <c r="A247" s="3885"/>
      <c r="B247" s="3885"/>
      <c r="C247" s="3885"/>
      <c r="D247" s="3885"/>
      <c r="E247" s="3886"/>
      <c r="F247" s="3886"/>
      <c r="G247" s="3886"/>
      <c r="H247" s="3886">
        <v>1</v>
      </c>
      <c r="I247" s="3899" t="str">
        <f>S246&amp;".1"</f>
        <v>1.13.1.2.1</v>
      </c>
      <c r="J247" s="3885"/>
      <c r="K247" s="3885"/>
      <c r="L247" s="3888" t="s">
        <v>558</v>
      </c>
      <c r="M247" s="3815"/>
      <c r="N247" s="3900"/>
      <c r="O247" s="3900"/>
      <c r="P247" s="3901">
        <v>1</v>
      </c>
      <c r="Q247" s="3901"/>
      <c r="R247" s="3902"/>
      <c r="S247" s="3893" t="str">
        <f>$I247</f>
        <v>1.13.1.2.1</v>
      </c>
      <c r="T247" s="3903" t="s">
        <v>559</v>
      </c>
      <c r="U247" s="3895"/>
      <c r="V247" s="3779"/>
      <c r="W247" s="3780"/>
      <c r="X247" s="3780"/>
      <c r="Y247" s="3780"/>
      <c r="Z247" s="3780"/>
      <c r="AA247" s="3780"/>
      <c r="AB247" s="3780"/>
      <c r="AC247" s="3781"/>
      <c r="AD247" s="3779" t="s">
        <v>601</v>
      </c>
      <c r="AE247" s="3780"/>
      <c r="AF247" s="3780"/>
      <c r="AG247" s="3780"/>
      <c r="AH247" s="3780"/>
      <c r="AI247" s="3780"/>
      <c r="AJ247" s="3780"/>
      <c r="AK247" s="3780"/>
      <c r="AL247" s="3779"/>
      <c r="AM247" s="3780"/>
      <c r="AN247" s="3780"/>
      <c r="AO247" s="3780"/>
      <c r="AP247" s="3780"/>
      <c r="AQ247" s="3780"/>
      <c r="AR247" s="3780"/>
      <c r="AS247" s="3781"/>
      <c r="AT247" s="3781"/>
      <c r="AU247" s="3896" t="s">
        <v>560</v>
      </c>
      <c r="AV247" s="3823"/>
      <c r="AW247" s="3897"/>
      <c r="AX247" s="3897" t="str">
        <f>IF(T247="","",T247)</f>
        <v>Схема подключения теплопотребляющей установки к коллектору источника тепловой энергии</v>
      </c>
      <c r="AY247" s="3897"/>
      <c r="AZ247" s="3897"/>
      <c r="BA247" s="3775">
        <v>0</v>
      </c>
    </row>
    <row s="10977" customFormat="1" customHeight="1" ht="21">
      <c r="A248" s="3885"/>
      <c r="B248" s="3885"/>
      <c r="C248" s="3885"/>
      <c r="D248" s="3885"/>
      <c r="E248" s="3886"/>
      <c r="F248" s="3886"/>
      <c r="G248" s="3886"/>
      <c r="H248" s="3886">
        <v>1</v>
      </c>
      <c r="I248" s="3905"/>
      <c r="J248" s="3899" t="str">
        <f>I247&amp;".1"</f>
        <v>1.13.1.2.1.1</v>
      </c>
      <c r="K248" s="3885"/>
      <c r="L248" s="3888" t="s">
        <v>561</v>
      </c>
      <c r="M248" s="3815"/>
      <c r="N248" s="3815"/>
      <c r="O248" s="3900"/>
      <c r="P248" s="3901"/>
      <c r="Q248" s="3901">
        <v>1</v>
      </c>
      <c r="R248" s="3906"/>
      <c r="S248" s="3893" t="str">
        <f>$J248</f>
        <v>1.13.1.2.1.1</v>
      </c>
      <c r="T248" s="3907" t="s">
        <v>562</v>
      </c>
      <c r="U248" s="3895"/>
      <c r="V248" s="3779"/>
      <c r="W248" s="3780"/>
      <c r="X248" s="3780"/>
      <c r="Y248" s="3780"/>
      <c r="Z248" s="3780"/>
      <c r="AA248" s="3780"/>
      <c r="AB248" s="3780"/>
      <c r="AC248" s="3781"/>
      <c r="AD248" s="3779" t="s">
        <v>602</v>
      </c>
      <c r="AE248" s="3780"/>
      <c r="AF248" s="3780"/>
      <c r="AG248" s="3780"/>
      <c r="AH248" s="3780"/>
      <c r="AI248" s="3780"/>
      <c r="AJ248" s="3780"/>
      <c r="AK248" s="3780"/>
      <c r="AL248" s="3779"/>
      <c r="AM248" s="3780"/>
      <c r="AN248" s="3780"/>
      <c r="AO248" s="3780"/>
      <c r="AP248" s="3780"/>
      <c r="AQ248" s="3780"/>
      <c r="AR248" s="3780"/>
      <c r="AS248" s="3781"/>
      <c r="AT248" s="3781"/>
      <c r="AU248" s="3896" t="s">
        <v>563</v>
      </c>
      <c r="AV248" s="3823"/>
      <c r="AW248" s="3897"/>
      <c r="AX248" s="3897" t="str">
        <f>IF(T248="","",T248)</f>
        <v>Группа потребителей</v>
      </c>
      <c r="AY248" s="3897"/>
      <c r="AZ248" s="3897"/>
      <c r="BA248" s="3775">
        <v>0</v>
      </c>
    </row>
    <row s="10978" customFormat="1" customHeight="1" ht="21">
      <c r="A249" s="3885"/>
      <c r="B249" s="3885"/>
      <c r="C249" s="3885"/>
      <c r="D249" s="3885"/>
      <c r="E249" s="3886"/>
      <c r="F249" s="3886"/>
      <c r="G249" s="3886"/>
      <c r="H249" s="3886">
        <v>1</v>
      </c>
      <c r="I249" s="3905"/>
      <c r="J249" s="3905"/>
      <c r="K249" s="3899" t="str">
        <f>J248&amp;".1"</f>
        <v>1.13.1.2.1.1.1</v>
      </c>
      <c r="L249" s="3888" t="s">
        <v>564</v>
      </c>
      <c r="M249" s="3815"/>
      <c r="N249" s="3815"/>
      <c r="O249" s="3815"/>
      <c r="P249" s="3901"/>
      <c r="Q249" s="3901"/>
      <c r="R249" s="3906">
        <v>1</v>
      </c>
      <c r="S249" s="3893" t="str">
        <f>$K249</f>
        <v>1.13.1.2.1.1.1</v>
      </c>
      <c r="T249" s="3909" t="s">
        <v>603</v>
      </c>
      <c r="U249" s="3895"/>
      <c r="V249" s="3855"/>
      <c r="W249" s="3855"/>
      <c r="X249" s="3855"/>
      <c r="Y249" s="3856"/>
      <c r="Z249" s="3857"/>
      <c r="AA249" s="3858" t="s">
        <v>63</v>
      </c>
      <c r="AB249" s="3857"/>
      <c r="AC249" s="3858" t="s">
        <v>63</v>
      </c>
      <c r="AD249" s="3783"/>
      <c r="AE249" s="3784">
        <v>705.55</v>
      </c>
      <c r="AF249" s="3783"/>
      <c r="AG249" s="3785"/>
      <c r="AH249" s="3786">
        <v>45658</v>
      </c>
      <c r="AI249" s="3191" t="s">
        <v>63</v>
      </c>
      <c r="AJ249" s="3786">
        <v>46022</v>
      </c>
      <c r="AK249" s="3191" t="s">
        <v>19</v>
      </c>
      <c r="AL249" s="3855"/>
      <c r="AM249" s="3855"/>
      <c r="AN249" s="3855"/>
      <c r="AO249" s="3856"/>
      <c r="AP249" s="3857"/>
      <c r="AQ249" s="3858" t="s">
        <v>63</v>
      </c>
      <c r="AR249" s="3857"/>
      <c r="AS249" s="3858" t="s">
        <v>63</v>
      </c>
      <c r="AT249" s="3783"/>
      <c r="AU249" s="3910" t="s">
        <v>565</v>
      </c>
      <c r="AV249" s="3823">
        <f>STRCHECKDATE(V250:AT250)</f>
      </c>
      <c r="AW249" s="3897"/>
      <c r="AX249" s="3897" t="str">
        <f>IF(T249="","",T249)</f>
        <v>вода</v>
      </c>
      <c r="AY249" s="3897"/>
      <c r="AZ249" s="3897"/>
      <c r="BA249" s="3775">
        <v>0</v>
      </c>
    </row>
    <row s="10979" customFormat="1" customHeight="1" ht="0.75">
      <c r="A250" s="3885"/>
      <c r="B250" s="3885"/>
      <c r="C250" s="3885"/>
      <c r="D250" s="3885"/>
      <c r="E250" s="3886"/>
      <c r="F250" s="3886"/>
      <c r="G250" s="3886"/>
      <c r="H250" s="3886">
        <v>1</v>
      </c>
      <c r="I250" s="3905"/>
      <c r="J250" s="3905"/>
      <c r="K250" s="3899"/>
      <c r="L250" s="3888"/>
      <c r="M250" s="3815"/>
      <c r="N250" s="3815"/>
      <c r="O250" s="3815"/>
      <c r="P250" s="3901"/>
      <c r="Q250" s="3901"/>
      <c r="R250" s="3906"/>
      <c r="S250" s="3912"/>
      <c r="T250" s="3895"/>
      <c r="U250" s="3895"/>
      <c r="V250" s="3855"/>
      <c r="W250" s="3855"/>
      <c r="X250" s="3855"/>
      <c r="Y250" s="3787" t="str">
        <f>Z249&amp;"-"&amp;AB249</f>
        <v>-</v>
      </c>
      <c r="Z250" s="3858"/>
      <c r="AA250" s="3858"/>
      <c r="AB250" s="3858"/>
      <c r="AC250" s="3858"/>
      <c r="AD250" s="3783"/>
      <c r="AE250" s="3783"/>
      <c r="AF250" s="3783"/>
      <c r="AG250" s="3787" t="str">
        <f>AH249&amp;"-"&amp;AJ249</f>
        <v>45658-46022</v>
      </c>
      <c r="AH250" s="3788"/>
      <c r="AI250" s="3191"/>
      <c r="AJ250" s="3788"/>
      <c r="AK250" s="3191"/>
      <c r="AL250" s="3855"/>
      <c r="AM250" s="3855"/>
      <c r="AN250" s="3855"/>
      <c r="AO250" s="3787" t="str">
        <f>AP249&amp;"-"&amp;AR249</f>
        <v>-</v>
      </c>
      <c r="AP250" s="3858"/>
      <c r="AQ250" s="3858"/>
      <c r="AR250" s="3858"/>
      <c r="AS250" s="3858"/>
      <c r="AT250" s="3783"/>
      <c r="AU250" s="3913"/>
      <c r="AV250" s="3823"/>
      <c r="AW250" s="3897"/>
      <c r="AX250" s="3897" t="str">
        <f>IF(T250="","",T250)</f>
        <v/>
      </c>
      <c r="AY250" s="3897"/>
      <c r="AZ250" s="3897"/>
      <c r="BA250" s="3775">
        <v>0</v>
      </c>
    </row>
    <row s="10980" customFormat="1" customHeight="1" ht="15">
      <c r="A251" s="3885"/>
      <c r="B251" s="3885"/>
      <c r="C251" s="3885"/>
      <c r="D251" s="3885"/>
      <c r="E251" s="3886"/>
      <c r="F251" s="3886"/>
      <c r="G251" s="3886"/>
      <c r="H251" s="3886">
        <v>1</v>
      </c>
      <c r="I251" s="3905"/>
      <c r="J251" s="3899"/>
      <c r="K251" s="3885"/>
      <c r="L251" s="3888"/>
      <c r="M251" s="3815"/>
      <c r="N251" s="3815"/>
      <c r="O251" s="3900"/>
      <c r="P251" s="3901"/>
      <c r="Q251" s="3901"/>
      <c r="R251" s="3902"/>
      <c r="S251" s="5670"/>
      <c r="T251" s="5671" t="s">
        <v>566</v>
      </c>
      <c r="U251" s="5672"/>
      <c r="V251" s="5673"/>
      <c r="W251" s="5674"/>
      <c r="X251" s="5675"/>
      <c r="Y251" s="5676"/>
      <c r="Z251" s="5677"/>
      <c r="AA251" s="5678"/>
      <c r="AB251" s="5679"/>
      <c r="AC251" s="5680"/>
      <c r="AD251" s="5681"/>
      <c r="AE251" s="5682"/>
      <c r="AF251" s="5683"/>
      <c r="AG251" s="5684"/>
      <c r="AH251" s="5685"/>
      <c r="AI251" s="5686"/>
      <c r="AJ251" s="5687"/>
      <c r="AK251" s="5688"/>
      <c r="AL251" s="5689"/>
      <c r="AM251" s="5690"/>
      <c r="AN251" s="5691"/>
      <c r="AO251" s="5692"/>
      <c r="AP251" s="5693"/>
      <c r="AQ251" s="5694"/>
      <c r="AR251" s="5695"/>
      <c r="AS251" s="5696"/>
      <c r="AT251" s="5697"/>
      <c r="AU251" s="3943"/>
      <c r="AV251" s="3823"/>
      <c r="AW251" s="3897"/>
      <c r="AX251" s="3897" t="str">
        <f>IF(T251="","",T251)</f>
        <v>Добавить вид теплоносителя (параметры теплоносителя)</v>
      </c>
      <c r="AY251" s="3897"/>
      <c r="AZ251" s="3897"/>
      <c r="BA251" s="3775">
        <v>0</v>
      </c>
    </row>
    <row s="11009" customFormat="1" customHeight="1" ht="15">
      <c r="A252" s="3885"/>
      <c r="B252" s="3885"/>
      <c r="C252" s="3885"/>
      <c r="D252" s="3885"/>
      <c r="E252" s="3886"/>
      <c r="F252" s="3886"/>
      <c r="G252" s="3886"/>
      <c r="H252" s="3886">
        <v>1</v>
      </c>
      <c r="I252" s="3899"/>
      <c r="J252" s="3885"/>
      <c r="K252" s="3885"/>
      <c r="L252" s="3888"/>
      <c r="M252" s="3815"/>
      <c r="N252" s="3900"/>
      <c r="O252" s="3900"/>
      <c r="P252" s="3901"/>
      <c r="Q252" s="3901"/>
      <c r="R252" s="3902"/>
      <c r="S252" s="5699"/>
      <c r="T252" s="5700" t="s">
        <v>567</v>
      </c>
      <c r="U252" s="5701"/>
      <c r="V252" s="5702"/>
      <c r="W252" s="5703"/>
      <c r="X252" s="5704"/>
      <c r="Y252" s="5705"/>
      <c r="Z252" s="5706"/>
      <c r="AA252" s="5707"/>
      <c r="AB252" s="5708"/>
      <c r="AC252" s="5709"/>
      <c r="AD252" s="5710"/>
      <c r="AE252" s="5711"/>
      <c r="AF252" s="5712"/>
      <c r="AG252" s="5713"/>
      <c r="AH252" s="5714"/>
      <c r="AI252" s="5715"/>
      <c r="AJ252" s="5716"/>
      <c r="AK252" s="5717"/>
      <c r="AL252" s="5718"/>
      <c r="AM252" s="5719"/>
      <c r="AN252" s="5720"/>
      <c r="AO252" s="5721"/>
      <c r="AP252" s="5722"/>
      <c r="AQ252" s="5723"/>
      <c r="AR252" s="5724"/>
      <c r="AS252" s="5725"/>
      <c r="AT252" s="5726"/>
      <c r="AU252" s="5727"/>
      <c r="AV252" s="3823"/>
      <c r="AW252" s="3897"/>
      <c r="AX252" s="3897" t="str">
        <f>IF(T252="","",T252)</f>
        <v>Добавить группу потребителей</v>
      </c>
      <c r="AY252" s="3897"/>
      <c r="AZ252" s="3897"/>
      <c r="BA252" s="3775">
        <v>0</v>
      </c>
    </row>
    <row s="11039" customFormat="1" customHeight="1" ht="14.25">
      <c r="A253" s="3885"/>
      <c r="B253" s="3885"/>
      <c r="C253" s="3885"/>
      <c r="D253" s="3885"/>
      <c r="E253" s="3886"/>
      <c r="F253" s="3886"/>
      <c r="G253" s="3886"/>
      <c r="H253" s="3887">
        <v>1</v>
      </c>
      <c r="I253" s="3885"/>
      <c r="J253" s="3885"/>
      <c r="K253" s="3885"/>
      <c r="L253" s="3888"/>
      <c r="M253" s="3889"/>
      <c r="N253" s="3889"/>
      <c r="O253" s="3815"/>
      <c r="P253" s="3975"/>
      <c r="Q253" s="3976"/>
      <c r="R253" s="3977"/>
      <c r="S253" s="5729"/>
      <c r="T253" s="5730" t="s">
        <v>568</v>
      </c>
      <c r="U253" s="5731"/>
      <c r="V253" s="5732"/>
      <c r="W253" s="5733"/>
      <c r="X253" s="5734"/>
      <c r="Y253" s="5735"/>
      <c r="Z253" s="5736"/>
      <c r="AA253" s="5737"/>
      <c r="AB253" s="5738"/>
      <c r="AC253" s="5739"/>
      <c r="AD253" s="5740"/>
      <c r="AE253" s="5741"/>
      <c r="AF253" s="5742"/>
      <c r="AG253" s="5743"/>
      <c r="AH253" s="5744"/>
      <c r="AI253" s="5745"/>
      <c r="AJ253" s="5746"/>
      <c r="AK253" s="5747"/>
      <c r="AL253" s="5748"/>
      <c r="AM253" s="5749"/>
      <c r="AN253" s="5750"/>
      <c r="AO253" s="5751"/>
      <c r="AP253" s="5752"/>
      <c r="AQ253" s="5753"/>
      <c r="AR253" s="5754"/>
      <c r="AS253" s="5755"/>
      <c r="AT253" s="5756"/>
      <c r="AU253" s="5757"/>
      <c r="AV253" s="3823"/>
      <c r="AW253" s="3897"/>
      <c r="AX253" s="3897" t="str">
        <f>IF(T253="","",T253)</f>
        <v>Добавить схему подключения</v>
      </c>
      <c r="AY253" s="3897"/>
      <c r="AZ253" s="3897"/>
      <c r="BA253" s="3775">
        <v>0</v>
      </c>
    </row>
    <row s="11069" customFormat="1" customHeight="1" ht="21">
      <c r="A254" s="3885"/>
      <c r="B254" s="3885"/>
      <c r="C254" s="3885"/>
      <c r="D254" s="3885" t="s">
        <v>330</v>
      </c>
      <c r="E254" s="3886"/>
      <c r="F254" s="3886"/>
      <c r="G254" s="3886"/>
      <c r="H254" s="3887" t="s">
        <v>92</v>
      </c>
      <c r="I254" s="3885"/>
      <c r="J254" s="3885"/>
      <c r="K254" s="3885"/>
      <c r="L254" s="3888"/>
      <c r="M254" s="3889"/>
      <c r="N254" s="3889"/>
      <c r="O254" s="3889"/>
      <c r="P254" s="3890"/>
      <c r="Q254" s="3891"/>
      <c r="R254" s="3892"/>
      <c r="S254" s="3893" t="str">
        <f>INDEX(PT_DIFFERENTIATION_NUM_IST_TE,MATCH(D254,PT_DIFFERENTIATION_IST_TE_ID,0))</f>
        <v>1.13.1.3</v>
      </c>
      <c r="T254" s="3894" t="s">
        <v>556</v>
      </c>
      <c r="U254" s="3895"/>
      <c r="V254" s="3776"/>
      <c r="W254" s="3777"/>
      <c r="X254" s="3777"/>
      <c r="Y254" s="3777"/>
      <c r="Z254" s="3777"/>
      <c r="AA254" s="3777"/>
      <c r="AB254" s="3777"/>
      <c r="AC254" s="3778"/>
      <c r="AD254" s="3776" t="str">
        <f>INDEX(PT_DIFFERENTIATION_IST_TE,MATCH(D254,PT_DIFFERENTIATION_IST_TE_ID,0))</f>
        <v>нп Белое море Кандалакшского муниципального района Мурманской области </v>
      </c>
      <c r="AE254" s="3777"/>
      <c r="AF254" s="3777"/>
      <c r="AG254" s="3777"/>
      <c r="AH254" s="3777"/>
      <c r="AI254" s="3777"/>
      <c r="AJ254" s="3777"/>
      <c r="AK254" s="3777"/>
      <c r="AL254" s="3776"/>
      <c r="AM254" s="3777"/>
      <c r="AN254" s="3777"/>
      <c r="AO254" s="3777"/>
      <c r="AP254" s="3777"/>
      <c r="AQ254" s="3777"/>
      <c r="AR254" s="3777"/>
      <c r="AS254" s="3778"/>
      <c r="AT254" s="3778"/>
      <c r="AU254" s="3896" t="s">
        <v>557</v>
      </c>
      <c r="AV254" s="3823"/>
      <c r="AW254" s="3897"/>
      <c r="AX254" s="3897" t="str">
        <f>IF(T254="","",T254)</f>
        <v>Источник тепловой энергии  </v>
      </c>
      <c r="AY254" s="3897"/>
      <c r="AZ254" s="3897"/>
      <c r="BA254" s="3775">
        <v>0</v>
      </c>
    </row>
    <row s="11070" customFormat="1" customHeight="1" ht="47.25">
      <c r="A255" s="3885"/>
      <c r="B255" s="3885"/>
      <c r="C255" s="3885"/>
      <c r="D255" s="3885"/>
      <c r="E255" s="3886"/>
      <c r="F255" s="3886"/>
      <c r="G255" s="3886"/>
      <c r="H255" s="3886" t="s">
        <v>105</v>
      </c>
      <c r="I255" s="3899" t="str">
        <f>S254&amp;".1"</f>
        <v>1.13.1.3.1</v>
      </c>
      <c r="J255" s="3885"/>
      <c r="K255" s="3885"/>
      <c r="L255" s="3888" t="s">
        <v>558</v>
      </c>
      <c r="M255" s="3815"/>
      <c r="N255" s="3900"/>
      <c r="O255" s="3900"/>
      <c r="P255" s="3901">
        <v>1</v>
      </c>
      <c r="Q255" s="3901"/>
      <c r="R255" s="3902"/>
      <c r="S255" s="3893" t="str">
        <f>$I255</f>
        <v>1.13.1.3.1</v>
      </c>
      <c r="T255" s="3903" t="s">
        <v>559</v>
      </c>
      <c r="U255" s="3895"/>
      <c r="V255" s="3779"/>
      <c r="W255" s="3780"/>
      <c r="X255" s="3780"/>
      <c r="Y255" s="3780"/>
      <c r="Z255" s="3780"/>
      <c r="AA255" s="3780"/>
      <c r="AB255" s="3780"/>
      <c r="AC255" s="3781"/>
      <c r="AD255" s="3779" t="s">
        <v>601</v>
      </c>
      <c r="AE255" s="3780"/>
      <c r="AF255" s="3780"/>
      <c r="AG255" s="3780"/>
      <c r="AH255" s="3780"/>
      <c r="AI255" s="3780"/>
      <c r="AJ255" s="3780"/>
      <c r="AK255" s="3780"/>
      <c r="AL255" s="3779"/>
      <c r="AM255" s="3780"/>
      <c r="AN255" s="3780"/>
      <c r="AO255" s="3780"/>
      <c r="AP255" s="3780"/>
      <c r="AQ255" s="3780"/>
      <c r="AR255" s="3780"/>
      <c r="AS255" s="3781"/>
      <c r="AT255" s="3781"/>
      <c r="AU255" s="3896" t="s">
        <v>560</v>
      </c>
      <c r="AV255" s="3823"/>
      <c r="AW255" s="3897"/>
      <c r="AX255" s="3897" t="str">
        <f>IF(T255="","",T255)</f>
        <v>Схема подключения теплопотребляющей установки к коллектору источника тепловой энергии</v>
      </c>
      <c r="AY255" s="3897"/>
      <c r="AZ255" s="3897"/>
      <c r="BA255" s="3775">
        <v>0</v>
      </c>
    </row>
    <row s="11071" customFormat="1" customHeight="1" ht="21">
      <c r="A256" s="3885"/>
      <c r="B256" s="3885"/>
      <c r="C256" s="3885"/>
      <c r="D256" s="3885"/>
      <c r="E256" s="3886"/>
      <c r="F256" s="3886"/>
      <c r="G256" s="3886"/>
      <c r="H256" s="3886" t="s">
        <v>105</v>
      </c>
      <c r="I256" s="3905"/>
      <c r="J256" s="3899" t="str">
        <f>I255&amp;".1"</f>
        <v>1.13.1.3.1.1</v>
      </c>
      <c r="K256" s="3885"/>
      <c r="L256" s="3888" t="s">
        <v>561</v>
      </c>
      <c r="M256" s="3815"/>
      <c r="N256" s="3815"/>
      <c r="O256" s="3900"/>
      <c r="P256" s="3901"/>
      <c r="Q256" s="3901">
        <v>1</v>
      </c>
      <c r="R256" s="3906"/>
      <c r="S256" s="3893" t="str">
        <f>$J256</f>
        <v>1.13.1.3.1.1</v>
      </c>
      <c r="T256" s="3907" t="s">
        <v>562</v>
      </c>
      <c r="U256" s="3895"/>
      <c r="V256" s="3779"/>
      <c r="W256" s="3780"/>
      <c r="X256" s="3780"/>
      <c r="Y256" s="3780"/>
      <c r="Z256" s="3780"/>
      <c r="AA256" s="3780"/>
      <c r="AB256" s="3780"/>
      <c r="AC256" s="3781"/>
      <c r="AD256" s="3779" t="s">
        <v>602</v>
      </c>
      <c r="AE256" s="3780"/>
      <c r="AF256" s="3780"/>
      <c r="AG256" s="3780"/>
      <c r="AH256" s="3780"/>
      <c r="AI256" s="3780"/>
      <c r="AJ256" s="3780"/>
      <c r="AK256" s="3780"/>
      <c r="AL256" s="3779"/>
      <c r="AM256" s="3780"/>
      <c r="AN256" s="3780"/>
      <c r="AO256" s="3780"/>
      <c r="AP256" s="3780"/>
      <c r="AQ256" s="3780"/>
      <c r="AR256" s="3780"/>
      <c r="AS256" s="3781"/>
      <c r="AT256" s="3781"/>
      <c r="AU256" s="3896" t="s">
        <v>563</v>
      </c>
      <c r="AV256" s="3823"/>
      <c r="AW256" s="3897"/>
      <c r="AX256" s="3897" t="str">
        <f>IF(T256="","",T256)</f>
        <v>Группа потребителей</v>
      </c>
      <c r="AY256" s="3897"/>
      <c r="AZ256" s="3897"/>
      <c r="BA256" s="3775">
        <v>0</v>
      </c>
    </row>
    <row s="11072" customFormat="1" customHeight="1" ht="21">
      <c r="A257" s="3885"/>
      <c r="B257" s="3885"/>
      <c r="C257" s="3885"/>
      <c r="D257" s="3885"/>
      <c r="E257" s="3886"/>
      <c r="F257" s="3886"/>
      <c r="G257" s="3886"/>
      <c r="H257" s="3886" t="s">
        <v>105</v>
      </c>
      <c r="I257" s="3905"/>
      <c r="J257" s="3905"/>
      <c r="K257" s="3899" t="str">
        <f>J256&amp;".1"</f>
        <v>1.13.1.3.1.1.1</v>
      </c>
      <c r="L257" s="3888" t="s">
        <v>564</v>
      </c>
      <c r="M257" s="3815"/>
      <c r="N257" s="3815"/>
      <c r="O257" s="3815"/>
      <c r="P257" s="3901"/>
      <c r="Q257" s="3901"/>
      <c r="R257" s="3906">
        <v>1</v>
      </c>
      <c r="S257" s="3893" t="str">
        <f>$K257</f>
        <v>1.13.1.3.1.1.1</v>
      </c>
      <c r="T257" s="3909" t="s">
        <v>603</v>
      </c>
      <c r="U257" s="3895"/>
      <c r="V257" s="3855"/>
      <c r="W257" s="3855"/>
      <c r="X257" s="3855"/>
      <c r="Y257" s="3856"/>
      <c r="Z257" s="3857"/>
      <c r="AA257" s="3858" t="s">
        <v>63</v>
      </c>
      <c r="AB257" s="3857"/>
      <c r="AC257" s="3858" t="s">
        <v>63</v>
      </c>
      <c r="AD257" s="3783"/>
      <c r="AE257" s="3784">
        <v>1218.27</v>
      </c>
      <c r="AF257" s="3783"/>
      <c r="AG257" s="3785"/>
      <c r="AH257" s="3786">
        <v>45658</v>
      </c>
      <c r="AI257" s="3191" t="s">
        <v>63</v>
      </c>
      <c r="AJ257" s="3786">
        <v>46022</v>
      </c>
      <c r="AK257" s="3191" t="s">
        <v>19</v>
      </c>
      <c r="AL257" s="3855"/>
      <c r="AM257" s="3855"/>
      <c r="AN257" s="3855"/>
      <c r="AO257" s="3856"/>
      <c r="AP257" s="3857"/>
      <c r="AQ257" s="3858" t="s">
        <v>63</v>
      </c>
      <c r="AR257" s="3857"/>
      <c r="AS257" s="3858" t="s">
        <v>63</v>
      </c>
      <c r="AT257" s="3783"/>
      <c r="AU257" s="3910" t="s">
        <v>565</v>
      </c>
      <c r="AV257" s="3823">
        <f>STRCHECKDATE(V258:AT258)</f>
      </c>
      <c r="AW257" s="3897"/>
      <c r="AX257" s="3897" t="str">
        <f>IF(T257="","",T257)</f>
        <v>вода</v>
      </c>
      <c r="AY257" s="3897"/>
      <c r="AZ257" s="3897"/>
      <c r="BA257" s="3775">
        <v>0</v>
      </c>
    </row>
    <row s="11073" customFormat="1" customHeight="1" ht="0.75">
      <c r="A258" s="3885"/>
      <c r="B258" s="3885"/>
      <c r="C258" s="3885"/>
      <c r="D258" s="3885"/>
      <c r="E258" s="3886"/>
      <c r="F258" s="3886"/>
      <c r="G258" s="3886"/>
      <c r="H258" s="3886" t="s">
        <v>105</v>
      </c>
      <c r="I258" s="3905"/>
      <c r="J258" s="3905"/>
      <c r="K258" s="3899"/>
      <c r="L258" s="3888"/>
      <c r="M258" s="3815"/>
      <c r="N258" s="3815"/>
      <c r="O258" s="3815"/>
      <c r="P258" s="3901"/>
      <c r="Q258" s="3901"/>
      <c r="R258" s="3906"/>
      <c r="S258" s="3912"/>
      <c r="T258" s="3895"/>
      <c r="U258" s="3895"/>
      <c r="V258" s="3855"/>
      <c r="W258" s="3855"/>
      <c r="X258" s="3855"/>
      <c r="Y258" s="3787" t="str">
        <f>Z257&amp;"-"&amp;AB257</f>
        <v>-</v>
      </c>
      <c r="Z258" s="3858"/>
      <c r="AA258" s="3858"/>
      <c r="AB258" s="3858"/>
      <c r="AC258" s="3858"/>
      <c r="AD258" s="3783"/>
      <c r="AE258" s="3783"/>
      <c r="AF258" s="3783"/>
      <c r="AG258" s="3787" t="str">
        <f>AH257&amp;"-"&amp;AJ257</f>
        <v>45658-46022</v>
      </c>
      <c r="AH258" s="3788"/>
      <c r="AI258" s="3191"/>
      <c r="AJ258" s="3788"/>
      <c r="AK258" s="3191"/>
      <c r="AL258" s="3855"/>
      <c r="AM258" s="3855"/>
      <c r="AN258" s="3855"/>
      <c r="AO258" s="3787" t="str">
        <f>AP257&amp;"-"&amp;AR257</f>
        <v>-</v>
      </c>
      <c r="AP258" s="3858"/>
      <c r="AQ258" s="3858"/>
      <c r="AR258" s="3858"/>
      <c r="AS258" s="3858"/>
      <c r="AT258" s="3783"/>
      <c r="AU258" s="3913"/>
      <c r="AV258" s="3823"/>
      <c r="AW258" s="3897"/>
      <c r="AX258" s="3897" t="str">
        <f>IF(T258="","",T258)</f>
        <v/>
      </c>
      <c r="AY258" s="3897"/>
      <c r="AZ258" s="3897"/>
      <c r="BA258" s="3775">
        <v>0</v>
      </c>
    </row>
    <row s="11074" customFormat="1" customHeight="1" ht="15">
      <c r="A259" s="3885"/>
      <c r="B259" s="3885"/>
      <c r="C259" s="3885"/>
      <c r="D259" s="3885"/>
      <c r="E259" s="3886"/>
      <c r="F259" s="3886"/>
      <c r="G259" s="3886"/>
      <c r="H259" s="3886" t="s">
        <v>105</v>
      </c>
      <c r="I259" s="3905"/>
      <c r="J259" s="3899"/>
      <c r="K259" s="3885"/>
      <c r="L259" s="3888"/>
      <c r="M259" s="3815"/>
      <c r="N259" s="3815"/>
      <c r="O259" s="3900"/>
      <c r="P259" s="3901"/>
      <c r="Q259" s="3901"/>
      <c r="R259" s="3902"/>
      <c r="S259" s="5764"/>
      <c r="T259" s="5765" t="s">
        <v>566</v>
      </c>
      <c r="U259" s="5766"/>
      <c r="V259" s="5767"/>
      <c r="W259" s="5768"/>
      <c r="X259" s="5769"/>
      <c r="Y259" s="5770"/>
      <c r="Z259" s="5771"/>
      <c r="AA259" s="5772"/>
      <c r="AB259" s="5773"/>
      <c r="AC259" s="5774"/>
      <c r="AD259" s="5775"/>
      <c r="AE259" s="5776"/>
      <c r="AF259" s="5777"/>
      <c r="AG259" s="5778"/>
      <c r="AH259" s="5779"/>
      <c r="AI259" s="5780"/>
      <c r="AJ259" s="5781"/>
      <c r="AK259" s="5782"/>
      <c r="AL259" s="5783"/>
      <c r="AM259" s="5784"/>
      <c r="AN259" s="5785"/>
      <c r="AO259" s="5786"/>
      <c r="AP259" s="5787"/>
      <c r="AQ259" s="5788"/>
      <c r="AR259" s="5789"/>
      <c r="AS259" s="5790"/>
      <c r="AT259" s="5791"/>
      <c r="AU259" s="3943"/>
      <c r="AV259" s="3823"/>
      <c r="AW259" s="3897"/>
      <c r="AX259" s="3897" t="str">
        <f>IF(T259="","",T259)</f>
        <v>Добавить вид теплоносителя (параметры теплоносителя)</v>
      </c>
      <c r="AY259" s="3897"/>
      <c r="AZ259" s="3897"/>
      <c r="BA259" s="3775">
        <v>0</v>
      </c>
    </row>
    <row s="11103" customFormat="1" customHeight="1" ht="15">
      <c r="A260" s="3885"/>
      <c r="B260" s="3885"/>
      <c r="C260" s="3885"/>
      <c r="D260" s="3885"/>
      <c r="E260" s="3886"/>
      <c r="F260" s="3886"/>
      <c r="G260" s="3886"/>
      <c r="H260" s="3886" t="s">
        <v>105</v>
      </c>
      <c r="I260" s="3899"/>
      <c r="J260" s="3885"/>
      <c r="K260" s="3885"/>
      <c r="L260" s="3888"/>
      <c r="M260" s="3815"/>
      <c r="N260" s="3900"/>
      <c r="O260" s="3900"/>
      <c r="P260" s="3901"/>
      <c r="Q260" s="3901"/>
      <c r="R260" s="3902"/>
      <c r="S260" s="5793"/>
      <c r="T260" s="5794" t="s">
        <v>567</v>
      </c>
      <c r="U260" s="5795"/>
      <c r="V260" s="5796"/>
      <c r="W260" s="5797"/>
      <c r="X260" s="5798"/>
      <c r="Y260" s="5799"/>
      <c r="Z260" s="5800"/>
      <c r="AA260" s="5801"/>
      <c r="AB260" s="5802"/>
      <c r="AC260" s="5803"/>
      <c r="AD260" s="5804"/>
      <c r="AE260" s="5805"/>
      <c r="AF260" s="5806"/>
      <c r="AG260" s="5807"/>
      <c r="AH260" s="5808"/>
      <c r="AI260" s="5809"/>
      <c r="AJ260" s="5810"/>
      <c r="AK260" s="5811"/>
      <c r="AL260" s="5812"/>
      <c r="AM260" s="5813"/>
      <c r="AN260" s="5814"/>
      <c r="AO260" s="5815"/>
      <c r="AP260" s="5816"/>
      <c r="AQ260" s="5817"/>
      <c r="AR260" s="5818"/>
      <c r="AS260" s="5819"/>
      <c r="AT260" s="5820"/>
      <c r="AU260" s="5821"/>
      <c r="AV260" s="3823"/>
      <c r="AW260" s="3897"/>
      <c r="AX260" s="3897" t="str">
        <f>IF(T260="","",T260)</f>
        <v>Добавить группу потребителей</v>
      </c>
      <c r="AY260" s="3897"/>
      <c r="AZ260" s="3897"/>
      <c r="BA260" s="3775">
        <v>0</v>
      </c>
    </row>
    <row s="11133" customFormat="1" customHeight="1" ht="14.25">
      <c r="A261" s="3885"/>
      <c r="B261" s="3885"/>
      <c r="C261" s="3885"/>
      <c r="D261" s="3885"/>
      <c r="E261" s="3886"/>
      <c r="F261" s="3886"/>
      <c r="G261" s="3886"/>
      <c r="H261" s="3887" t="s">
        <v>105</v>
      </c>
      <c r="I261" s="3885"/>
      <c r="J261" s="3885"/>
      <c r="K261" s="3885"/>
      <c r="L261" s="3888"/>
      <c r="M261" s="3889"/>
      <c r="N261" s="3889"/>
      <c r="O261" s="3815"/>
      <c r="P261" s="3975"/>
      <c r="Q261" s="3976"/>
      <c r="R261" s="3977"/>
      <c r="S261" s="5823"/>
      <c r="T261" s="5824" t="s">
        <v>568</v>
      </c>
      <c r="U261" s="5825"/>
      <c r="V261" s="5826"/>
      <c r="W261" s="5827"/>
      <c r="X261" s="5828"/>
      <c r="Y261" s="5829"/>
      <c r="Z261" s="5830"/>
      <c r="AA261" s="5831"/>
      <c r="AB261" s="5832"/>
      <c r="AC261" s="5833"/>
      <c r="AD261" s="5834"/>
      <c r="AE261" s="5835"/>
      <c r="AF261" s="5836"/>
      <c r="AG261" s="5837"/>
      <c r="AH261" s="5838"/>
      <c r="AI261" s="5839"/>
      <c r="AJ261" s="5840"/>
      <c r="AK261" s="5841"/>
      <c r="AL261" s="5842"/>
      <c r="AM261" s="5843"/>
      <c r="AN261" s="5844"/>
      <c r="AO261" s="5845"/>
      <c r="AP261" s="5846"/>
      <c r="AQ261" s="5847"/>
      <c r="AR261" s="5848"/>
      <c r="AS261" s="5849"/>
      <c r="AT261" s="5850"/>
      <c r="AU261" s="5851"/>
      <c r="AV261" s="3823"/>
      <c r="AW261" s="3897"/>
      <c r="AX261" s="3897" t="str">
        <f>IF(T261="","",T261)</f>
        <v>Добавить схему подключения</v>
      </c>
      <c r="AY261" s="3897"/>
      <c r="AZ261" s="3897"/>
      <c r="BA261" s="3775">
        <v>0</v>
      </c>
    </row>
    <row s="11163" customFormat="1" customHeight="1" ht="0.75">
      <c r="A262" s="4107"/>
      <c r="B262" s="4107"/>
      <c r="C262" s="4107"/>
      <c r="D262" s="4107"/>
      <c r="E262" s="3886"/>
      <c r="F262" s="3886" t="s">
        <v>153</v>
      </c>
      <c r="G262" s="3887"/>
      <c r="H262" s="4107"/>
      <c r="I262" s="4107"/>
      <c r="J262" s="4107"/>
      <c r="K262" s="4107"/>
      <c r="L262" s="4108"/>
      <c r="M262" s="4109"/>
      <c r="N262" s="4109"/>
      <c r="O262" s="3823"/>
      <c r="P262" s="4110"/>
      <c r="Q262" s="4111"/>
      <c r="R262" s="4110"/>
      <c r="S262" s="4112"/>
      <c r="T262" s="4113" t="s">
        <v>273</v>
      </c>
      <c r="U262" s="3813"/>
      <c r="V262" s="3813"/>
      <c r="W262" s="3813"/>
      <c r="X262" s="3813"/>
      <c r="Y262" s="3813"/>
      <c r="Z262" s="3813"/>
      <c r="AA262" s="3813"/>
      <c r="AB262" s="3813"/>
      <c r="AC262" s="3813"/>
      <c r="AD262" s="3813"/>
      <c r="AE262" s="3813"/>
      <c r="AF262" s="3813"/>
      <c r="AG262" s="3813"/>
      <c r="AH262" s="3813"/>
      <c r="AI262" s="3813"/>
      <c r="AJ262" s="3813"/>
      <c r="AK262" s="3813"/>
      <c r="AL262" s="3813"/>
      <c r="AM262" s="3813"/>
      <c r="AN262" s="3813"/>
      <c r="AO262" s="3813"/>
      <c r="AP262" s="3813"/>
      <c r="AQ262" s="3813"/>
      <c r="AR262" s="3813"/>
      <c r="AS262" s="3813"/>
      <c r="AT262" s="3813"/>
      <c r="AU262" s="3813"/>
      <c r="AV262" s="3823"/>
      <c r="AW262" s="3897"/>
      <c r="AX262" s="3897" t="str">
        <f>IF(T262="","",T262)</f>
        <v>Добавить источник для дифференциации</v>
      </c>
      <c r="AY262" s="3897"/>
      <c r="AZ262" s="3897"/>
      <c r="BA262" s="3823">
        <v>0</v>
      </c>
    </row>
    <row s="11164" customFormat="1" customHeight="1" ht="0.75">
      <c r="A263" s="4107"/>
      <c r="B263" s="4107"/>
      <c r="C263" s="4107"/>
      <c r="D263" s="4107"/>
      <c r="E263" s="3886"/>
      <c r="F263" s="3887" t="s">
        <v>153</v>
      </c>
      <c r="G263" s="4107"/>
      <c r="H263" s="4107"/>
      <c r="I263" s="4107"/>
      <c r="J263" s="4107"/>
      <c r="K263" s="4107"/>
      <c r="L263" s="4108"/>
      <c r="M263" s="4115"/>
      <c r="N263" s="4115"/>
      <c r="O263" s="3823"/>
      <c r="P263" s="4110"/>
      <c r="Q263" s="4111"/>
      <c r="R263" s="4110"/>
      <c r="S263" s="4116"/>
      <c r="T263" s="4117" t="s">
        <v>274</v>
      </c>
      <c r="U263" s="3814"/>
      <c r="V263" s="3814"/>
      <c r="W263" s="3814"/>
      <c r="X263" s="3814"/>
      <c r="Y263" s="3814"/>
      <c r="Z263" s="3814"/>
      <c r="AA263" s="3814"/>
      <c r="AB263" s="3814"/>
      <c r="AC263" s="3814"/>
      <c r="AD263" s="3814"/>
      <c r="AE263" s="3814"/>
      <c r="AF263" s="3814"/>
      <c r="AG263" s="3814"/>
      <c r="AH263" s="3814"/>
      <c r="AI263" s="3814"/>
      <c r="AJ263" s="3814"/>
      <c r="AK263" s="3814"/>
      <c r="AL263" s="3814"/>
      <c r="AM263" s="3814"/>
      <c r="AN263" s="3814"/>
      <c r="AO263" s="3814"/>
      <c r="AP263" s="3814"/>
      <c r="AQ263" s="3814"/>
      <c r="AR263" s="3814"/>
      <c r="AS263" s="3814"/>
      <c r="AT263" s="3814"/>
      <c r="AU263" s="3814"/>
      <c r="AV263" s="3823"/>
      <c r="AW263" s="3897"/>
      <c r="AX263" s="3897" t="str">
        <f>IF(T263="","",T263)</f>
        <v>Добавить централизованную систему для дифференциации</v>
      </c>
      <c r="AY263" s="3897"/>
      <c r="AZ263" s="3897"/>
      <c r="BA263" s="3823">
        <v>0</v>
      </c>
    </row>
    <row s="11165" customFormat="1" customHeight="1" ht="21">
      <c r="A264" s="3885"/>
      <c r="B264" s="3885" t="s">
        <v>331</v>
      </c>
      <c r="C264" s="3885"/>
      <c r="D264" s="3885"/>
      <c r="E264" s="3886"/>
      <c r="F264" s="3887" t="s">
        <v>122</v>
      </c>
      <c r="G264" s="3885"/>
      <c r="H264" s="3885"/>
      <c r="I264" s="3885"/>
      <c r="J264" s="3885"/>
      <c r="K264" s="3885"/>
      <c r="L264" s="3888"/>
      <c r="M264" s="3889"/>
      <c r="N264" s="3889"/>
      <c r="O264" s="3889"/>
      <c r="P264" s="4008"/>
      <c r="Q264" s="3891"/>
      <c r="R264" s="3892"/>
      <c r="S264" s="3893" t="str">
        <f>INDEX(PT_DIFFERENTIATION_NUM_TER,MATCH(B264,PT_DIFFERENTIATION_TER_ID,0))</f>
        <v>1.14</v>
      </c>
      <c r="T264" s="4009" t="s">
        <v>552</v>
      </c>
      <c r="U264" s="3895"/>
      <c r="V264" s="3776"/>
      <c r="W264" s="3777"/>
      <c r="X264" s="3777"/>
      <c r="Y264" s="3777"/>
      <c r="Z264" s="3777"/>
      <c r="AA264" s="3777"/>
      <c r="AB264" s="3777"/>
      <c r="AC264" s="3778"/>
      <c r="AD264" s="3776" t="str">
        <f>INDEX(PT_DIFFERENTIATION_TER,MATCH(B264,PT_DIFFERENTIATION_TER_ID,0))</f>
        <v>Территория 14</v>
      </c>
      <c r="AE264" s="3777"/>
      <c r="AF264" s="3777"/>
      <c r="AG264" s="3777"/>
      <c r="AH264" s="3777"/>
      <c r="AI264" s="3777"/>
      <c r="AJ264" s="3777"/>
      <c r="AK264" s="3777"/>
      <c r="AL264" s="3776"/>
      <c r="AM264" s="3777"/>
      <c r="AN264" s="3777"/>
      <c r="AO264" s="3777"/>
      <c r="AP264" s="3777"/>
      <c r="AQ264" s="3777"/>
      <c r="AR264" s="3777"/>
      <c r="AS264" s="3778"/>
      <c r="AT264" s="3778"/>
      <c r="AU264" s="3896" t="s">
        <v>553</v>
      </c>
      <c r="AV264" s="3823"/>
      <c r="AW264" s="3897"/>
      <c r="AX264" s="3897" t="str">
        <f>IF(T264="","",T264)</f>
        <v>Территория действия тарифа</v>
      </c>
      <c r="AY264" s="3897"/>
      <c r="AZ264" s="3897"/>
      <c r="BA264" s="3775">
        <v>0</v>
      </c>
    </row>
    <row s="11166" customFormat="1" customHeight="1" ht="23.25">
      <c r="A265" s="3885"/>
      <c r="B265" s="3885"/>
      <c r="C265" s="3885" t="s">
        <v>332</v>
      </c>
      <c r="D265" s="3885"/>
      <c r="E265" s="3886"/>
      <c r="F265" s="3886" t="s">
        <v>158</v>
      </c>
      <c r="G265" s="3887">
        <v>1</v>
      </c>
      <c r="H265" s="3885"/>
      <c r="I265" s="3885"/>
      <c r="J265" s="3885"/>
      <c r="K265" s="3885"/>
      <c r="L265" s="3888"/>
      <c r="M265" s="3889"/>
      <c r="N265" s="3889"/>
      <c r="O265" s="3889"/>
      <c r="P265" s="3890"/>
      <c r="Q265" s="3891"/>
      <c r="R265" s="3892"/>
      <c r="S265" s="3893" t="str">
        <f>INDEX(PT_DIFFERENTIATION_NUM_CS,MATCH(C265,PT_DIFFERENTIATION_CS_ID,0))</f>
        <v>1.14.1</v>
      </c>
      <c r="T265" s="4011" t="s">
        <v>554</v>
      </c>
      <c r="U265" s="3895"/>
      <c r="V265" s="3776"/>
      <c r="W265" s="3777"/>
      <c r="X265" s="3777"/>
      <c r="Y265" s="3777"/>
      <c r="Z265" s="3777"/>
      <c r="AA265" s="3777"/>
      <c r="AB265" s="3777"/>
      <c r="AC265" s="3778"/>
      <c r="AD265" s="3776" t="str">
        <f>INDEX(PT_DIFFERENTIATION_CS,MATCH(C265,PT_DIFFERENTIATION_CS_ID,0))</f>
        <v>без дифференциации</v>
      </c>
      <c r="AE265" s="3777"/>
      <c r="AF265" s="3777"/>
      <c r="AG265" s="3777"/>
      <c r="AH265" s="3777"/>
      <c r="AI265" s="3777"/>
      <c r="AJ265" s="3777"/>
      <c r="AK265" s="3777"/>
      <c r="AL265" s="3776"/>
      <c r="AM265" s="3777"/>
      <c r="AN265" s="3777"/>
      <c r="AO265" s="3777"/>
      <c r="AP265" s="3777"/>
      <c r="AQ265" s="3777"/>
      <c r="AR265" s="3777"/>
      <c r="AS265" s="3778"/>
      <c r="AT265" s="3778"/>
      <c r="AU265" s="3896" t="s">
        <v>555</v>
      </c>
      <c r="AV265" s="3823"/>
      <c r="AW265" s="3897"/>
      <c r="AX265" s="3897" t="str">
        <f>IF(T265="","",T265)</f>
        <v>Наименование системы теплоснабжения </v>
      </c>
      <c r="AY265" s="3897"/>
      <c r="AZ265" s="3897"/>
      <c r="BA265" s="3775">
        <v>0</v>
      </c>
    </row>
    <row s="11167" customFormat="1" customHeight="1" ht="21">
      <c r="A266" s="3885"/>
      <c r="B266" s="3885"/>
      <c r="C266" s="3885"/>
      <c r="D266" s="3885" t="s">
        <v>333</v>
      </c>
      <c r="E266" s="3886"/>
      <c r="F266" s="3886" t="s">
        <v>158</v>
      </c>
      <c r="G266" s="3886"/>
      <c r="H266" s="3887">
        <v>1</v>
      </c>
      <c r="I266" s="3885"/>
      <c r="J266" s="3885"/>
      <c r="K266" s="3885"/>
      <c r="L266" s="3888"/>
      <c r="M266" s="3889"/>
      <c r="N266" s="3889"/>
      <c r="O266" s="3889"/>
      <c r="P266" s="3890"/>
      <c r="Q266" s="3891"/>
      <c r="R266" s="3892"/>
      <c r="S266" s="3893" t="str">
        <f>INDEX(PT_DIFFERENTIATION_NUM_IST_TE,MATCH(D266,PT_DIFFERENTIATION_IST_TE_ID,0))</f>
        <v>1.14.1.1</v>
      </c>
      <c r="T266" s="3894" t="s">
        <v>556</v>
      </c>
      <c r="U266" s="3895"/>
      <c r="V266" s="3776"/>
      <c r="W266" s="3777"/>
      <c r="X266" s="3777"/>
      <c r="Y266" s="3777"/>
      <c r="Z266" s="3777"/>
      <c r="AA266" s="3777"/>
      <c r="AB266" s="3777"/>
      <c r="AC266" s="3778"/>
      <c r="AD266" s="3776" t="str">
        <f>INDEX(PT_DIFFERENTIATION_IST_TE,MATCH(D266,PT_DIFFERENTIATION_IST_TE_ID,0))</f>
        <v>без дифференциации</v>
      </c>
      <c r="AE266" s="3777"/>
      <c r="AF266" s="3777"/>
      <c r="AG266" s="3777"/>
      <c r="AH266" s="3777"/>
      <c r="AI266" s="3777"/>
      <c r="AJ266" s="3777"/>
      <c r="AK266" s="3777"/>
      <c r="AL266" s="3776"/>
      <c r="AM266" s="3777"/>
      <c r="AN266" s="3777"/>
      <c r="AO266" s="3777"/>
      <c r="AP266" s="3777"/>
      <c r="AQ266" s="3777"/>
      <c r="AR266" s="3777"/>
      <c r="AS266" s="3778"/>
      <c r="AT266" s="3778"/>
      <c r="AU266" s="3896" t="s">
        <v>557</v>
      </c>
      <c r="AV266" s="3823"/>
      <c r="AW266" s="3897"/>
      <c r="AX266" s="3897" t="str">
        <f>IF(T266="","",T266)</f>
        <v>Источник тепловой энергии  </v>
      </c>
      <c r="AY266" s="3897"/>
      <c r="AZ266" s="3897"/>
      <c r="BA266" s="3775">
        <v>0</v>
      </c>
    </row>
    <row s="11168" customFormat="1" customHeight="1" ht="47.25">
      <c r="A267" s="3885"/>
      <c r="B267" s="3885"/>
      <c r="C267" s="3885"/>
      <c r="D267" s="3885"/>
      <c r="E267" s="3886"/>
      <c r="F267" s="3886" t="s">
        <v>158</v>
      </c>
      <c r="G267" s="3886"/>
      <c r="H267" s="3886"/>
      <c r="I267" s="3899" t="str">
        <f>S266&amp;".1"</f>
        <v>1.14.1.1.1</v>
      </c>
      <c r="J267" s="3885"/>
      <c r="K267" s="3885"/>
      <c r="L267" s="3888" t="s">
        <v>558</v>
      </c>
      <c r="M267" s="3815"/>
      <c r="N267" s="3900"/>
      <c r="O267" s="3900"/>
      <c r="P267" s="3901">
        <v>1</v>
      </c>
      <c r="Q267" s="3901"/>
      <c r="R267" s="3902"/>
      <c r="S267" s="3893" t="str">
        <f>$I267</f>
        <v>1.14.1.1.1</v>
      </c>
      <c r="T267" s="3903" t="s">
        <v>559</v>
      </c>
      <c r="U267" s="3895"/>
      <c r="V267" s="3779"/>
      <c r="W267" s="3780"/>
      <c r="X267" s="3780"/>
      <c r="Y267" s="3780"/>
      <c r="Z267" s="3780"/>
      <c r="AA267" s="3780"/>
      <c r="AB267" s="3780"/>
      <c r="AC267" s="3781"/>
      <c r="AD267" s="3779" t="s">
        <v>601</v>
      </c>
      <c r="AE267" s="3780"/>
      <c r="AF267" s="3780"/>
      <c r="AG267" s="3780"/>
      <c r="AH267" s="3780"/>
      <c r="AI267" s="3780"/>
      <c r="AJ267" s="3780"/>
      <c r="AK267" s="3780"/>
      <c r="AL267" s="3779"/>
      <c r="AM267" s="3780"/>
      <c r="AN267" s="3780"/>
      <c r="AO267" s="3780"/>
      <c r="AP267" s="3780"/>
      <c r="AQ267" s="3780"/>
      <c r="AR267" s="3780"/>
      <c r="AS267" s="3781"/>
      <c r="AT267" s="3781"/>
      <c r="AU267" s="3896" t="s">
        <v>560</v>
      </c>
      <c r="AV267" s="3823"/>
      <c r="AW267" s="3897"/>
      <c r="AX267" s="3897" t="str">
        <f>IF(T267="","",T267)</f>
        <v>Схема подключения теплопотребляющей установки к коллектору источника тепловой энергии</v>
      </c>
      <c r="AY267" s="3897"/>
      <c r="AZ267" s="3897"/>
      <c r="BA267" s="3775">
        <v>0</v>
      </c>
    </row>
    <row s="11169" customFormat="1" customHeight="1" ht="21">
      <c r="A268" s="3885"/>
      <c r="B268" s="3885"/>
      <c r="C268" s="3885"/>
      <c r="D268" s="3885"/>
      <c r="E268" s="3886"/>
      <c r="F268" s="3886" t="s">
        <v>158</v>
      </c>
      <c r="G268" s="3886"/>
      <c r="H268" s="3886"/>
      <c r="I268" s="3905"/>
      <c r="J268" s="3899" t="str">
        <f>I267&amp;".1"</f>
        <v>1.14.1.1.1.1</v>
      </c>
      <c r="K268" s="3885"/>
      <c r="L268" s="3888" t="s">
        <v>561</v>
      </c>
      <c r="M268" s="3815"/>
      <c r="N268" s="3815"/>
      <c r="O268" s="3900"/>
      <c r="P268" s="3901"/>
      <c r="Q268" s="3901">
        <v>1</v>
      </c>
      <c r="R268" s="3906"/>
      <c r="S268" s="3893" t="str">
        <f>$J268</f>
        <v>1.14.1.1.1.1</v>
      </c>
      <c r="T268" s="3907" t="s">
        <v>562</v>
      </c>
      <c r="U268" s="3895"/>
      <c r="V268" s="3779"/>
      <c r="W268" s="3780"/>
      <c r="X268" s="3780"/>
      <c r="Y268" s="3780"/>
      <c r="Z268" s="3780"/>
      <c r="AA268" s="3780"/>
      <c r="AB268" s="3780"/>
      <c r="AC268" s="3781"/>
      <c r="AD268" s="3779" t="s">
        <v>602</v>
      </c>
      <c r="AE268" s="3780"/>
      <c r="AF268" s="3780"/>
      <c r="AG268" s="3780"/>
      <c r="AH268" s="3780"/>
      <c r="AI268" s="3780"/>
      <c r="AJ268" s="3780"/>
      <c r="AK268" s="3780"/>
      <c r="AL268" s="3779"/>
      <c r="AM268" s="3780"/>
      <c r="AN268" s="3780"/>
      <c r="AO268" s="3780"/>
      <c r="AP268" s="3780"/>
      <c r="AQ268" s="3780"/>
      <c r="AR268" s="3780"/>
      <c r="AS268" s="3781"/>
      <c r="AT268" s="3781"/>
      <c r="AU268" s="3896" t="s">
        <v>563</v>
      </c>
      <c r="AV268" s="3823"/>
      <c r="AW268" s="3897"/>
      <c r="AX268" s="3897" t="str">
        <f>IF(T268="","",T268)</f>
        <v>Группа потребителей</v>
      </c>
      <c r="AY268" s="3897"/>
      <c r="AZ268" s="3897"/>
      <c r="BA268" s="3775">
        <v>0</v>
      </c>
    </row>
    <row s="11170" customFormat="1" customHeight="1" ht="21">
      <c r="A269" s="3885"/>
      <c r="B269" s="3885"/>
      <c r="C269" s="3885"/>
      <c r="D269" s="3885"/>
      <c r="E269" s="3886"/>
      <c r="F269" s="3886" t="s">
        <v>158</v>
      </c>
      <c r="G269" s="3886"/>
      <c r="H269" s="3886"/>
      <c r="I269" s="3905"/>
      <c r="J269" s="3905"/>
      <c r="K269" s="3899" t="str">
        <f>J268&amp;".1"</f>
        <v>1.14.1.1.1.1.1</v>
      </c>
      <c r="L269" s="3888" t="s">
        <v>564</v>
      </c>
      <c r="M269" s="3815"/>
      <c r="N269" s="3815"/>
      <c r="O269" s="3815"/>
      <c r="P269" s="3901"/>
      <c r="Q269" s="3901"/>
      <c r="R269" s="3906">
        <v>1</v>
      </c>
      <c r="S269" s="3893" t="str">
        <f>$K269</f>
        <v>1.14.1.1.1.1.1</v>
      </c>
      <c r="T269" s="3909" t="s">
        <v>603</v>
      </c>
      <c r="U269" s="3895"/>
      <c r="V269" s="3855"/>
      <c r="W269" s="3855"/>
      <c r="X269" s="3855"/>
      <c r="Y269" s="3856"/>
      <c r="Z269" s="3857"/>
      <c r="AA269" s="3858" t="s">
        <v>63</v>
      </c>
      <c r="AB269" s="3857"/>
      <c r="AC269" s="3858" t="s">
        <v>63</v>
      </c>
      <c r="AD269" s="3783"/>
      <c r="AE269" s="3784">
        <v>705.55</v>
      </c>
      <c r="AF269" s="3783"/>
      <c r="AG269" s="3785"/>
      <c r="AH269" s="3786">
        <v>45658</v>
      </c>
      <c r="AI269" s="3191" t="s">
        <v>63</v>
      </c>
      <c r="AJ269" s="3786">
        <v>46022</v>
      </c>
      <c r="AK269" s="3191" t="s">
        <v>19</v>
      </c>
      <c r="AL269" s="3855"/>
      <c r="AM269" s="3855"/>
      <c r="AN269" s="3855"/>
      <c r="AO269" s="3856"/>
      <c r="AP269" s="3857"/>
      <c r="AQ269" s="3858" t="s">
        <v>63</v>
      </c>
      <c r="AR269" s="3857"/>
      <c r="AS269" s="3858" t="s">
        <v>63</v>
      </c>
      <c r="AT269" s="3783"/>
      <c r="AU269" s="3910" t="s">
        <v>565</v>
      </c>
      <c r="AV269" s="3823">
        <f>STRCHECKDATE(V270:AT270)</f>
      </c>
      <c r="AW269" s="3897"/>
      <c r="AX269" s="3897" t="str">
        <f>IF(T269="","",T269)</f>
        <v>вода</v>
      </c>
      <c r="AY269" s="3897"/>
      <c r="AZ269" s="3897"/>
      <c r="BA269" s="3775">
        <v>0</v>
      </c>
    </row>
    <row s="11171" customFormat="1" customHeight="1" ht="0.75">
      <c r="A270" s="3885"/>
      <c r="B270" s="3885"/>
      <c r="C270" s="3885"/>
      <c r="D270" s="3885"/>
      <c r="E270" s="3886"/>
      <c r="F270" s="3886" t="s">
        <v>158</v>
      </c>
      <c r="G270" s="3886"/>
      <c r="H270" s="3886"/>
      <c r="I270" s="3905"/>
      <c r="J270" s="3905"/>
      <c r="K270" s="3899"/>
      <c r="L270" s="3888"/>
      <c r="M270" s="3815"/>
      <c r="N270" s="3815"/>
      <c r="O270" s="3815"/>
      <c r="P270" s="3901"/>
      <c r="Q270" s="3901"/>
      <c r="R270" s="3906"/>
      <c r="S270" s="3912"/>
      <c r="T270" s="3895"/>
      <c r="U270" s="3895"/>
      <c r="V270" s="3855"/>
      <c r="W270" s="3855"/>
      <c r="X270" s="3855"/>
      <c r="Y270" s="3787" t="str">
        <f>Z269&amp;"-"&amp;AB269</f>
        <v>-</v>
      </c>
      <c r="Z270" s="3858"/>
      <c r="AA270" s="3858"/>
      <c r="AB270" s="3858"/>
      <c r="AC270" s="3858"/>
      <c r="AD270" s="3783"/>
      <c r="AE270" s="3783"/>
      <c r="AF270" s="3783"/>
      <c r="AG270" s="3787" t="str">
        <f>AH269&amp;"-"&amp;AJ269</f>
        <v>45658-46022</v>
      </c>
      <c r="AH270" s="3788"/>
      <c r="AI270" s="3191"/>
      <c r="AJ270" s="3788"/>
      <c r="AK270" s="3191"/>
      <c r="AL270" s="3855"/>
      <c r="AM270" s="3855"/>
      <c r="AN270" s="3855"/>
      <c r="AO270" s="3787" t="str">
        <f>AP269&amp;"-"&amp;AR269</f>
        <v>-</v>
      </c>
      <c r="AP270" s="3858"/>
      <c r="AQ270" s="3858"/>
      <c r="AR270" s="3858"/>
      <c r="AS270" s="3858"/>
      <c r="AT270" s="3783"/>
      <c r="AU270" s="3913"/>
      <c r="AV270" s="3823"/>
      <c r="AW270" s="3897"/>
      <c r="AX270" s="3897" t="str">
        <f>IF(T270="","",T270)</f>
        <v/>
      </c>
      <c r="AY270" s="3897"/>
      <c r="AZ270" s="3897"/>
      <c r="BA270" s="3775">
        <v>0</v>
      </c>
    </row>
    <row s="11172" customFormat="1" customHeight="1" ht="15">
      <c r="A271" s="3885"/>
      <c r="B271" s="3885"/>
      <c r="C271" s="3885"/>
      <c r="D271" s="3885"/>
      <c r="E271" s="3886"/>
      <c r="F271" s="3886" t="s">
        <v>158</v>
      </c>
      <c r="G271" s="3886"/>
      <c r="H271" s="3886"/>
      <c r="I271" s="3905"/>
      <c r="J271" s="3899"/>
      <c r="K271" s="3885"/>
      <c r="L271" s="3888"/>
      <c r="M271" s="3815"/>
      <c r="N271" s="3815"/>
      <c r="O271" s="3900"/>
      <c r="P271" s="3901"/>
      <c r="Q271" s="3901"/>
      <c r="R271" s="3902"/>
      <c r="S271" s="5862"/>
      <c r="T271" s="5863" t="s">
        <v>566</v>
      </c>
      <c r="U271" s="5864"/>
      <c r="V271" s="5865"/>
      <c r="W271" s="5866"/>
      <c r="X271" s="5867"/>
      <c r="Y271" s="5868"/>
      <c r="Z271" s="5869"/>
      <c r="AA271" s="5870"/>
      <c r="AB271" s="5871"/>
      <c r="AC271" s="5872"/>
      <c r="AD271" s="5873"/>
      <c r="AE271" s="5874"/>
      <c r="AF271" s="5875"/>
      <c r="AG271" s="5876"/>
      <c r="AH271" s="5877"/>
      <c r="AI271" s="5878"/>
      <c r="AJ271" s="5879"/>
      <c r="AK271" s="5880"/>
      <c r="AL271" s="5881"/>
      <c r="AM271" s="5882"/>
      <c r="AN271" s="5883"/>
      <c r="AO271" s="5884"/>
      <c r="AP271" s="5885"/>
      <c r="AQ271" s="5886"/>
      <c r="AR271" s="5887"/>
      <c r="AS271" s="5888"/>
      <c r="AT271" s="5889"/>
      <c r="AU271" s="3943"/>
      <c r="AV271" s="3823"/>
      <c r="AW271" s="3897"/>
      <c r="AX271" s="3897" t="str">
        <f>IF(T271="","",T271)</f>
        <v>Добавить вид теплоносителя (параметры теплоносителя)</v>
      </c>
      <c r="AY271" s="3897"/>
      <c r="AZ271" s="3897"/>
      <c r="BA271" s="3775">
        <v>0</v>
      </c>
    </row>
    <row s="11201" customFormat="1" customHeight="1" ht="15">
      <c r="A272" s="3885"/>
      <c r="B272" s="3885"/>
      <c r="C272" s="3885"/>
      <c r="D272" s="3885"/>
      <c r="E272" s="3886"/>
      <c r="F272" s="3886" t="s">
        <v>158</v>
      </c>
      <c r="G272" s="3886"/>
      <c r="H272" s="3886"/>
      <c r="I272" s="3899"/>
      <c r="J272" s="3885"/>
      <c r="K272" s="3885"/>
      <c r="L272" s="3888"/>
      <c r="M272" s="3815"/>
      <c r="N272" s="3900"/>
      <c r="O272" s="3900"/>
      <c r="P272" s="3901"/>
      <c r="Q272" s="3901"/>
      <c r="R272" s="3902"/>
      <c r="S272" s="5891"/>
      <c r="T272" s="5892" t="s">
        <v>567</v>
      </c>
      <c r="U272" s="5893"/>
      <c r="V272" s="5894"/>
      <c r="W272" s="5895"/>
      <c r="X272" s="5896"/>
      <c r="Y272" s="5897"/>
      <c r="Z272" s="5898"/>
      <c r="AA272" s="5899"/>
      <c r="AB272" s="5900"/>
      <c r="AC272" s="5901"/>
      <c r="AD272" s="5902"/>
      <c r="AE272" s="5903"/>
      <c r="AF272" s="5904"/>
      <c r="AG272" s="5905"/>
      <c r="AH272" s="5906"/>
      <c r="AI272" s="5907"/>
      <c r="AJ272" s="5908"/>
      <c r="AK272" s="5909"/>
      <c r="AL272" s="5910"/>
      <c r="AM272" s="5911"/>
      <c r="AN272" s="5912"/>
      <c r="AO272" s="5913"/>
      <c r="AP272" s="5914"/>
      <c r="AQ272" s="5915"/>
      <c r="AR272" s="5916"/>
      <c r="AS272" s="5917"/>
      <c r="AT272" s="5918"/>
      <c r="AU272" s="5919"/>
      <c r="AV272" s="3823"/>
      <c r="AW272" s="3897"/>
      <c r="AX272" s="3897" t="str">
        <f>IF(T272="","",T272)</f>
        <v>Добавить группу потребителей</v>
      </c>
      <c r="AY272" s="3897"/>
      <c r="AZ272" s="3897"/>
      <c r="BA272" s="3775">
        <v>0</v>
      </c>
    </row>
    <row s="11231" customFormat="1" customHeight="1" ht="14.25">
      <c r="A273" s="3885"/>
      <c r="B273" s="3885"/>
      <c r="C273" s="3885"/>
      <c r="D273" s="3885"/>
      <c r="E273" s="3886"/>
      <c r="F273" s="3886" t="s">
        <v>158</v>
      </c>
      <c r="G273" s="3886"/>
      <c r="H273" s="3887"/>
      <c r="I273" s="3885"/>
      <c r="J273" s="3885"/>
      <c r="K273" s="3885"/>
      <c r="L273" s="3888"/>
      <c r="M273" s="3889"/>
      <c r="N273" s="3889"/>
      <c r="O273" s="3815"/>
      <c r="P273" s="3975"/>
      <c r="Q273" s="3976"/>
      <c r="R273" s="3977"/>
      <c r="S273" s="5921"/>
      <c r="T273" s="5922" t="s">
        <v>568</v>
      </c>
      <c r="U273" s="5923"/>
      <c r="V273" s="5924"/>
      <c r="W273" s="5925"/>
      <c r="X273" s="5926"/>
      <c r="Y273" s="5927"/>
      <c r="Z273" s="5928"/>
      <c r="AA273" s="5929"/>
      <c r="AB273" s="5930"/>
      <c r="AC273" s="5931"/>
      <c r="AD273" s="5932"/>
      <c r="AE273" s="5933"/>
      <c r="AF273" s="5934"/>
      <c r="AG273" s="5935"/>
      <c r="AH273" s="5936"/>
      <c r="AI273" s="5937"/>
      <c r="AJ273" s="5938"/>
      <c r="AK273" s="5939"/>
      <c r="AL273" s="5940"/>
      <c r="AM273" s="5941"/>
      <c r="AN273" s="5942"/>
      <c r="AO273" s="5943"/>
      <c r="AP273" s="5944"/>
      <c r="AQ273" s="5945"/>
      <c r="AR273" s="5946"/>
      <c r="AS273" s="5947"/>
      <c r="AT273" s="5948"/>
      <c r="AU273" s="5949"/>
      <c r="AV273" s="3823"/>
      <c r="AW273" s="3897"/>
      <c r="AX273" s="3897" t="str">
        <f>IF(T273="","",T273)</f>
        <v>Добавить схему подключения</v>
      </c>
      <c r="AY273" s="3897"/>
      <c r="AZ273" s="3897"/>
      <c r="BA273" s="3775">
        <v>0</v>
      </c>
    </row>
    <row s="11261" customFormat="1" customHeight="1" ht="0.75">
      <c r="A274" s="4107"/>
      <c r="B274" s="4107"/>
      <c r="C274" s="4107"/>
      <c r="D274" s="4107"/>
      <c r="E274" s="3886"/>
      <c r="F274" s="3886" t="s">
        <v>158</v>
      </c>
      <c r="G274" s="3887"/>
      <c r="H274" s="4107"/>
      <c r="I274" s="4107"/>
      <c r="J274" s="4107"/>
      <c r="K274" s="4107"/>
      <c r="L274" s="4108"/>
      <c r="M274" s="4109"/>
      <c r="N274" s="4109"/>
      <c r="O274" s="3823"/>
      <c r="P274" s="4110"/>
      <c r="Q274" s="4111"/>
      <c r="R274" s="4110"/>
      <c r="S274" s="4112"/>
      <c r="T274" s="4113" t="s">
        <v>273</v>
      </c>
      <c r="U274" s="3813"/>
      <c r="V274" s="3813"/>
      <c r="W274" s="3813"/>
      <c r="X274" s="3813"/>
      <c r="Y274" s="3813"/>
      <c r="Z274" s="3813"/>
      <c r="AA274" s="3813"/>
      <c r="AB274" s="3813"/>
      <c r="AC274" s="3813"/>
      <c r="AD274" s="3813"/>
      <c r="AE274" s="3813"/>
      <c r="AF274" s="3813"/>
      <c r="AG274" s="3813"/>
      <c r="AH274" s="3813"/>
      <c r="AI274" s="3813"/>
      <c r="AJ274" s="3813"/>
      <c r="AK274" s="3813"/>
      <c r="AL274" s="3813"/>
      <c r="AM274" s="3813"/>
      <c r="AN274" s="3813"/>
      <c r="AO274" s="3813"/>
      <c r="AP274" s="3813"/>
      <c r="AQ274" s="3813"/>
      <c r="AR274" s="3813"/>
      <c r="AS274" s="3813"/>
      <c r="AT274" s="3813"/>
      <c r="AU274" s="3813"/>
      <c r="AV274" s="3823"/>
      <c r="AW274" s="3897"/>
      <c r="AX274" s="3897" t="str">
        <f>IF(T274="","",T274)</f>
        <v>Добавить источник для дифференциации</v>
      </c>
      <c r="AY274" s="3897"/>
      <c r="AZ274" s="3897"/>
      <c r="BA274" s="3823">
        <v>0</v>
      </c>
    </row>
    <row s="11262" customFormat="1" customHeight="1" ht="0.75">
      <c r="A275" s="4107"/>
      <c r="B275" s="4107"/>
      <c r="C275" s="4107"/>
      <c r="D275" s="4107"/>
      <c r="E275" s="3886"/>
      <c r="F275" s="3887" t="s">
        <v>158</v>
      </c>
      <c r="G275" s="4107"/>
      <c r="H275" s="4107"/>
      <c r="I275" s="4107"/>
      <c r="J275" s="4107"/>
      <c r="K275" s="4107"/>
      <c r="L275" s="4108"/>
      <c r="M275" s="4115"/>
      <c r="N275" s="4115"/>
      <c r="O275" s="3823"/>
      <c r="P275" s="4110"/>
      <c r="Q275" s="4111"/>
      <c r="R275" s="4110"/>
      <c r="S275" s="4116"/>
      <c r="T275" s="4117" t="s">
        <v>274</v>
      </c>
      <c r="U275" s="3814"/>
      <c r="V275" s="3814"/>
      <c r="W275" s="3814"/>
      <c r="X275" s="3814"/>
      <c r="Y275" s="3814"/>
      <c r="Z275" s="3814"/>
      <c r="AA275" s="3814"/>
      <c r="AB275" s="3814"/>
      <c r="AC275" s="3814"/>
      <c r="AD275" s="3814"/>
      <c r="AE275" s="3814"/>
      <c r="AF275" s="3814"/>
      <c r="AG275" s="3814"/>
      <c r="AH275" s="3814"/>
      <c r="AI275" s="3814"/>
      <c r="AJ275" s="3814"/>
      <c r="AK275" s="3814"/>
      <c r="AL275" s="3814"/>
      <c r="AM275" s="3814"/>
      <c r="AN275" s="3814"/>
      <c r="AO275" s="3814"/>
      <c r="AP275" s="3814"/>
      <c r="AQ275" s="3814"/>
      <c r="AR275" s="3814"/>
      <c r="AS275" s="3814"/>
      <c r="AT275" s="3814"/>
      <c r="AU275" s="3814"/>
      <c r="AV275" s="3823"/>
      <c r="AW275" s="3897"/>
      <c r="AX275" s="3897" t="str">
        <f>IF(T275="","",T275)</f>
        <v>Добавить централизованную систему для дифференциации</v>
      </c>
      <c r="AY275" s="3897"/>
      <c r="AZ275" s="3897"/>
      <c r="BA275" s="3823">
        <v>0</v>
      </c>
    </row>
    <row s="11263" customFormat="1" customHeight="1" ht="21">
      <c r="A276" s="3885"/>
      <c r="B276" s="3885" t="s">
        <v>334</v>
      </c>
      <c r="C276" s="3885"/>
      <c r="D276" s="3885"/>
      <c r="E276" s="3886"/>
      <c r="F276" s="3887" t="s">
        <v>126</v>
      </c>
      <c r="G276" s="3885"/>
      <c r="H276" s="3885"/>
      <c r="I276" s="3885"/>
      <c r="J276" s="3885"/>
      <c r="K276" s="3885"/>
      <c r="L276" s="3888"/>
      <c r="M276" s="3889"/>
      <c r="N276" s="3889"/>
      <c r="O276" s="3889"/>
      <c r="P276" s="4008"/>
      <c r="Q276" s="3891"/>
      <c r="R276" s="3892"/>
      <c r="S276" s="3893" t="str">
        <f>INDEX(PT_DIFFERENTIATION_NUM_TER,MATCH(B276,PT_DIFFERENTIATION_TER_ID,0))</f>
        <v>1.15</v>
      </c>
      <c r="T276" s="4009" t="s">
        <v>552</v>
      </c>
      <c r="U276" s="3895"/>
      <c r="V276" s="3776"/>
      <c r="W276" s="3777"/>
      <c r="X276" s="3777"/>
      <c r="Y276" s="3777"/>
      <c r="Z276" s="3777"/>
      <c r="AA276" s="3777"/>
      <c r="AB276" s="3777"/>
      <c r="AC276" s="3778"/>
      <c r="AD276" s="3776" t="str">
        <f>INDEX(PT_DIFFERENTIATION_TER,MATCH(B276,PT_DIFFERENTIATION_TER_ID,0))</f>
        <v>Территория 15</v>
      </c>
      <c r="AE276" s="3777"/>
      <c r="AF276" s="3777"/>
      <c r="AG276" s="3777"/>
      <c r="AH276" s="3777"/>
      <c r="AI276" s="3777"/>
      <c r="AJ276" s="3777"/>
      <c r="AK276" s="3777"/>
      <c r="AL276" s="3776"/>
      <c r="AM276" s="3777"/>
      <c r="AN276" s="3777"/>
      <c r="AO276" s="3777"/>
      <c r="AP276" s="3777"/>
      <c r="AQ276" s="3777"/>
      <c r="AR276" s="3777"/>
      <c r="AS276" s="3778"/>
      <c r="AT276" s="3778"/>
      <c r="AU276" s="3896" t="s">
        <v>553</v>
      </c>
      <c r="AV276" s="3823"/>
      <c r="AW276" s="3897"/>
      <c r="AX276" s="3897" t="str">
        <f>IF(T276="","",T276)</f>
        <v>Территория действия тарифа</v>
      </c>
      <c r="AY276" s="3897"/>
      <c r="AZ276" s="3897"/>
      <c r="BA276" s="3775">
        <v>0</v>
      </c>
    </row>
    <row s="11264" customFormat="1" customHeight="1" ht="23.25">
      <c r="A277" s="3885"/>
      <c r="B277" s="3885"/>
      <c r="C277" s="3885" t="s">
        <v>335</v>
      </c>
      <c r="D277" s="3885"/>
      <c r="E277" s="3886"/>
      <c r="F277" s="3886" t="s">
        <v>122</v>
      </c>
      <c r="G277" s="3887">
        <v>1</v>
      </c>
      <c r="H277" s="3885"/>
      <c r="I277" s="3885"/>
      <c r="J277" s="3885"/>
      <c r="K277" s="3885"/>
      <c r="L277" s="3888"/>
      <c r="M277" s="3889"/>
      <c r="N277" s="3889"/>
      <c r="O277" s="3889"/>
      <c r="P277" s="3890"/>
      <c r="Q277" s="3891"/>
      <c r="R277" s="3892"/>
      <c r="S277" s="3893" t="str">
        <f>INDEX(PT_DIFFERENTIATION_NUM_CS,MATCH(C277,PT_DIFFERENTIATION_CS_ID,0))</f>
        <v>1.15.1</v>
      </c>
      <c r="T277" s="4011" t="s">
        <v>554</v>
      </c>
      <c r="U277" s="3895"/>
      <c r="V277" s="3776"/>
      <c r="W277" s="3777"/>
      <c r="X277" s="3777"/>
      <c r="Y277" s="3777"/>
      <c r="Z277" s="3777"/>
      <c r="AA277" s="3777"/>
      <c r="AB277" s="3777"/>
      <c r="AC277" s="3778"/>
      <c r="AD277" s="3776" t="str">
        <f>INDEX(PT_DIFFERENTIATION_CS,MATCH(C277,PT_DIFFERENTIATION_CS_ID,0))</f>
        <v>без дифференциации</v>
      </c>
      <c r="AE277" s="3777"/>
      <c r="AF277" s="3777"/>
      <c r="AG277" s="3777"/>
      <c r="AH277" s="3777"/>
      <c r="AI277" s="3777"/>
      <c r="AJ277" s="3777"/>
      <c r="AK277" s="3777"/>
      <c r="AL277" s="3776"/>
      <c r="AM277" s="3777"/>
      <c r="AN277" s="3777"/>
      <c r="AO277" s="3777"/>
      <c r="AP277" s="3777"/>
      <c r="AQ277" s="3777"/>
      <c r="AR277" s="3777"/>
      <c r="AS277" s="3778"/>
      <c r="AT277" s="3778"/>
      <c r="AU277" s="3896" t="s">
        <v>555</v>
      </c>
      <c r="AV277" s="3823"/>
      <c r="AW277" s="3897"/>
      <c r="AX277" s="3897" t="str">
        <f>IF(T277="","",T277)</f>
        <v>Наименование системы теплоснабжения </v>
      </c>
      <c r="AY277" s="3897"/>
      <c r="AZ277" s="3897"/>
      <c r="BA277" s="3775">
        <v>0</v>
      </c>
    </row>
    <row s="11265" customFormat="1" customHeight="1" ht="21">
      <c r="A278" s="3885"/>
      <c r="B278" s="3885"/>
      <c r="C278" s="3885"/>
      <c r="D278" s="3885" t="s">
        <v>336</v>
      </c>
      <c r="E278" s="3886"/>
      <c r="F278" s="3886" t="s">
        <v>122</v>
      </c>
      <c r="G278" s="3886"/>
      <c r="H278" s="3887">
        <v>1</v>
      </c>
      <c r="I278" s="3885"/>
      <c r="J278" s="3885"/>
      <c r="K278" s="3885"/>
      <c r="L278" s="3888"/>
      <c r="M278" s="3889"/>
      <c r="N278" s="3889"/>
      <c r="O278" s="3889"/>
      <c r="P278" s="3890"/>
      <c r="Q278" s="3891"/>
      <c r="R278" s="3892"/>
      <c r="S278" s="3893" t="str">
        <f>INDEX(PT_DIFFERENTIATION_NUM_IST_TE,MATCH(D278,PT_DIFFERENTIATION_IST_TE_ID,0))</f>
        <v>1.15.1.1</v>
      </c>
      <c r="T278" s="3894" t="s">
        <v>556</v>
      </c>
      <c r="U278" s="3895"/>
      <c r="V278" s="3776"/>
      <c r="W278" s="3777"/>
      <c r="X278" s="3777"/>
      <c r="Y278" s="3777"/>
      <c r="Z278" s="3777"/>
      <c r="AA278" s="3777"/>
      <c r="AB278" s="3777"/>
      <c r="AC278" s="3778"/>
      <c r="AD278" s="3776" t="str">
        <f>INDEX(PT_DIFFERENTIATION_IST_TE,MATCH(D278,PT_DIFFERENTIATION_IST_TE_ID,0))</f>
        <v>без дифференциации</v>
      </c>
      <c r="AE278" s="3777"/>
      <c r="AF278" s="3777"/>
      <c r="AG278" s="3777"/>
      <c r="AH278" s="3777"/>
      <c r="AI278" s="3777"/>
      <c r="AJ278" s="3777"/>
      <c r="AK278" s="3777"/>
      <c r="AL278" s="3776"/>
      <c r="AM278" s="3777"/>
      <c r="AN278" s="3777"/>
      <c r="AO278" s="3777"/>
      <c r="AP278" s="3777"/>
      <c r="AQ278" s="3777"/>
      <c r="AR278" s="3777"/>
      <c r="AS278" s="3778"/>
      <c r="AT278" s="3778"/>
      <c r="AU278" s="3896" t="s">
        <v>557</v>
      </c>
      <c r="AV278" s="3823"/>
      <c r="AW278" s="3897"/>
      <c r="AX278" s="3897" t="str">
        <f>IF(T278="","",T278)</f>
        <v>Источник тепловой энергии  </v>
      </c>
      <c r="AY278" s="3897"/>
      <c r="AZ278" s="3897"/>
      <c r="BA278" s="3775">
        <v>0</v>
      </c>
    </row>
    <row s="11266" customFormat="1" customHeight="1" ht="47.25">
      <c r="A279" s="3885"/>
      <c r="B279" s="3885"/>
      <c r="C279" s="3885"/>
      <c r="D279" s="3885"/>
      <c r="E279" s="3886"/>
      <c r="F279" s="3886" t="s">
        <v>122</v>
      </c>
      <c r="G279" s="3886"/>
      <c r="H279" s="3886"/>
      <c r="I279" s="3899" t="str">
        <f>S278&amp;".1"</f>
        <v>1.15.1.1.1</v>
      </c>
      <c r="J279" s="3885"/>
      <c r="K279" s="3885"/>
      <c r="L279" s="3888" t="s">
        <v>558</v>
      </c>
      <c r="M279" s="3815"/>
      <c r="N279" s="3900"/>
      <c r="O279" s="3900"/>
      <c r="P279" s="3901">
        <v>1</v>
      </c>
      <c r="Q279" s="3901"/>
      <c r="R279" s="3902"/>
      <c r="S279" s="3893" t="str">
        <f>$I279</f>
        <v>1.15.1.1.1</v>
      </c>
      <c r="T279" s="3903" t="s">
        <v>559</v>
      </c>
      <c r="U279" s="3895"/>
      <c r="V279" s="3779"/>
      <c r="W279" s="3780"/>
      <c r="X279" s="3780"/>
      <c r="Y279" s="3780"/>
      <c r="Z279" s="3780"/>
      <c r="AA279" s="3780"/>
      <c r="AB279" s="3780"/>
      <c r="AC279" s="3781"/>
      <c r="AD279" s="3779" t="s">
        <v>601</v>
      </c>
      <c r="AE279" s="3780"/>
      <c r="AF279" s="3780"/>
      <c r="AG279" s="3780"/>
      <c r="AH279" s="3780"/>
      <c r="AI279" s="3780"/>
      <c r="AJ279" s="3780"/>
      <c r="AK279" s="3780"/>
      <c r="AL279" s="3779"/>
      <c r="AM279" s="3780"/>
      <c r="AN279" s="3780"/>
      <c r="AO279" s="3780"/>
      <c r="AP279" s="3780"/>
      <c r="AQ279" s="3780"/>
      <c r="AR279" s="3780"/>
      <c r="AS279" s="3781"/>
      <c r="AT279" s="3781"/>
      <c r="AU279" s="3896" t="s">
        <v>560</v>
      </c>
      <c r="AV279" s="3823"/>
      <c r="AW279" s="3897"/>
      <c r="AX279" s="3897" t="str">
        <f>IF(T279="","",T279)</f>
        <v>Схема подключения теплопотребляющей установки к коллектору источника тепловой энергии</v>
      </c>
      <c r="AY279" s="3897"/>
      <c r="AZ279" s="3897"/>
      <c r="BA279" s="3775">
        <v>0</v>
      </c>
    </row>
    <row s="11267" customFormat="1" customHeight="1" ht="21">
      <c r="A280" s="3885"/>
      <c r="B280" s="3885"/>
      <c r="C280" s="3885"/>
      <c r="D280" s="3885"/>
      <c r="E280" s="3886"/>
      <c r="F280" s="3886" t="s">
        <v>122</v>
      </c>
      <c r="G280" s="3886"/>
      <c r="H280" s="3886"/>
      <c r="I280" s="3905"/>
      <c r="J280" s="3899" t="str">
        <f>I279&amp;".1"</f>
        <v>1.15.1.1.1.1</v>
      </c>
      <c r="K280" s="3885"/>
      <c r="L280" s="3888" t="s">
        <v>561</v>
      </c>
      <c r="M280" s="3815"/>
      <c r="N280" s="3815"/>
      <c r="O280" s="3900"/>
      <c r="P280" s="3901"/>
      <c r="Q280" s="3901">
        <v>1</v>
      </c>
      <c r="R280" s="3906"/>
      <c r="S280" s="3893" t="str">
        <f>$J280</f>
        <v>1.15.1.1.1.1</v>
      </c>
      <c r="T280" s="3907" t="s">
        <v>562</v>
      </c>
      <c r="U280" s="3895"/>
      <c r="V280" s="3779"/>
      <c r="W280" s="3780"/>
      <c r="X280" s="3780"/>
      <c r="Y280" s="3780"/>
      <c r="Z280" s="3780"/>
      <c r="AA280" s="3780"/>
      <c r="AB280" s="3780"/>
      <c r="AC280" s="3781"/>
      <c r="AD280" s="3779" t="s">
        <v>602</v>
      </c>
      <c r="AE280" s="3780"/>
      <c r="AF280" s="3780"/>
      <c r="AG280" s="3780"/>
      <c r="AH280" s="3780"/>
      <c r="AI280" s="3780"/>
      <c r="AJ280" s="3780"/>
      <c r="AK280" s="3780"/>
      <c r="AL280" s="3779"/>
      <c r="AM280" s="3780"/>
      <c r="AN280" s="3780"/>
      <c r="AO280" s="3780"/>
      <c r="AP280" s="3780"/>
      <c r="AQ280" s="3780"/>
      <c r="AR280" s="3780"/>
      <c r="AS280" s="3781"/>
      <c r="AT280" s="3781"/>
      <c r="AU280" s="3896" t="s">
        <v>563</v>
      </c>
      <c r="AV280" s="3823"/>
      <c r="AW280" s="3897"/>
      <c r="AX280" s="3897" t="str">
        <f>IF(T280="","",T280)</f>
        <v>Группа потребителей</v>
      </c>
      <c r="AY280" s="3897"/>
      <c r="AZ280" s="3897"/>
      <c r="BA280" s="3775">
        <v>0</v>
      </c>
    </row>
    <row s="11268" customFormat="1" customHeight="1" ht="21">
      <c r="A281" s="3885"/>
      <c r="B281" s="3885"/>
      <c r="C281" s="3885"/>
      <c r="D281" s="3885"/>
      <c r="E281" s="3886"/>
      <c r="F281" s="3886" t="s">
        <v>122</v>
      </c>
      <c r="G281" s="3886"/>
      <c r="H281" s="3886"/>
      <c r="I281" s="3905"/>
      <c r="J281" s="3905"/>
      <c r="K281" s="3899" t="str">
        <f>J280&amp;".1"</f>
        <v>1.15.1.1.1.1.1</v>
      </c>
      <c r="L281" s="3888" t="s">
        <v>564</v>
      </c>
      <c r="M281" s="3815"/>
      <c r="N281" s="3815"/>
      <c r="O281" s="3815"/>
      <c r="P281" s="3901"/>
      <c r="Q281" s="3901"/>
      <c r="R281" s="3906">
        <v>1</v>
      </c>
      <c r="S281" s="3893" t="str">
        <f>$K281</f>
        <v>1.15.1.1.1.1.1</v>
      </c>
      <c r="T281" s="3909" t="s">
        <v>603</v>
      </c>
      <c r="U281" s="3895"/>
      <c r="V281" s="3855"/>
      <c r="W281" s="3855"/>
      <c r="X281" s="3855"/>
      <c r="Y281" s="3856"/>
      <c r="Z281" s="3857"/>
      <c r="AA281" s="3858" t="s">
        <v>63</v>
      </c>
      <c r="AB281" s="3857"/>
      <c r="AC281" s="3858" t="s">
        <v>63</v>
      </c>
      <c r="AD281" s="3783"/>
      <c r="AE281" s="3784">
        <v>705.55</v>
      </c>
      <c r="AF281" s="3783"/>
      <c r="AG281" s="3785"/>
      <c r="AH281" s="3786">
        <v>45658</v>
      </c>
      <c r="AI281" s="3191" t="s">
        <v>63</v>
      </c>
      <c r="AJ281" s="3786">
        <v>46022</v>
      </c>
      <c r="AK281" s="3191" t="s">
        <v>19</v>
      </c>
      <c r="AL281" s="3855"/>
      <c r="AM281" s="3855"/>
      <c r="AN281" s="3855"/>
      <c r="AO281" s="3856"/>
      <c r="AP281" s="3857"/>
      <c r="AQ281" s="3858" t="s">
        <v>63</v>
      </c>
      <c r="AR281" s="3857"/>
      <c r="AS281" s="3858" t="s">
        <v>63</v>
      </c>
      <c r="AT281" s="3783"/>
      <c r="AU281" s="3910" t="s">
        <v>565</v>
      </c>
      <c r="AV281" s="3823">
        <f>STRCHECKDATE(V282:AT282)</f>
      </c>
      <c r="AW281" s="3897"/>
      <c r="AX281" s="3897" t="str">
        <f>IF(T281="","",T281)</f>
        <v>вода</v>
      </c>
      <c r="AY281" s="3897"/>
      <c r="AZ281" s="3897"/>
      <c r="BA281" s="3775">
        <v>0</v>
      </c>
    </row>
    <row s="11269" customFormat="1" customHeight="1" ht="0.75">
      <c r="A282" s="3885"/>
      <c r="B282" s="3885"/>
      <c r="C282" s="3885"/>
      <c r="D282" s="3885"/>
      <c r="E282" s="3886"/>
      <c r="F282" s="3886" t="s">
        <v>122</v>
      </c>
      <c r="G282" s="3886"/>
      <c r="H282" s="3886"/>
      <c r="I282" s="3905"/>
      <c r="J282" s="3905"/>
      <c r="K282" s="3899"/>
      <c r="L282" s="3888"/>
      <c r="M282" s="3815"/>
      <c r="N282" s="3815"/>
      <c r="O282" s="3815"/>
      <c r="P282" s="3901"/>
      <c r="Q282" s="3901"/>
      <c r="R282" s="3906"/>
      <c r="S282" s="3912"/>
      <c r="T282" s="3895"/>
      <c r="U282" s="3895"/>
      <c r="V282" s="3855"/>
      <c r="W282" s="3855"/>
      <c r="X282" s="3855"/>
      <c r="Y282" s="3787" t="str">
        <f>Z281&amp;"-"&amp;AB281</f>
        <v>-</v>
      </c>
      <c r="Z282" s="3858"/>
      <c r="AA282" s="3858"/>
      <c r="AB282" s="3858"/>
      <c r="AC282" s="3858"/>
      <c r="AD282" s="3783"/>
      <c r="AE282" s="3783"/>
      <c r="AF282" s="3783"/>
      <c r="AG282" s="3787" t="str">
        <f>AH281&amp;"-"&amp;AJ281</f>
        <v>45658-46022</v>
      </c>
      <c r="AH282" s="3788"/>
      <c r="AI282" s="3191"/>
      <c r="AJ282" s="3788"/>
      <c r="AK282" s="3191"/>
      <c r="AL282" s="3855"/>
      <c r="AM282" s="3855"/>
      <c r="AN282" s="3855"/>
      <c r="AO282" s="3787" t="str">
        <f>AP281&amp;"-"&amp;AR281</f>
        <v>-</v>
      </c>
      <c r="AP282" s="3858"/>
      <c r="AQ282" s="3858"/>
      <c r="AR282" s="3858"/>
      <c r="AS282" s="3858"/>
      <c r="AT282" s="3783"/>
      <c r="AU282" s="3913"/>
      <c r="AV282" s="3823"/>
      <c r="AW282" s="3897"/>
      <c r="AX282" s="3897" t="str">
        <f>IF(T282="","",T282)</f>
        <v/>
      </c>
      <c r="AY282" s="3897"/>
      <c r="AZ282" s="3897"/>
      <c r="BA282" s="3775">
        <v>0</v>
      </c>
    </row>
    <row s="11270" customFormat="1" customHeight="1" ht="15">
      <c r="A283" s="3885"/>
      <c r="B283" s="3885"/>
      <c r="C283" s="3885"/>
      <c r="D283" s="3885"/>
      <c r="E283" s="3886"/>
      <c r="F283" s="3886" t="s">
        <v>122</v>
      </c>
      <c r="G283" s="3886"/>
      <c r="H283" s="3886"/>
      <c r="I283" s="3905"/>
      <c r="J283" s="3899"/>
      <c r="K283" s="3885"/>
      <c r="L283" s="3888"/>
      <c r="M283" s="3815"/>
      <c r="N283" s="3815"/>
      <c r="O283" s="3900"/>
      <c r="P283" s="3901"/>
      <c r="Q283" s="3901"/>
      <c r="R283" s="3902"/>
      <c r="S283" s="5960"/>
      <c r="T283" s="5961" t="s">
        <v>566</v>
      </c>
      <c r="U283" s="5962"/>
      <c r="V283" s="5963"/>
      <c r="W283" s="5964"/>
      <c r="X283" s="5965"/>
      <c r="Y283" s="5966"/>
      <c r="Z283" s="5967"/>
      <c r="AA283" s="5968"/>
      <c r="AB283" s="5969"/>
      <c r="AC283" s="5970"/>
      <c r="AD283" s="5971"/>
      <c r="AE283" s="5972"/>
      <c r="AF283" s="5973"/>
      <c r="AG283" s="5974"/>
      <c r="AH283" s="5975"/>
      <c r="AI283" s="5976"/>
      <c r="AJ283" s="5977"/>
      <c r="AK283" s="5978"/>
      <c r="AL283" s="5979"/>
      <c r="AM283" s="5980"/>
      <c r="AN283" s="5981"/>
      <c r="AO283" s="5982"/>
      <c r="AP283" s="5983"/>
      <c r="AQ283" s="5984"/>
      <c r="AR283" s="5985"/>
      <c r="AS283" s="5986"/>
      <c r="AT283" s="5987"/>
      <c r="AU283" s="3943"/>
      <c r="AV283" s="3823"/>
      <c r="AW283" s="3897"/>
      <c r="AX283" s="3897" t="str">
        <f>IF(T283="","",T283)</f>
        <v>Добавить вид теплоносителя (параметры теплоносителя)</v>
      </c>
      <c r="AY283" s="3897"/>
      <c r="AZ283" s="3897"/>
      <c r="BA283" s="3775">
        <v>0</v>
      </c>
    </row>
    <row s="11299" customFormat="1" customHeight="1" ht="15">
      <c r="A284" s="3885"/>
      <c r="B284" s="3885"/>
      <c r="C284" s="3885"/>
      <c r="D284" s="3885"/>
      <c r="E284" s="3886"/>
      <c r="F284" s="3886" t="s">
        <v>122</v>
      </c>
      <c r="G284" s="3886"/>
      <c r="H284" s="3886"/>
      <c r="I284" s="3899"/>
      <c r="J284" s="3885"/>
      <c r="K284" s="3885"/>
      <c r="L284" s="3888"/>
      <c r="M284" s="3815"/>
      <c r="N284" s="3900"/>
      <c r="O284" s="3900"/>
      <c r="P284" s="3901"/>
      <c r="Q284" s="3901"/>
      <c r="R284" s="3902"/>
      <c r="S284" s="5989"/>
      <c r="T284" s="5990" t="s">
        <v>567</v>
      </c>
      <c r="U284" s="5991"/>
      <c r="V284" s="5992"/>
      <c r="W284" s="5993"/>
      <c r="X284" s="5994"/>
      <c r="Y284" s="5995"/>
      <c r="Z284" s="5996"/>
      <c r="AA284" s="5997"/>
      <c r="AB284" s="5998"/>
      <c r="AC284" s="5999"/>
      <c r="AD284" s="6000"/>
      <c r="AE284" s="6001"/>
      <c r="AF284" s="6002"/>
      <c r="AG284" s="6003"/>
      <c r="AH284" s="6004"/>
      <c r="AI284" s="6005"/>
      <c r="AJ284" s="6006"/>
      <c r="AK284" s="6007"/>
      <c r="AL284" s="6008"/>
      <c r="AM284" s="6009"/>
      <c r="AN284" s="6010"/>
      <c r="AO284" s="6011"/>
      <c r="AP284" s="6012"/>
      <c r="AQ284" s="6013"/>
      <c r="AR284" s="6014"/>
      <c r="AS284" s="6015"/>
      <c r="AT284" s="6016"/>
      <c r="AU284" s="6017"/>
      <c r="AV284" s="3823"/>
      <c r="AW284" s="3897"/>
      <c r="AX284" s="3897" t="str">
        <f>IF(T284="","",T284)</f>
        <v>Добавить группу потребителей</v>
      </c>
      <c r="AY284" s="3897"/>
      <c r="AZ284" s="3897"/>
      <c r="BA284" s="3775">
        <v>0</v>
      </c>
    </row>
    <row s="11329" customFormat="1" customHeight="1" ht="14.25">
      <c r="A285" s="3885"/>
      <c r="B285" s="3885"/>
      <c r="C285" s="3885"/>
      <c r="D285" s="3885"/>
      <c r="E285" s="3886"/>
      <c r="F285" s="3886" t="s">
        <v>122</v>
      </c>
      <c r="G285" s="3886"/>
      <c r="H285" s="3887"/>
      <c r="I285" s="3885"/>
      <c r="J285" s="3885"/>
      <c r="K285" s="3885"/>
      <c r="L285" s="3888"/>
      <c r="M285" s="3889"/>
      <c r="N285" s="3889"/>
      <c r="O285" s="3815"/>
      <c r="P285" s="3975"/>
      <c r="Q285" s="3976"/>
      <c r="R285" s="3977"/>
      <c r="S285" s="6019"/>
      <c r="T285" s="6020" t="s">
        <v>568</v>
      </c>
      <c r="U285" s="6021"/>
      <c r="V285" s="6022"/>
      <c r="W285" s="6023"/>
      <c r="X285" s="6024"/>
      <c r="Y285" s="6025"/>
      <c r="Z285" s="6026"/>
      <c r="AA285" s="6027"/>
      <c r="AB285" s="6028"/>
      <c r="AC285" s="6029"/>
      <c r="AD285" s="6030"/>
      <c r="AE285" s="6031"/>
      <c r="AF285" s="6032"/>
      <c r="AG285" s="6033"/>
      <c r="AH285" s="6034"/>
      <c r="AI285" s="6035"/>
      <c r="AJ285" s="6036"/>
      <c r="AK285" s="6037"/>
      <c r="AL285" s="6038"/>
      <c r="AM285" s="6039"/>
      <c r="AN285" s="6040"/>
      <c r="AO285" s="6041"/>
      <c r="AP285" s="6042"/>
      <c r="AQ285" s="6043"/>
      <c r="AR285" s="6044"/>
      <c r="AS285" s="6045"/>
      <c r="AT285" s="6046"/>
      <c r="AU285" s="6047"/>
      <c r="AV285" s="3823"/>
      <c r="AW285" s="3897"/>
      <c r="AX285" s="3897" t="str">
        <f>IF(T285="","",T285)</f>
        <v>Добавить схему подключения</v>
      </c>
      <c r="AY285" s="3897"/>
      <c r="AZ285" s="3897"/>
      <c r="BA285" s="3775">
        <v>0</v>
      </c>
    </row>
    <row s="11359" customFormat="1" customHeight="1" ht="0.75">
      <c r="A286" s="4107"/>
      <c r="B286" s="4107"/>
      <c r="C286" s="4107"/>
      <c r="D286" s="4107"/>
      <c r="E286" s="3886"/>
      <c r="F286" s="3886" t="s">
        <v>122</v>
      </c>
      <c r="G286" s="3887"/>
      <c r="H286" s="4107"/>
      <c r="I286" s="4107"/>
      <c r="J286" s="4107"/>
      <c r="K286" s="4107"/>
      <c r="L286" s="4108"/>
      <c r="M286" s="4109"/>
      <c r="N286" s="4109"/>
      <c r="O286" s="3823"/>
      <c r="P286" s="4110"/>
      <c r="Q286" s="4111"/>
      <c r="R286" s="4110"/>
      <c r="S286" s="4112"/>
      <c r="T286" s="4113" t="s">
        <v>273</v>
      </c>
      <c r="U286" s="3813"/>
      <c r="V286" s="3813"/>
      <c r="W286" s="3813"/>
      <c r="X286" s="3813"/>
      <c r="Y286" s="3813"/>
      <c r="Z286" s="3813"/>
      <c r="AA286" s="3813"/>
      <c r="AB286" s="3813"/>
      <c r="AC286" s="3813"/>
      <c r="AD286" s="3813"/>
      <c r="AE286" s="3813"/>
      <c r="AF286" s="3813"/>
      <c r="AG286" s="3813"/>
      <c r="AH286" s="3813"/>
      <c r="AI286" s="3813"/>
      <c r="AJ286" s="3813"/>
      <c r="AK286" s="3813"/>
      <c r="AL286" s="3813"/>
      <c r="AM286" s="3813"/>
      <c r="AN286" s="3813"/>
      <c r="AO286" s="3813"/>
      <c r="AP286" s="3813"/>
      <c r="AQ286" s="3813"/>
      <c r="AR286" s="3813"/>
      <c r="AS286" s="3813"/>
      <c r="AT286" s="3813"/>
      <c r="AU286" s="3813"/>
      <c r="AV286" s="3823"/>
      <c r="AW286" s="3897"/>
      <c r="AX286" s="3897" t="str">
        <f>IF(T286="","",T286)</f>
        <v>Добавить источник для дифференциации</v>
      </c>
      <c r="AY286" s="3897"/>
      <c r="AZ286" s="3897"/>
      <c r="BA286" s="3823">
        <v>0</v>
      </c>
    </row>
    <row s="11360" customFormat="1" customHeight="1" ht="0.75">
      <c r="A287" s="4107"/>
      <c r="B287" s="4107"/>
      <c r="C287" s="4107"/>
      <c r="D287" s="4107"/>
      <c r="E287" s="3886"/>
      <c r="F287" s="3887" t="s">
        <v>122</v>
      </c>
      <c r="G287" s="4107"/>
      <c r="H287" s="4107"/>
      <c r="I287" s="4107"/>
      <c r="J287" s="4107"/>
      <c r="K287" s="4107"/>
      <c r="L287" s="4108"/>
      <c r="M287" s="4115"/>
      <c r="N287" s="4115"/>
      <c r="O287" s="3823"/>
      <c r="P287" s="4110"/>
      <c r="Q287" s="4111"/>
      <c r="R287" s="4110"/>
      <c r="S287" s="4116"/>
      <c r="T287" s="4117" t="s">
        <v>274</v>
      </c>
      <c r="U287" s="3814"/>
      <c r="V287" s="3814"/>
      <c r="W287" s="3814"/>
      <c r="X287" s="3814"/>
      <c r="Y287" s="3814"/>
      <c r="Z287" s="3814"/>
      <c r="AA287" s="3814"/>
      <c r="AB287" s="3814"/>
      <c r="AC287" s="3814"/>
      <c r="AD287" s="3814"/>
      <c r="AE287" s="3814"/>
      <c r="AF287" s="3814"/>
      <c r="AG287" s="3814"/>
      <c r="AH287" s="3814"/>
      <c r="AI287" s="3814"/>
      <c r="AJ287" s="3814"/>
      <c r="AK287" s="3814"/>
      <c r="AL287" s="3814"/>
      <c r="AM287" s="3814"/>
      <c r="AN287" s="3814"/>
      <c r="AO287" s="3814"/>
      <c r="AP287" s="3814"/>
      <c r="AQ287" s="3814"/>
      <c r="AR287" s="3814"/>
      <c r="AS287" s="3814"/>
      <c r="AT287" s="3814"/>
      <c r="AU287" s="3814"/>
      <c r="AV287" s="3823"/>
      <c r="AW287" s="3897"/>
      <c r="AX287" s="3897" t="str">
        <f>IF(T287="","",T287)</f>
        <v>Добавить централизованную систему для дифференциации</v>
      </c>
      <c r="AY287" s="3897"/>
      <c r="AZ287" s="3897"/>
      <c r="BA287" s="3823">
        <v>0</v>
      </c>
    </row>
    <row s="11361" customFormat="1" customHeight="1" ht="21">
      <c r="A288" s="3885"/>
      <c r="B288" s="3885" t="s">
        <v>337</v>
      </c>
      <c r="C288" s="3885"/>
      <c r="D288" s="3885"/>
      <c r="E288" s="3886"/>
      <c r="F288" s="3887" t="s">
        <v>117</v>
      </c>
      <c r="G288" s="3885"/>
      <c r="H288" s="3885"/>
      <c r="I288" s="3885"/>
      <c r="J288" s="3885"/>
      <c r="K288" s="3885"/>
      <c r="L288" s="3888"/>
      <c r="M288" s="3889"/>
      <c r="N288" s="3889"/>
      <c r="O288" s="3889"/>
      <c r="P288" s="4008"/>
      <c r="Q288" s="3891"/>
      <c r="R288" s="3892"/>
      <c r="S288" s="3893" t="str">
        <f>INDEX(PT_DIFFERENTIATION_NUM_TER,MATCH(B288,PT_DIFFERENTIATION_TER_ID,0))</f>
        <v>1.16</v>
      </c>
      <c r="T288" s="4009" t="s">
        <v>552</v>
      </c>
      <c r="U288" s="3895"/>
      <c r="V288" s="3776"/>
      <c r="W288" s="3777"/>
      <c r="X288" s="3777"/>
      <c r="Y288" s="3777"/>
      <c r="Z288" s="3777"/>
      <c r="AA288" s="3777"/>
      <c r="AB288" s="3777"/>
      <c r="AC288" s="3778"/>
      <c r="AD288" s="3776" t="str">
        <f>INDEX(PT_DIFFERENTIATION_TER,MATCH(B288,PT_DIFFERENTIATION_TER_ID,0))</f>
        <v>Территория 16</v>
      </c>
      <c r="AE288" s="3777"/>
      <c r="AF288" s="3777"/>
      <c r="AG288" s="3777"/>
      <c r="AH288" s="3777"/>
      <c r="AI288" s="3777"/>
      <c r="AJ288" s="3777"/>
      <c r="AK288" s="3777"/>
      <c r="AL288" s="3776"/>
      <c r="AM288" s="3777"/>
      <c r="AN288" s="3777"/>
      <c r="AO288" s="3777"/>
      <c r="AP288" s="3777"/>
      <c r="AQ288" s="3777"/>
      <c r="AR288" s="3777"/>
      <c r="AS288" s="3778"/>
      <c r="AT288" s="3778"/>
      <c r="AU288" s="3896" t="s">
        <v>553</v>
      </c>
      <c r="AV288" s="3823"/>
      <c r="AW288" s="3897"/>
      <c r="AX288" s="3897" t="str">
        <f>IF(T288="","",T288)</f>
        <v>Территория действия тарифа</v>
      </c>
      <c r="AY288" s="3897"/>
      <c r="AZ288" s="3897"/>
      <c r="BA288" s="3775">
        <v>0</v>
      </c>
    </row>
    <row s="11362" customFormat="1" customHeight="1" ht="23.25">
      <c r="A289" s="3885"/>
      <c r="B289" s="3885"/>
      <c r="C289" s="3885" t="s">
        <v>338</v>
      </c>
      <c r="D289" s="3885"/>
      <c r="E289" s="3886"/>
      <c r="F289" s="3886" t="s">
        <v>126</v>
      </c>
      <c r="G289" s="3887">
        <v>1</v>
      </c>
      <c r="H289" s="3885"/>
      <c r="I289" s="3885"/>
      <c r="J289" s="3885"/>
      <c r="K289" s="3885"/>
      <c r="L289" s="3888"/>
      <c r="M289" s="3889"/>
      <c r="N289" s="3889"/>
      <c r="O289" s="3889"/>
      <c r="P289" s="3890"/>
      <c r="Q289" s="3891"/>
      <c r="R289" s="3892"/>
      <c r="S289" s="3893" t="str">
        <f>INDEX(PT_DIFFERENTIATION_NUM_CS,MATCH(C289,PT_DIFFERENTIATION_CS_ID,0))</f>
        <v>1.16.1</v>
      </c>
      <c r="T289" s="4011" t="s">
        <v>554</v>
      </c>
      <c r="U289" s="3895"/>
      <c r="V289" s="3776"/>
      <c r="W289" s="3777"/>
      <c r="X289" s="3777"/>
      <c r="Y289" s="3777"/>
      <c r="Z289" s="3777"/>
      <c r="AA289" s="3777"/>
      <c r="AB289" s="3777"/>
      <c r="AC289" s="3778"/>
      <c r="AD289" s="3776" t="str">
        <f>INDEX(PT_DIFFERENTIATION_CS,MATCH(C289,PT_DIFFERENTIATION_CS_ID,0))</f>
        <v>без дифференциации</v>
      </c>
      <c r="AE289" s="3777"/>
      <c r="AF289" s="3777"/>
      <c r="AG289" s="3777"/>
      <c r="AH289" s="3777"/>
      <c r="AI289" s="3777"/>
      <c r="AJ289" s="3777"/>
      <c r="AK289" s="3777"/>
      <c r="AL289" s="3776"/>
      <c r="AM289" s="3777"/>
      <c r="AN289" s="3777"/>
      <c r="AO289" s="3777"/>
      <c r="AP289" s="3777"/>
      <c r="AQ289" s="3777"/>
      <c r="AR289" s="3777"/>
      <c r="AS289" s="3778"/>
      <c r="AT289" s="3778"/>
      <c r="AU289" s="3896" t="s">
        <v>555</v>
      </c>
      <c r="AV289" s="3823"/>
      <c r="AW289" s="3897"/>
      <c r="AX289" s="3897" t="str">
        <f>IF(T289="","",T289)</f>
        <v>Наименование системы теплоснабжения </v>
      </c>
      <c r="AY289" s="3897"/>
      <c r="AZ289" s="3897"/>
      <c r="BA289" s="3775">
        <v>0</v>
      </c>
    </row>
    <row s="11363" customFormat="1" customHeight="1" ht="21">
      <c r="A290" s="3885"/>
      <c r="B290" s="3885"/>
      <c r="C290" s="3885"/>
      <c r="D290" s="3885" t="s">
        <v>339</v>
      </c>
      <c r="E290" s="3886"/>
      <c r="F290" s="3886" t="s">
        <v>126</v>
      </c>
      <c r="G290" s="3886"/>
      <c r="H290" s="3887">
        <v>1</v>
      </c>
      <c r="I290" s="3885"/>
      <c r="J290" s="3885"/>
      <c r="K290" s="3885"/>
      <c r="L290" s="3888"/>
      <c r="M290" s="3889"/>
      <c r="N290" s="3889"/>
      <c r="O290" s="3889"/>
      <c r="P290" s="3890"/>
      <c r="Q290" s="3891"/>
      <c r="R290" s="3892"/>
      <c r="S290" s="3893" t="str">
        <f>INDEX(PT_DIFFERENTIATION_NUM_IST_TE,MATCH(D290,PT_DIFFERENTIATION_IST_TE_ID,0))</f>
        <v>1.16.1.1</v>
      </c>
      <c r="T290" s="3894" t="s">
        <v>556</v>
      </c>
      <c r="U290" s="3895"/>
      <c r="V290" s="3776"/>
      <c r="W290" s="3777"/>
      <c r="X290" s="3777"/>
      <c r="Y290" s="3777"/>
      <c r="Z290" s="3777"/>
      <c r="AA290" s="3777"/>
      <c r="AB290" s="3777"/>
      <c r="AC290" s="3778"/>
      <c r="AD290" s="3776" t="str">
        <f>INDEX(PT_DIFFERENTIATION_IST_TE,MATCH(D290,PT_DIFFERENTIATION_IST_TE_ID,0))</f>
        <v>без дифференциации</v>
      </c>
      <c r="AE290" s="3777"/>
      <c r="AF290" s="3777"/>
      <c r="AG290" s="3777"/>
      <c r="AH290" s="3777"/>
      <c r="AI290" s="3777"/>
      <c r="AJ290" s="3777"/>
      <c r="AK290" s="3777"/>
      <c r="AL290" s="3776"/>
      <c r="AM290" s="3777"/>
      <c r="AN290" s="3777"/>
      <c r="AO290" s="3777"/>
      <c r="AP290" s="3777"/>
      <c r="AQ290" s="3777"/>
      <c r="AR290" s="3777"/>
      <c r="AS290" s="3778"/>
      <c r="AT290" s="3778"/>
      <c r="AU290" s="3896" t="s">
        <v>557</v>
      </c>
      <c r="AV290" s="3823"/>
      <c r="AW290" s="3897"/>
      <c r="AX290" s="3897" t="str">
        <f>IF(T290="","",T290)</f>
        <v>Источник тепловой энергии  </v>
      </c>
      <c r="AY290" s="3897"/>
      <c r="AZ290" s="3897"/>
      <c r="BA290" s="3775">
        <v>0</v>
      </c>
    </row>
    <row s="11364" customFormat="1" customHeight="1" ht="47.25">
      <c r="A291" s="3885"/>
      <c r="B291" s="3885"/>
      <c r="C291" s="3885"/>
      <c r="D291" s="3885"/>
      <c r="E291" s="3886"/>
      <c r="F291" s="3886" t="s">
        <v>126</v>
      </c>
      <c r="G291" s="3886"/>
      <c r="H291" s="3886"/>
      <c r="I291" s="3899" t="str">
        <f>S290&amp;".1"</f>
        <v>1.16.1.1.1</v>
      </c>
      <c r="J291" s="3885"/>
      <c r="K291" s="3885"/>
      <c r="L291" s="3888" t="s">
        <v>558</v>
      </c>
      <c r="M291" s="3815"/>
      <c r="N291" s="3900"/>
      <c r="O291" s="3900"/>
      <c r="P291" s="3901">
        <v>1</v>
      </c>
      <c r="Q291" s="3901"/>
      <c r="R291" s="3902"/>
      <c r="S291" s="3893" t="str">
        <f>$I291</f>
        <v>1.16.1.1.1</v>
      </c>
      <c r="T291" s="3903" t="s">
        <v>559</v>
      </c>
      <c r="U291" s="3895"/>
      <c r="V291" s="3779"/>
      <c r="W291" s="3780"/>
      <c r="X291" s="3780"/>
      <c r="Y291" s="3780"/>
      <c r="Z291" s="3780"/>
      <c r="AA291" s="3780"/>
      <c r="AB291" s="3780"/>
      <c r="AC291" s="3781"/>
      <c r="AD291" s="3779" t="s">
        <v>601</v>
      </c>
      <c r="AE291" s="3780"/>
      <c r="AF291" s="3780"/>
      <c r="AG291" s="3780"/>
      <c r="AH291" s="3780"/>
      <c r="AI291" s="3780"/>
      <c r="AJ291" s="3780"/>
      <c r="AK291" s="3780"/>
      <c r="AL291" s="3779"/>
      <c r="AM291" s="3780"/>
      <c r="AN291" s="3780"/>
      <c r="AO291" s="3780"/>
      <c r="AP291" s="3780"/>
      <c r="AQ291" s="3780"/>
      <c r="AR291" s="3780"/>
      <c r="AS291" s="3781"/>
      <c r="AT291" s="3781"/>
      <c r="AU291" s="3896" t="s">
        <v>560</v>
      </c>
      <c r="AV291" s="3823"/>
      <c r="AW291" s="3897"/>
      <c r="AX291" s="3897" t="str">
        <f>IF(T291="","",T291)</f>
        <v>Схема подключения теплопотребляющей установки к коллектору источника тепловой энергии</v>
      </c>
      <c r="AY291" s="3897"/>
      <c r="AZ291" s="3897"/>
      <c r="BA291" s="3775">
        <v>0</v>
      </c>
    </row>
    <row s="11365" customFormat="1" customHeight="1" ht="21">
      <c r="A292" s="3885"/>
      <c r="B292" s="3885"/>
      <c r="C292" s="3885"/>
      <c r="D292" s="3885"/>
      <c r="E292" s="3886"/>
      <c r="F292" s="3886" t="s">
        <v>126</v>
      </c>
      <c r="G292" s="3886"/>
      <c r="H292" s="3886"/>
      <c r="I292" s="3905"/>
      <c r="J292" s="3899" t="str">
        <f>I291&amp;".1"</f>
        <v>1.16.1.1.1.1</v>
      </c>
      <c r="K292" s="3885"/>
      <c r="L292" s="3888" t="s">
        <v>561</v>
      </c>
      <c r="M292" s="3815"/>
      <c r="N292" s="3815"/>
      <c r="O292" s="3900"/>
      <c r="P292" s="3901"/>
      <c r="Q292" s="3901">
        <v>1</v>
      </c>
      <c r="R292" s="3906"/>
      <c r="S292" s="3893" t="str">
        <f>$J292</f>
        <v>1.16.1.1.1.1</v>
      </c>
      <c r="T292" s="3907" t="s">
        <v>562</v>
      </c>
      <c r="U292" s="3895"/>
      <c r="V292" s="3779"/>
      <c r="W292" s="3780"/>
      <c r="X292" s="3780"/>
      <c r="Y292" s="3780"/>
      <c r="Z292" s="3780"/>
      <c r="AA292" s="3780"/>
      <c r="AB292" s="3780"/>
      <c r="AC292" s="3781"/>
      <c r="AD292" s="3779" t="s">
        <v>602</v>
      </c>
      <c r="AE292" s="3780"/>
      <c r="AF292" s="3780"/>
      <c r="AG292" s="3780"/>
      <c r="AH292" s="3780"/>
      <c r="AI292" s="3780"/>
      <c r="AJ292" s="3780"/>
      <c r="AK292" s="3780"/>
      <c r="AL292" s="3779"/>
      <c r="AM292" s="3780"/>
      <c r="AN292" s="3780"/>
      <c r="AO292" s="3780"/>
      <c r="AP292" s="3780"/>
      <c r="AQ292" s="3780"/>
      <c r="AR292" s="3780"/>
      <c r="AS292" s="3781"/>
      <c r="AT292" s="3781"/>
      <c r="AU292" s="3896" t="s">
        <v>563</v>
      </c>
      <c r="AV292" s="3823"/>
      <c r="AW292" s="3897"/>
      <c r="AX292" s="3897" t="str">
        <f>IF(T292="","",T292)</f>
        <v>Группа потребителей</v>
      </c>
      <c r="AY292" s="3897"/>
      <c r="AZ292" s="3897"/>
      <c r="BA292" s="3775">
        <v>0</v>
      </c>
    </row>
    <row s="11366" customFormat="1" customHeight="1" ht="21">
      <c r="A293" s="3885"/>
      <c r="B293" s="3885"/>
      <c r="C293" s="3885"/>
      <c r="D293" s="3885"/>
      <c r="E293" s="3886"/>
      <c r="F293" s="3886" t="s">
        <v>126</v>
      </c>
      <c r="G293" s="3886"/>
      <c r="H293" s="3886"/>
      <c r="I293" s="3905"/>
      <c r="J293" s="3905"/>
      <c r="K293" s="3899" t="str">
        <f>J292&amp;".1"</f>
        <v>1.16.1.1.1.1.1</v>
      </c>
      <c r="L293" s="3888" t="s">
        <v>564</v>
      </c>
      <c r="M293" s="3815"/>
      <c r="N293" s="3815"/>
      <c r="O293" s="3815"/>
      <c r="P293" s="3901"/>
      <c r="Q293" s="3901"/>
      <c r="R293" s="3906">
        <v>1</v>
      </c>
      <c r="S293" s="3893" t="str">
        <f>$K293</f>
        <v>1.16.1.1.1.1.1</v>
      </c>
      <c r="T293" s="3909" t="s">
        <v>603</v>
      </c>
      <c r="U293" s="3895"/>
      <c r="V293" s="3855"/>
      <c r="W293" s="3855"/>
      <c r="X293" s="3855"/>
      <c r="Y293" s="3856"/>
      <c r="Z293" s="3857"/>
      <c r="AA293" s="3858" t="s">
        <v>63</v>
      </c>
      <c r="AB293" s="3857"/>
      <c r="AC293" s="3858" t="s">
        <v>63</v>
      </c>
      <c r="AD293" s="3783"/>
      <c r="AE293" s="3784">
        <v>705.55</v>
      </c>
      <c r="AF293" s="3783"/>
      <c r="AG293" s="3785"/>
      <c r="AH293" s="3786">
        <v>45658</v>
      </c>
      <c r="AI293" s="3191" t="s">
        <v>63</v>
      </c>
      <c r="AJ293" s="3786">
        <v>46022</v>
      </c>
      <c r="AK293" s="3191" t="s">
        <v>19</v>
      </c>
      <c r="AL293" s="3855"/>
      <c r="AM293" s="3855"/>
      <c r="AN293" s="3855"/>
      <c r="AO293" s="3856"/>
      <c r="AP293" s="3857"/>
      <c r="AQ293" s="3858" t="s">
        <v>63</v>
      </c>
      <c r="AR293" s="3857"/>
      <c r="AS293" s="3858" t="s">
        <v>63</v>
      </c>
      <c r="AT293" s="3783"/>
      <c r="AU293" s="3910" t="s">
        <v>565</v>
      </c>
      <c r="AV293" s="3823">
        <f>STRCHECKDATE(V294:AT294)</f>
      </c>
      <c r="AW293" s="3897"/>
      <c r="AX293" s="3897" t="str">
        <f>IF(T293="","",T293)</f>
        <v>вода</v>
      </c>
      <c r="AY293" s="3897"/>
      <c r="AZ293" s="3897"/>
      <c r="BA293" s="3775">
        <v>0</v>
      </c>
    </row>
    <row s="11367" customFormat="1" customHeight="1" ht="0.75">
      <c r="A294" s="3885"/>
      <c r="B294" s="3885"/>
      <c r="C294" s="3885"/>
      <c r="D294" s="3885"/>
      <c r="E294" s="3886"/>
      <c r="F294" s="3886" t="s">
        <v>126</v>
      </c>
      <c r="G294" s="3886"/>
      <c r="H294" s="3886"/>
      <c r="I294" s="3905"/>
      <c r="J294" s="3905"/>
      <c r="K294" s="3899"/>
      <c r="L294" s="3888"/>
      <c r="M294" s="3815"/>
      <c r="N294" s="3815"/>
      <c r="O294" s="3815"/>
      <c r="P294" s="3901"/>
      <c r="Q294" s="3901"/>
      <c r="R294" s="3906"/>
      <c r="S294" s="3912"/>
      <c r="T294" s="3895"/>
      <c r="U294" s="3895"/>
      <c r="V294" s="3855"/>
      <c r="W294" s="3855"/>
      <c r="X294" s="3855"/>
      <c r="Y294" s="3787" t="str">
        <f>Z293&amp;"-"&amp;AB293</f>
        <v>-</v>
      </c>
      <c r="Z294" s="3858"/>
      <c r="AA294" s="3858"/>
      <c r="AB294" s="3858"/>
      <c r="AC294" s="3858"/>
      <c r="AD294" s="3783"/>
      <c r="AE294" s="3783"/>
      <c r="AF294" s="3783"/>
      <c r="AG294" s="3787" t="str">
        <f>AH293&amp;"-"&amp;AJ293</f>
        <v>45658-46022</v>
      </c>
      <c r="AH294" s="3788"/>
      <c r="AI294" s="3191"/>
      <c r="AJ294" s="3788"/>
      <c r="AK294" s="3191"/>
      <c r="AL294" s="3855"/>
      <c r="AM294" s="3855"/>
      <c r="AN294" s="3855"/>
      <c r="AO294" s="3787" t="str">
        <f>AP293&amp;"-"&amp;AR293</f>
        <v>-</v>
      </c>
      <c r="AP294" s="3858"/>
      <c r="AQ294" s="3858"/>
      <c r="AR294" s="3858"/>
      <c r="AS294" s="3858"/>
      <c r="AT294" s="3783"/>
      <c r="AU294" s="3913"/>
      <c r="AV294" s="3823"/>
      <c r="AW294" s="3897"/>
      <c r="AX294" s="3897" t="str">
        <f>IF(T294="","",T294)</f>
        <v/>
      </c>
      <c r="AY294" s="3897"/>
      <c r="AZ294" s="3897"/>
      <c r="BA294" s="3775">
        <v>0</v>
      </c>
    </row>
    <row s="11368" customFormat="1" customHeight="1" ht="15">
      <c r="A295" s="3885"/>
      <c r="B295" s="3885"/>
      <c r="C295" s="3885"/>
      <c r="D295" s="3885"/>
      <c r="E295" s="3886"/>
      <c r="F295" s="3886" t="s">
        <v>126</v>
      </c>
      <c r="G295" s="3886"/>
      <c r="H295" s="3886"/>
      <c r="I295" s="3905"/>
      <c r="J295" s="3899"/>
      <c r="K295" s="3885"/>
      <c r="L295" s="3888"/>
      <c r="M295" s="3815"/>
      <c r="N295" s="3815"/>
      <c r="O295" s="3900"/>
      <c r="P295" s="3901"/>
      <c r="Q295" s="3901"/>
      <c r="R295" s="3902"/>
      <c r="S295" s="6058"/>
      <c r="T295" s="6059" t="s">
        <v>566</v>
      </c>
      <c r="U295" s="6060"/>
      <c r="V295" s="6061"/>
      <c r="W295" s="6062"/>
      <c r="X295" s="6063"/>
      <c r="Y295" s="6064"/>
      <c r="Z295" s="6065"/>
      <c r="AA295" s="6066"/>
      <c r="AB295" s="6067"/>
      <c r="AC295" s="6068"/>
      <c r="AD295" s="6069"/>
      <c r="AE295" s="6070"/>
      <c r="AF295" s="6071"/>
      <c r="AG295" s="6072"/>
      <c r="AH295" s="6073"/>
      <c r="AI295" s="6074"/>
      <c r="AJ295" s="6075"/>
      <c r="AK295" s="6076"/>
      <c r="AL295" s="6077"/>
      <c r="AM295" s="6078"/>
      <c r="AN295" s="6079"/>
      <c r="AO295" s="6080"/>
      <c r="AP295" s="6081"/>
      <c r="AQ295" s="6082"/>
      <c r="AR295" s="6083"/>
      <c r="AS295" s="6084"/>
      <c r="AT295" s="6085"/>
      <c r="AU295" s="3943"/>
      <c r="AV295" s="3823"/>
      <c r="AW295" s="3897"/>
      <c r="AX295" s="3897" t="str">
        <f>IF(T295="","",T295)</f>
        <v>Добавить вид теплоносителя (параметры теплоносителя)</v>
      </c>
      <c r="AY295" s="3897"/>
      <c r="AZ295" s="3897"/>
      <c r="BA295" s="3775">
        <v>0</v>
      </c>
    </row>
    <row s="11397" customFormat="1" customHeight="1" ht="15">
      <c r="A296" s="3885"/>
      <c r="B296" s="3885"/>
      <c r="C296" s="3885"/>
      <c r="D296" s="3885"/>
      <c r="E296" s="3886"/>
      <c r="F296" s="3886" t="s">
        <v>126</v>
      </c>
      <c r="G296" s="3886"/>
      <c r="H296" s="3886"/>
      <c r="I296" s="3899"/>
      <c r="J296" s="3885"/>
      <c r="K296" s="3885"/>
      <c r="L296" s="3888"/>
      <c r="M296" s="3815"/>
      <c r="N296" s="3900"/>
      <c r="O296" s="3900"/>
      <c r="P296" s="3901"/>
      <c r="Q296" s="3901"/>
      <c r="R296" s="3902"/>
      <c r="S296" s="6087"/>
      <c r="T296" s="6088" t="s">
        <v>567</v>
      </c>
      <c r="U296" s="6089"/>
      <c r="V296" s="6090"/>
      <c r="W296" s="6091"/>
      <c r="X296" s="6092"/>
      <c r="Y296" s="6093"/>
      <c r="Z296" s="6094"/>
      <c r="AA296" s="6095"/>
      <c r="AB296" s="6096"/>
      <c r="AC296" s="6097"/>
      <c r="AD296" s="6098"/>
      <c r="AE296" s="6099"/>
      <c r="AF296" s="6100"/>
      <c r="AG296" s="6101"/>
      <c r="AH296" s="6102"/>
      <c r="AI296" s="6103"/>
      <c r="AJ296" s="6104"/>
      <c r="AK296" s="6105"/>
      <c r="AL296" s="6106"/>
      <c r="AM296" s="6107"/>
      <c r="AN296" s="6108"/>
      <c r="AO296" s="6109"/>
      <c r="AP296" s="6110"/>
      <c r="AQ296" s="6111"/>
      <c r="AR296" s="6112"/>
      <c r="AS296" s="6113"/>
      <c r="AT296" s="6114"/>
      <c r="AU296" s="6115"/>
      <c r="AV296" s="3823"/>
      <c r="AW296" s="3897"/>
      <c r="AX296" s="3897" t="str">
        <f>IF(T296="","",T296)</f>
        <v>Добавить группу потребителей</v>
      </c>
      <c r="AY296" s="3897"/>
      <c r="AZ296" s="3897"/>
      <c r="BA296" s="3775">
        <v>0</v>
      </c>
    </row>
    <row s="11427" customFormat="1" customHeight="1" ht="14.25">
      <c r="A297" s="3885"/>
      <c r="B297" s="3885"/>
      <c r="C297" s="3885"/>
      <c r="D297" s="3885"/>
      <c r="E297" s="3886"/>
      <c r="F297" s="3886" t="s">
        <v>126</v>
      </c>
      <c r="G297" s="3886"/>
      <c r="H297" s="3887"/>
      <c r="I297" s="3885"/>
      <c r="J297" s="3885"/>
      <c r="K297" s="3885"/>
      <c r="L297" s="3888"/>
      <c r="M297" s="3889"/>
      <c r="N297" s="3889"/>
      <c r="O297" s="3815"/>
      <c r="P297" s="3975"/>
      <c r="Q297" s="3976"/>
      <c r="R297" s="3977"/>
      <c r="S297" s="6117"/>
      <c r="T297" s="6118" t="s">
        <v>568</v>
      </c>
      <c r="U297" s="6119"/>
      <c r="V297" s="6120"/>
      <c r="W297" s="6121"/>
      <c r="X297" s="6122"/>
      <c r="Y297" s="6123"/>
      <c r="Z297" s="6124"/>
      <c r="AA297" s="6125"/>
      <c r="AB297" s="6126"/>
      <c r="AC297" s="6127"/>
      <c r="AD297" s="6128"/>
      <c r="AE297" s="6129"/>
      <c r="AF297" s="6130"/>
      <c r="AG297" s="6131"/>
      <c r="AH297" s="6132"/>
      <c r="AI297" s="6133"/>
      <c r="AJ297" s="6134"/>
      <c r="AK297" s="6135"/>
      <c r="AL297" s="6136"/>
      <c r="AM297" s="6137"/>
      <c r="AN297" s="6138"/>
      <c r="AO297" s="6139"/>
      <c r="AP297" s="6140"/>
      <c r="AQ297" s="6141"/>
      <c r="AR297" s="6142"/>
      <c r="AS297" s="6143"/>
      <c r="AT297" s="6144"/>
      <c r="AU297" s="6145"/>
      <c r="AV297" s="3823"/>
      <c r="AW297" s="3897"/>
      <c r="AX297" s="3897" t="str">
        <f>IF(T297="","",T297)</f>
        <v>Добавить схему подключения</v>
      </c>
      <c r="AY297" s="3897"/>
      <c r="AZ297" s="3897"/>
      <c r="BA297" s="3775">
        <v>0</v>
      </c>
    </row>
    <row s="11457" customFormat="1" customHeight="1" ht="0.75">
      <c r="A298" s="4107"/>
      <c r="B298" s="4107"/>
      <c r="C298" s="4107"/>
      <c r="D298" s="4107"/>
      <c r="E298" s="3886"/>
      <c r="F298" s="3886" t="s">
        <v>126</v>
      </c>
      <c r="G298" s="3887"/>
      <c r="H298" s="4107"/>
      <c r="I298" s="4107"/>
      <c r="J298" s="4107"/>
      <c r="K298" s="4107"/>
      <c r="L298" s="4108"/>
      <c r="M298" s="4109"/>
      <c r="N298" s="4109"/>
      <c r="O298" s="3823"/>
      <c r="P298" s="4110"/>
      <c r="Q298" s="4111"/>
      <c r="R298" s="4110"/>
      <c r="S298" s="4112"/>
      <c r="T298" s="4113" t="s">
        <v>273</v>
      </c>
      <c r="U298" s="3813"/>
      <c r="V298" s="3813"/>
      <c r="W298" s="3813"/>
      <c r="X298" s="3813"/>
      <c r="Y298" s="3813"/>
      <c r="Z298" s="3813"/>
      <c r="AA298" s="3813"/>
      <c r="AB298" s="3813"/>
      <c r="AC298" s="3813"/>
      <c r="AD298" s="3813"/>
      <c r="AE298" s="3813"/>
      <c r="AF298" s="3813"/>
      <c r="AG298" s="3813"/>
      <c r="AH298" s="3813"/>
      <c r="AI298" s="3813"/>
      <c r="AJ298" s="3813"/>
      <c r="AK298" s="3813"/>
      <c r="AL298" s="3813"/>
      <c r="AM298" s="3813"/>
      <c r="AN298" s="3813"/>
      <c r="AO298" s="3813"/>
      <c r="AP298" s="3813"/>
      <c r="AQ298" s="3813"/>
      <c r="AR298" s="3813"/>
      <c r="AS298" s="3813"/>
      <c r="AT298" s="3813"/>
      <c r="AU298" s="3813"/>
      <c r="AV298" s="3823"/>
      <c r="AW298" s="3897"/>
      <c r="AX298" s="3897" t="str">
        <f>IF(T298="","",T298)</f>
        <v>Добавить источник для дифференциации</v>
      </c>
      <c r="AY298" s="3897"/>
      <c r="AZ298" s="3897"/>
      <c r="BA298" s="3823">
        <v>0</v>
      </c>
    </row>
    <row s="11458" customFormat="1" customHeight="1" ht="0.75">
      <c r="A299" s="4107"/>
      <c r="B299" s="4107"/>
      <c r="C299" s="4107"/>
      <c r="D299" s="4107"/>
      <c r="E299" s="3886"/>
      <c r="F299" s="3887" t="s">
        <v>126</v>
      </c>
      <c r="G299" s="4107"/>
      <c r="H299" s="4107"/>
      <c r="I299" s="4107"/>
      <c r="J299" s="4107"/>
      <c r="K299" s="4107"/>
      <c r="L299" s="4108"/>
      <c r="M299" s="4115"/>
      <c r="N299" s="4115"/>
      <c r="O299" s="3823"/>
      <c r="P299" s="4110"/>
      <c r="Q299" s="4111"/>
      <c r="R299" s="4110"/>
      <c r="S299" s="4116"/>
      <c r="T299" s="4117" t="s">
        <v>274</v>
      </c>
      <c r="U299" s="3814"/>
      <c r="V299" s="3814"/>
      <c r="W299" s="3814"/>
      <c r="X299" s="3814"/>
      <c r="Y299" s="3814"/>
      <c r="Z299" s="3814"/>
      <c r="AA299" s="3814"/>
      <c r="AB299" s="3814"/>
      <c r="AC299" s="3814"/>
      <c r="AD299" s="3814"/>
      <c r="AE299" s="3814"/>
      <c r="AF299" s="3814"/>
      <c r="AG299" s="3814"/>
      <c r="AH299" s="3814"/>
      <c r="AI299" s="3814"/>
      <c r="AJ299" s="3814"/>
      <c r="AK299" s="3814"/>
      <c r="AL299" s="3814"/>
      <c r="AM299" s="3814"/>
      <c r="AN299" s="3814"/>
      <c r="AO299" s="3814"/>
      <c r="AP299" s="3814"/>
      <c r="AQ299" s="3814"/>
      <c r="AR299" s="3814"/>
      <c r="AS299" s="3814"/>
      <c r="AT299" s="3814"/>
      <c r="AU299" s="3814"/>
      <c r="AV299" s="3823"/>
      <c r="AW299" s="3897"/>
      <c r="AX299" s="3897" t="str">
        <f>IF(T299="","",T299)</f>
        <v>Добавить централизованную систему для дифференциации</v>
      </c>
      <c r="AY299" s="3897"/>
      <c r="AZ299" s="3897"/>
      <c r="BA299" s="3823">
        <v>0</v>
      </c>
    </row>
    <row s="11459" customFormat="1" customHeight="1" ht="21">
      <c r="A300" s="3885"/>
      <c r="B300" s="3885" t="s">
        <v>341</v>
      </c>
      <c r="C300" s="3885"/>
      <c r="D300" s="3885"/>
      <c r="E300" s="3886"/>
      <c r="F300" s="3887" t="s">
        <v>173</v>
      </c>
      <c r="G300" s="3885"/>
      <c r="H300" s="3885"/>
      <c r="I300" s="3885"/>
      <c r="J300" s="3885"/>
      <c r="K300" s="3885"/>
      <c r="L300" s="3888"/>
      <c r="M300" s="3889"/>
      <c r="N300" s="3889"/>
      <c r="O300" s="3889"/>
      <c r="P300" s="4008"/>
      <c r="Q300" s="3891"/>
      <c r="R300" s="3892"/>
      <c r="S300" s="3893" t="str">
        <f>INDEX(PT_DIFFERENTIATION_NUM_TER,MATCH(B300,PT_DIFFERENTIATION_TER_ID,0))</f>
        <v>1.17</v>
      </c>
      <c r="T300" s="4009" t="s">
        <v>552</v>
      </c>
      <c r="U300" s="3895"/>
      <c r="V300" s="3776"/>
      <c r="W300" s="3777"/>
      <c r="X300" s="3777"/>
      <c r="Y300" s="3777"/>
      <c r="Z300" s="3777"/>
      <c r="AA300" s="3777"/>
      <c r="AB300" s="3777"/>
      <c r="AC300" s="3778"/>
      <c r="AD300" s="3776" t="str">
        <f>INDEX(PT_DIFFERENTIATION_TER,MATCH(B300,PT_DIFFERENTIATION_TER_ID,0))</f>
        <v>Территория 17</v>
      </c>
      <c r="AE300" s="3777"/>
      <c r="AF300" s="3777"/>
      <c r="AG300" s="3777"/>
      <c r="AH300" s="3777"/>
      <c r="AI300" s="3777"/>
      <c r="AJ300" s="3777"/>
      <c r="AK300" s="3777"/>
      <c r="AL300" s="3776"/>
      <c r="AM300" s="3777"/>
      <c r="AN300" s="3777"/>
      <c r="AO300" s="3777"/>
      <c r="AP300" s="3777"/>
      <c r="AQ300" s="3777"/>
      <c r="AR300" s="3777"/>
      <c r="AS300" s="3778"/>
      <c r="AT300" s="3778"/>
      <c r="AU300" s="3896" t="s">
        <v>553</v>
      </c>
      <c r="AV300" s="3823"/>
      <c r="AW300" s="3897"/>
      <c r="AX300" s="3897" t="str">
        <f>IF(T300="","",T300)</f>
        <v>Территория действия тарифа</v>
      </c>
      <c r="AY300" s="3897"/>
      <c r="AZ300" s="3897"/>
      <c r="BA300" s="3775">
        <v>0</v>
      </c>
    </row>
    <row s="11460" customFormat="1" customHeight="1" ht="23.25">
      <c r="A301" s="3885"/>
      <c r="B301" s="3885"/>
      <c r="C301" s="3885" t="s">
        <v>342</v>
      </c>
      <c r="D301" s="3885"/>
      <c r="E301" s="3886"/>
      <c r="F301" s="3886" t="s">
        <v>117</v>
      </c>
      <c r="G301" s="3887">
        <v>1</v>
      </c>
      <c r="H301" s="3885"/>
      <c r="I301" s="3885"/>
      <c r="J301" s="3885"/>
      <c r="K301" s="3885"/>
      <c r="L301" s="3888"/>
      <c r="M301" s="3889"/>
      <c r="N301" s="3889"/>
      <c r="O301" s="3889"/>
      <c r="P301" s="3890"/>
      <c r="Q301" s="3891"/>
      <c r="R301" s="3892"/>
      <c r="S301" s="3893" t="str">
        <f>INDEX(PT_DIFFERENTIATION_NUM_CS,MATCH(C301,PT_DIFFERENTIATION_CS_ID,0))</f>
        <v>1.17.1</v>
      </c>
      <c r="T301" s="4011" t="s">
        <v>554</v>
      </c>
      <c r="U301" s="3895"/>
      <c r="V301" s="3776"/>
      <c r="W301" s="3777"/>
      <c r="X301" s="3777"/>
      <c r="Y301" s="3777"/>
      <c r="Z301" s="3777"/>
      <c r="AA301" s="3777"/>
      <c r="AB301" s="3777"/>
      <c r="AC301" s="3778"/>
      <c r="AD301" s="3776" t="str">
        <f>INDEX(PT_DIFFERENTIATION_CS,MATCH(C301,PT_DIFFERENTIATION_CS_ID,0))</f>
        <v>без дифференциации</v>
      </c>
      <c r="AE301" s="3777"/>
      <c r="AF301" s="3777"/>
      <c r="AG301" s="3777"/>
      <c r="AH301" s="3777"/>
      <c r="AI301" s="3777"/>
      <c r="AJ301" s="3777"/>
      <c r="AK301" s="3777"/>
      <c r="AL301" s="3776"/>
      <c r="AM301" s="3777"/>
      <c r="AN301" s="3777"/>
      <c r="AO301" s="3777"/>
      <c r="AP301" s="3777"/>
      <c r="AQ301" s="3777"/>
      <c r="AR301" s="3777"/>
      <c r="AS301" s="3778"/>
      <c r="AT301" s="3778"/>
      <c r="AU301" s="3896" t="s">
        <v>555</v>
      </c>
      <c r="AV301" s="3823"/>
      <c r="AW301" s="3897"/>
      <c r="AX301" s="3897" t="str">
        <f>IF(T301="","",T301)</f>
        <v>Наименование системы теплоснабжения </v>
      </c>
      <c r="AY301" s="3897"/>
      <c r="AZ301" s="3897"/>
      <c r="BA301" s="3775">
        <v>0</v>
      </c>
    </row>
    <row s="11461" customFormat="1" customHeight="1" ht="21">
      <c r="A302" s="3885"/>
      <c r="B302" s="3885"/>
      <c r="C302" s="3885"/>
      <c r="D302" s="3885" t="s">
        <v>343</v>
      </c>
      <c r="E302" s="3886"/>
      <c r="F302" s="3886" t="s">
        <v>117</v>
      </c>
      <c r="G302" s="3886"/>
      <c r="H302" s="3887">
        <v>1</v>
      </c>
      <c r="I302" s="3885"/>
      <c r="J302" s="3885"/>
      <c r="K302" s="3885"/>
      <c r="L302" s="3888"/>
      <c r="M302" s="3889"/>
      <c r="N302" s="3889"/>
      <c r="O302" s="3889"/>
      <c r="P302" s="3890"/>
      <c r="Q302" s="3891"/>
      <c r="R302" s="3892"/>
      <c r="S302" s="3893" t="str">
        <f>INDEX(PT_DIFFERENTIATION_NUM_IST_TE,MATCH(D302,PT_DIFFERENTIATION_IST_TE_ID,0))</f>
        <v>1.17.1.1</v>
      </c>
      <c r="T302" s="3894" t="s">
        <v>556</v>
      </c>
      <c r="U302" s="3895"/>
      <c r="V302" s="3776"/>
      <c r="W302" s="3777"/>
      <c r="X302" s="3777"/>
      <c r="Y302" s="3777"/>
      <c r="Z302" s="3777"/>
      <c r="AA302" s="3777"/>
      <c r="AB302" s="3777"/>
      <c r="AC302" s="3778"/>
      <c r="AD302" s="3776" t="str">
        <f>INDEX(PT_DIFFERENTIATION_IST_TE,MATCH(D302,PT_DIFFERENTIATION_IST_TE_ID,0))</f>
        <v>Сельское поселение Пушной Кольского муниципального района Мурманской области (ж. д. ст. Лопарская)</v>
      </c>
      <c r="AE302" s="3777"/>
      <c r="AF302" s="3777"/>
      <c r="AG302" s="3777"/>
      <c r="AH302" s="3777"/>
      <c r="AI302" s="3777"/>
      <c r="AJ302" s="3777"/>
      <c r="AK302" s="3777"/>
      <c r="AL302" s="3776"/>
      <c r="AM302" s="3777"/>
      <c r="AN302" s="3777"/>
      <c r="AO302" s="3777"/>
      <c r="AP302" s="3777"/>
      <c r="AQ302" s="3777"/>
      <c r="AR302" s="3777"/>
      <c r="AS302" s="3778"/>
      <c r="AT302" s="3778"/>
      <c r="AU302" s="3896" t="s">
        <v>557</v>
      </c>
      <c r="AV302" s="3823"/>
      <c r="AW302" s="3897"/>
      <c r="AX302" s="3897" t="str">
        <f>IF(T302="","",T302)</f>
        <v>Источник тепловой энергии  </v>
      </c>
      <c r="AY302" s="3897"/>
      <c r="AZ302" s="3897"/>
      <c r="BA302" s="3775">
        <v>0</v>
      </c>
    </row>
    <row s="11462" customFormat="1" customHeight="1" ht="47.25">
      <c r="A303" s="3885"/>
      <c r="B303" s="3885"/>
      <c r="C303" s="3885"/>
      <c r="D303" s="3885"/>
      <c r="E303" s="3886"/>
      <c r="F303" s="3886" t="s">
        <v>117</v>
      </c>
      <c r="G303" s="3886"/>
      <c r="H303" s="3886"/>
      <c r="I303" s="3899" t="str">
        <f>S302&amp;".1"</f>
        <v>1.17.1.1.1</v>
      </c>
      <c r="J303" s="3885"/>
      <c r="K303" s="3885"/>
      <c r="L303" s="3888" t="s">
        <v>558</v>
      </c>
      <c r="M303" s="3815"/>
      <c r="N303" s="3900"/>
      <c r="O303" s="3900"/>
      <c r="P303" s="3901">
        <v>1</v>
      </c>
      <c r="Q303" s="3901"/>
      <c r="R303" s="3902"/>
      <c r="S303" s="3893" t="str">
        <f>$I303</f>
        <v>1.17.1.1.1</v>
      </c>
      <c r="T303" s="3903" t="s">
        <v>559</v>
      </c>
      <c r="U303" s="3895"/>
      <c r="V303" s="3779"/>
      <c r="W303" s="3780"/>
      <c r="X303" s="3780"/>
      <c r="Y303" s="3780"/>
      <c r="Z303" s="3780"/>
      <c r="AA303" s="3780"/>
      <c r="AB303" s="3780"/>
      <c r="AC303" s="3781"/>
      <c r="AD303" s="3779" t="s">
        <v>601</v>
      </c>
      <c r="AE303" s="3780"/>
      <c r="AF303" s="3780"/>
      <c r="AG303" s="3780"/>
      <c r="AH303" s="3780"/>
      <c r="AI303" s="3780"/>
      <c r="AJ303" s="3780"/>
      <c r="AK303" s="3780"/>
      <c r="AL303" s="3779"/>
      <c r="AM303" s="3780"/>
      <c r="AN303" s="3780"/>
      <c r="AO303" s="3780"/>
      <c r="AP303" s="3780"/>
      <c r="AQ303" s="3780"/>
      <c r="AR303" s="3780"/>
      <c r="AS303" s="3781"/>
      <c r="AT303" s="3781"/>
      <c r="AU303" s="3896" t="s">
        <v>560</v>
      </c>
      <c r="AV303" s="3823"/>
      <c r="AW303" s="3897"/>
      <c r="AX303" s="3897" t="str">
        <f>IF(T303="","",T303)</f>
        <v>Схема подключения теплопотребляющей установки к коллектору источника тепловой энергии</v>
      </c>
      <c r="AY303" s="3897"/>
      <c r="AZ303" s="3897"/>
      <c r="BA303" s="3775">
        <v>0</v>
      </c>
    </row>
    <row s="11463" customFormat="1" customHeight="1" ht="21">
      <c r="A304" s="3885"/>
      <c r="B304" s="3885"/>
      <c r="C304" s="3885"/>
      <c r="D304" s="3885"/>
      <c r="E304" s="3886"/>
      <c r="F304" s="3886" t="s">
        <v>117</v>
      </c>
      <c r="G304" s="3886"/>
      <c r="H304" s="3886"/>
      <c r="I304" s="3905"/>
      <c r="J304" s="3899" t="str">
        <f>I303&amp;".1"</f>
        <v>1.17.1.1.1.1</v>
      </c>
      <c r="K304" s="3885"/>
      <c r="L304" s="3888" t="s">
        <v>561</v>
      </c>
      <c r="M304" s="3815"/>
      <c r="N304" s="3815"/>
      <c r="O304" s="3900"/>
      <c r="P304" s="3901"/>
      <c r="Q304" s="3901">
        <v>1</v>
      </c>
      <c r="R304" s="3906"/>
      <c r="S304" s="3893" t="str">
        <f>$J304</f>
        <v>1.17.1.1.1.1</v>
      </c>
      <c r="T304" s="3907" t="s">
        <v>562</v>
      </c>
      <c r="U304" s="3895"/>
      <c r="V304" s="3779"/>
      <c r="W304" s="3780"/>
      <c r="X304" s="3780"/>
      <c r="Y304" s="3780"/>
      <c r="Z304" s="3780"/>
      <c r="AA304" s="3780"/>
      <c r="AB304" s="3780"/>
      <c r="AC304" s="3781"/>
      <c r="AD304" s="3779" t="s">
        <v>602</v>
      </c>
      <c r="AE304" s="3780"/>
      <c r="AF304" s="3780"/>
      <c r="AG304" s="3780"/>
      <c r="AH304" s="3780"/>
      <c r="AI304" s="3780"/>
      <c r="AJ304" s="3780"/>
      <c r="AK304" s="3780"/>
      <c r="AL304" s="3779"/>
      <c r="AM304" s="3780"/>
      <c r="AN304" s="3780"/>
      <c r="AO304" s="3780"/>
      <c r="AP304" s="3780"/>
      <c r="AQ304" s="3780"/>
      <c r="AR304" s="3780"/>
      <c r="AS304" s="3781"/>
      <c r="AT304" s="3781"/>
      <c r="AU304" s="3896" t="s">
        <v>563</v>
      </c>
      <c r="AV304" s="3823"/>
      <c r="AW304" s="3897"/>
      <c r="AX304" s="3897" t="str">
        <f>IF(T304="","",T304)</f>
        <v>Группа потребителей</v>
      </c>
      <c r="AY304" s="3897"/>
      <c r="AZ304" s="3897"/>
      <c r="BA304" s="3775">
        <v>0</v>
      </c>
    </row>
    <row s="11464" customFormat="1" customHeight="1" ht="21">
      <c r="A305" s="3885"/>
      <c r="B305" s="3885"/>
      <c r="C305" s="3885"/>
      <c r="D305" s="3885"/>
      <c r="E305" s="3886"/>
      <c r="F305" s="3886" t="s">
        <v>117</v>
      </c>
      <c r="G305" s="3886"/>
      <c r="H305" s="3886"/>
      <c r="I305" s="3905"/>
      <c r="J305" s="3905"/>
      <c r="K305" s="3899" t="str">
        <f>J304&amp;".1"</f>
        <v>1.17.1.1.1.1.1</v>
      </c>
      <c r="L305" s="3888" t="s">
        <v>564</v>
      </c>
      <c r="M305" s="3815"/>
      <c r="N305" s="3815"/>
      <c r="O305" s="3815"/>
      <c r="P305" s="3901"/>
      <c r="Q305" s="3901"/>
      <c r="R305" s="3906">
        <v>1</v>
      </c>
      <c r="S305" s="3893" t="str">
        <f>$K305</f>
        <v>1.17.1.1.1.1.1</v>
      </c>
      <c r="T305" s="3909" t="s">
        <v>603</v>
      </c>
      <c r="U305" s="3895"/>
      <c r="V305" s="3855"/>
      <c r="W305" s="3855"/>
      <c r="X305" s="3855"/>
      <c r="Y305" s="3856"/>
      <c r="Z305" s="3857"/>
      <c r="AA305" s="3858" t="s">
        <v>63</v>
      </c>
      <c r="AB305" s="3857"/>
      <c r="AC305" s="3858" t="s">
        <v>63</v>
      </c>
      <c r="AD305" s="3783"/>
      <c r="AE305" s="3784">
        <v>705.55</v>
      </c>
      <c r="AF305" s="3783"/>
      <c r="AG305" s="3785"/>
      <c r="AH305" s="3786">
        <v>45658</v>
      </c>
      <c r="AI305" s="3191" t="s">
        <v>63</v>
      </c>
      <c r="AJ305" s="3786">
        <v>46022</v>
      </c>
      <c r="AK305" s="3191" t="s">
        <v>19</v>
      </c>
      <c r="AL305" s="3855"/>
      <c r="AM305" s="3855"/>
      <c r="AN305" s="3855"/>
      <c r="AO305" s="3856"/>
      <c r="AP305" s="3857"/>
      <c r="AQ305" s="3858" t="s">
        <v>63</v>
      </c>
      <c r="AR305" s="3857"/>
      <c r="AS305" s="3858" t="s">
        <v>63</v>
      </c>
      <c r="AT305" s="3783"/>
      <c r="AU305" s="3910" t="s">
        <v>565</v>
      </c>
      <c r="AV305" s="3823">
        <f>STRCHECKDATE(V306:AT306)</f>
      </c>
      <c r="AW305" s="3897"/>
      <c r="AX305" s="3897" t="str">
        <f>IF(T305="","",T305)</f>
        <v>вода</v>
      </c>
      <c r="AY305" s="3897"/>
      <c r="AZ305" s="3897"/>
      <c r="BA305" s="3775">
        <v>0</v>
      </c>
    </row>
    <row s="11465" customFormat="1" customHeight="1" ht="0.75">
      <c r="A306" s="3885"/>
      <c r="B306" s="3885"/>
      <c r="C306" s="3885"/>
      <c r="D306" s="3885"/>
      <c r="E306" s="3886"/>
      <c r="F306" s="3886" t="s">
        <v>117</v>
      </c>
      <c r="G306" s="3886"/>
      <c r="H306" s="3886"/>
      <c r="I306" s="3905"/>
      <c r="J306" s="3905"/>
      <c r="K306" s="3899"/>
      <c r="L306" s="3888"/>
      <c r="M306" s="3815"/>
      <c r="N306" s="3815"/>
      <c r="O306" s="3815"/>
      <c r="P306" s="3901"/>
      <c r="Q306" s="3901"/>
      <c r="R306" s="3906"/>
      <c r="S306" s="3912"/>
      <c r="T306" s="3895"/>
      <c r="U306" s="3895"/>
      <c r="V306" s="3855"/>
      <c r="W306" s="3855"/>
      <c r="X306" s="3855"/>
      <c r="Y306" s="3787" t="str">
        <f>Z305&amp;"-"&amp;AB305</f>
        <v>-</v>
      </c>
      <c r="Z306" s="3858"/>
      <c r="AA306" s="3858"/>
      <c r="AB306" s="3858"/>
      <c r="AC306" s="3858"/>
      <c r="AD306" s="3783"/>
      <c r="AE306" s="3783"/>
      <c r="AF306" s="3783"/>
      <c r="AG306" s="3787" t="str">
        <f>AH305&amp;"-"&amp;AJ305</f>
        <v>45658-46022</v>
      </c>
      <c r="AH306" s="3788"/>
      <c r="AI306" s="3191"/>
      <c r="AJ306" s="3788"/>
      <c r="AK306" s="3191"/>
      <c r="AL306" s="3855"/>
      <c r="AM306" s="3855"/>
      <c r="AN306" s="3855"/>
      <c r="AO306" s="3787" t="str">
        <f>AP305&amp;"-"&amp;AR305</f>
        <v>-</v>
      </c>
      <c r="AP306" s="3858"/>
      <c r="AQ306" s="3858"/>
      <c r="AR306" s="3858"/>
      <c r="AS306" s="3858"/>
      <c r="AT306" s="3783"/>
      <c r="AU306" s="3913"/>
      <c r="AV306" s="3823"/>
      <c r="AW306" s="3897"/>
      <c r="AX306" s="3897" t="str">
        <f>IF(T306="","",T306)</f>
        <v/>
      </c>
      <c r="AY306" s="3897"/>
      <c r="AZ306" s="3897"/>
      <c r="BA306" s="3775">
        <v>0</v>
      </c>
    </row>
    <row s="11466" customFormat="1" customHeight="1" ht="15">
      <c r="A307" s="3885"/>
      <c r="B307" s="3885"/>
      <c r="C307" s="3885"/>
      <c r="D307" s="3885"/>
      <c r="E307" s="3886"/>
      <c r="F307" s="3886" t="s">
        <v>117</v>
      </c>
      <c r="G307" s="3886"/>
      <c r="H307" s="3886"/>
      <c r="I307" s="3905"/>
      <c r="J307" s="3899"/>
      <c r="K307" s="3885"/>
      <c r="L307" s="3888"/>
      <c r="M307" s="3815"/>
      <c r="N307" s="3815"/>
      <c r="O307" s="3900"/>
      <c r="P307" s="3901"/>
      <c r="Q307" s="3901"/>
      <c r="R307" s="3902"/>
      <c r="S307" s="6156"/>
      <c r="T307" s="6157" t="s">
        <v>566</v>
      </c>
      <c r="U307" s="6158"/>
      <c r="V307" s="6159"/>
      <c r="W307" s="6160"/>
      <c r="X307" s="6161"/>
      <c r="Y307" s="6162"/>
      <c r="Z307" s="6163"/>
      <c r="AA307" s="6164"/>
      <c r="AB307" s="6165"/>
      <c r="AC307" s="6166"/>
      <c r="AD307" s="6167"/>
      <c r="AE307" s="6168"/>
      <c r="AF307" s="6169"/>
      <c r="AG307" s="6170"/>
      <c r="AH307" s="6171"/>
      <c r="AI307" s="6172"/>
      <c r="AJ307" s="6173"/>
      <c r="AK307" s="6174"/>
      <c r="AL307" s="6175"/>
      <c r="AM307" s="6176"/>
      <c r="AN307" s="6177"/>
      <c r="AO307" s="6178"/>
      <c r="AP307" s="6179"/>
      <c r="AQ307" s="6180"/>
      <c r="AR307" s="6181"/>
      <c r="AS307" s="6182"/>
      <c r="AT307" s="6183"/>
      <c r="AU307" s="3943"/>
      <c r="AV307" s="3823"/>
      <c r="AW307" s="3897"/>
      <c r="AX307" s="3897" t="str">
        <f>IF(T307="","",T307)</f>
        <v>Добавить вид теплоносителя (параметры теплоносителя)</v>
      </c>
      <c r="AY307" s="3897"/>
      <c r="AZ307" s="3897"/>
      <c r="BA307" s="3775">
        <v>0</v>
      </c>
    </row>
    <row s="11495" customFormat="1" customHeight="1" ht="15">
      <c r="A308" s="3885"/>
      <c r="B308" s="3885"/>
      <c r="C308" s="3885"/>
      <c r="D308" s="3885"/>
      <c r="E308" s="3886"/>
      <c r="F308" s="3886" t="s">
        <v>117</v>
      </c>
      <c r="G308" s="3886"/>
      <c r="H308" s="3886"/>
      <c r="I308" s="3899"/>
      <c r="J308" s="3885"/>
      <c r="K308" s="3885"/>
      <c r="L308" s="3888"/>
      <c r="M308" s="3815"/>
      <c r="N308" s="3900"/>
      <c r="O308" s="3900"/>
      <c r="P308" s="3901"/>
      <c r="Q308" s="3901"/>
      <c r="R308" s="3902"/>
      <c r="S308" s="6185"/>
      <c r="T308" s="6186" t="s">
        <v>567</v>
      </c>
      <c r="U308" s="6187"/>
      <c r="V308" s="6188"/>
      <c r="W308" s="6189"/>
      <c r="X308" s="6190"/>
      <c r="Y308" s="6191"/>
      <c r="Z308" s="6192"/>
      <c r="AA308" s="6193"/>
      <c r="AB308" s="6194"/>
      <c r="AC308" s="6195"/>
      <c r="AD308" s="6196"/>
      <c r="AE308" s="6197"/>
      <c r="AF308" s="6198"/>
      <c r="AG308" s="6199"/>
      <c r="AH308" s="6200"/>
      <c r="AI308" s="6201"/>
      <c r="AJ308" s="6202"/>
      <c r="AK308" s="6203"/>
      <c r="AL308" s="6204"/>
      <c r="AM308" s="6205"/>
      <c r="AN308" s="6206"/>
      <c r="AO308" s="6207"/>
      <c r="AP308" s="6208"/>
      <c r="AQ308" s="6209"/>
      <c r="AR308" s="6210"/>
      <c r="AS308" s="6211"/>
      <c r="AT308" s="6212"/>
      <c r="AU308" s="6213"/>
      <c r="AV308" s="3823"/>
      <c r="AW308" s="3897"/>
      <c r="AX308" s="3897" t="str">
        <f>IF(T308="","",T308)</f>
        <v>Добавить группу потребителей</v>
      </c>
      <c r="AY308" s="3897"/>
      <c r="AZ308" s="3897"/>
      <c r="BA308" s="3775">
        <v>0</v>
      </c>
    </row>
    <row s="11525" customFormat="1" customHeight="1" ht="14.25">
      <c r="A309" s="3885"/>
      <c r="B309" s="3885"/>
      <c r="C309" s="3885"/>
      <c r="D309" s="3885"/>
      <c r="E309" s="3886"/>
      <c r="F309" s="3886" t="s">
        <v>117</v>
      </c>
      <c r="G309" s="3886"/>
      <c r="H309" s="3887"/>
      <c r="I309" s="3885"/>
      <c r="J309" s="3885"/>
      <c r="K309" s="3885"/>
      <c r="L309" s="3888"/>
      <c r="M309" s="3889"/>
      <c r="N309" s="3889"/>
      <c r="O309" s="3815"/>
      <c r="P309" s="3975"/>
      <c r="Q309" s="3976"/>
      <c r="R309" s="3977"/>
      <c r="S309" s="6215"/>
      <c r="T309" s="6216" t="s">
        <v>568</v>
      </c>
      <c r="U309" s="6217"/>
      <c r="V309" s="6218"/>
      <c r="W309" s="6219"/>
      <c r="X309" s="6220"/>
      <c r="Y309" s="6221"/>
      <c r="Z309" s="6222"/>
      <c r="AA309" s="6223"/>
      <c r="AB309" s="6224"/>
      <c r="AC309" s="6225"/>
      <c r="AD309" s="6226"/>
      <c r="AE309" s="6227"/>
      <c r="AF309" s="6228"/>
      <c r="AG309" s="6229"/>
      <c r="AH309" s="6230"/>
      <c r="AI309" s="6231"/>
      <c r="AJ309" s="6232"/>
      <c r="AK309" s="6233"/>
      <c r="AL309" s="6234"/>
      <c r="AM309" s="6235"/>
      <c r="AN309" s="6236"/>
      <c r="AO309" s="6237"/>
      <c r="AP309" s="6238"/>
      <c r="AQ309" s="6239"/>
      <c r="AR309" s="6240"/>
      <c r="AS309" s="6241"/>
      <c r="AT309" s="6242"/>
      <c r="AU309" s="6243"/>
      <c r="AV309" s="3823"/>
      <c r="AW309" s="3897"/>
      <c r="AX309" s="3897" t="str">
        <f>IF(T309="","",T309)</f>
        <v>Добавить схему подключения</v>
      </c>
      <c r="AY309" s="3897"/>
      <c r="AZ309" s="3897"/>
      <c r="BA309" s="3775">
        <v>0</v>
      </c>
    </row>
    <row s="11555" customFormat="1" customHeight="1" ht="0.75">
      <c r="A310" s="4107"/>
      <c r="B310" s="4107"/>
      <c r="C310" s="4107"/>
      <c r="D310" s="4107"/>
      <c r="E310" s="3886"/>
      <c r="F310" s="3886" t="s">
        <v>117</v>
      </c>
      <c r="G310" s="3887"/>
      <c r="H310" s="4107"/>
      <c r="I310" s="4107"/>
      <c r="J310" s="4107"/>
      <c r="K310" s="4107"/>
      <c r="L310" s="4108"/>
      <c r="M310" s="4109"/>
      <c r="N310" s="4109"/>
      <c r="O310" s="3823"/>
      <c r="P310" s="4110"/>
      <c r="Q310" s="4111"/>
      <c r="R310" s="4110"/>
      <c r="S310" s="4112"/>
      <c r="T310" s="4113" t="s">
        <v>273</v>
      </c>
      <c r="U310" s="3813"/>
      <c r="V310" s="3813"/>
      <c r="W310" s="3813"/>
      <c r="X310" s="3813"/>
      <c r="Y310" s="3813"/>
      <c r="Z310" s="3813"/>
      <c r="AA310" s="3813"/>
      <c r="AB310" s="3813"/>
      <c r="AC310" s="3813"/>
      <c r="AD310" s="3813"/>
      <c r="AE310" s="3813"/>
      <c r="AF310" s="3813"/>
      <c r="AG310" s="3813"/>
      <c r="AH310" s="3813"/>
      <c r="AI310" s="3813"/>
      <c r="AJ310" s="3813"/>
      <c r="AK310" s="3813"/>
      <c r="AL310" s="3813"/>
      <c r="AM310" s="3813"/>
      <c r="AN310" s="3813"/>
      <c r="AO310" s="3813"/>
      <c r="AP310" s="3813"/>
      <c r="AQ310" s="3813"/>
      <c r="AR310" s="3813"/>
      <c r="AS310" s="3813"/>
      <c r="AT310" s="3813"/>
      <c r="AU310" s="3813"/>
      <c r="AV310" s="3823"/>
      <c r="AW310" s="3897"/>
      <c r="AX310" s="3897" t="str">
        <f>IF(T310="","",T310)</f>
        <v>Добавить источник для дифференциации</v>
      </c>
      <c r="AY310" s="3897"/>
      <c r="AZ310" s="3897"/>
      <c r="BA310" s="3823">
        <v>0</v>
      </c>
    </row>
    <row s="11556" customFormat="1" customHeight="1" ht="0.75">
      <c r="A311" s="4107"/>
      <c r="B311" s="4107"/>
      <c r="C311" s="4107"/>
      <c r="D311" s="4107"/>
      <c r="E311" s="3886"/>
      <c r="F311" s="3887" t="s">
        <v>117</v>
      </c>
      <c r="G311" s="4107"/>
      <c r="H311" s="4107"/>
      <c r="I311" s="4107"/>
      <c r="J311" s="4107"/>
      <c r="K311" s="4107"/>
      <c r="L311" s="4108"/>
      <c r="M311" s="4115"/>
      <c r="N311" s="4115"/>
      <c r="O311" s="3823"/>
      <c r="P311" s="4110"/>
      <c r="Q311" s="4111"/>
      <c r="R311" s="4110"/>
      <c r="S311" s="4116"/>
      <c r="T311" s="4117" t="s">
        <v>274</v>
      </c>
      <c r="U311" s="3814"/>
      <c r="V311" s="3814"/>
      <c r="W311" s="3814"/>
      <c r="X311" s="3814"/>
      <c r="Y311" s="3814"/>
      <c r="Z311" s="3814"/>
      <c r="AA311" s="3814"/>
      <c r="AB311" s="3814"/>
      <c r="AC311" s="3814"/>
      <c r="AD311" s="3814"/>
      <c r="AE311" s="3814"/>
      <c r="AF311" s="3814"/>
      <c r="AG311" s="3814"/>
      <c r="AH311" s="3814"/>
      <c r="AI311" s="3814"/>
      <c r="AJ311" s="3814"/>
      <c r="AK311" s="3814"/>
      <c r="AL311" s="3814"/>
      <c r="AM311" s="3814"/>
      <c r="AN311" s="3814"/>
      <c r="AO311" s="3814"/>
      <c r="AP311" s="3814"/>
      <c r="AQ311" s="3814"/>
      <c r="AR311" s="3814"/>
      <c r="AS311" s="3814"/>
      <c r="AT311" s="3814"/>
      <c r="AU311" s="3814"/>
      <c r="AV311" s="3823"/>
      <c r="AW311" s="3897"/>
      <c r="AX311" s="3897" t="str">
        <f>IF(T311="","",T311)</f>
        <v>Добавить централизованную систему для дифференциации</v>
      </c>
      <c r="AY311" s="3897"/>
      <c r="AZ311" s="3897"/>
      <c r="BA311" s="3823">
        <v>0</v>
      </c>
    </row>
    <row s="11557" customFormat="1" customHeight="1" ht="21">
      <c r="A312" s="3885"/>
      <c r="B312" s="3885" t="s">
        <v>345</v>
      </c>
      <c r="C312" s="3885"/>
      <c r="D312" s="3885"/>
      <c r="E312" s="3886"/>
      <c r="F312" s="3887" t="s">
        <v>175</v>
      </c>
      <c r="G312" s="3885"/>
      <c r="H312" s="3885"/>
      <c r="I312" s="3885"/>
      <c r="J312" s="3885"/>
      <c r="K312" s="3885"/>
      <c r="L312" s="3888"/>
      <c r="M312" s="3889"/>
      <c r="N312" s="3889"/>
      <c r="O312" s="3889"/>
      <c r="P312" s="4008"/>
      <c r="Q312" s="3891"/>
      <c r="R312" s="3892"/>
      <c r="S312" s="3893" t="str">
        <f>INDEX(PT_DIFFERENTIATION_NUM_TER,MATCH(B312,PT_DIFFERENTIATION_TER_ID,0))</f>
        <v>1.18</v>
      </c>
      <c r="T312" s="4009" t="s">
        <v>552</v>
      </c>
      <c r="U312" s="3895"/>
      <c r="V312" s="3776"/>
      <c r="W312" s="3777"/>
      <c r="X312" s="3777"/>
      <c r="Y312" s="3777"/>
      <c r="Z312" s="3777"/>
      <c r="AA312" s="3777"/>
      <c r="AB312" s="3777"/>
      <c r="AC312" s="3778"/>
      <c r="AD312" s="3776" t="str">
        <f>INDEX(PT_DIFFERENTIATION_TER,MATCH(B312,PT_DIFFERENTIATION_TER_ID,0))</f>
        <v>Территория 18</v>
      </c>
      <c r="AE312" s="3777"/>
      <c r="AF312" s="3777"/>
      <c r="AG312" s="3777"/>
      <c r="AH312" s="3777"/>
      <c r="AI312" s="3777"/>
      <c r="AJ312" s="3777"/>
      <c r="AK312" s="3777"/>
      <c r="AL312" s="3776"/>
      <c r="AM312" s="3777"/>
      <c r="AN312" s="3777"/>
      <c r="AO312" s="3777"/>
      <c r="AP312" s="3777"/>
      <c r="AQ312" s="3777"/>
      <c r="AR312" s="3777"/>
      <c r="AS312" s="3778"/>
      <c r="AT312" s="3778"/>
      <c r="AU312" s="3896" t="s">
        <v>553</v>
      </c>
      <c r="AV312" s="3823"/>
      <c r="AW312" s="3897"/>
      <c r="AX312" s="3897" t="str">
        <f>IF(T312="","",T312)</f>
        <v>Территория действия тарифа</v>
      </c>
      <c r="AY312" s="3897"/>
      <c r="AZ312" s="3897"/>
      <c r="BA312" s="3775">
        <v>0</v>
      </c>
    </row>
    <row s="11558" customFormat="1" customHeight="1" ht="23.25">
      <c r="A313" s="3885"/>
      <c r="B313" s="3885"/>
      <c r="C313" s="3885" t="s">
        <v>346</v>
      </c>
      <c r="D313" s="3885"/>
      <c r="E313" s="3886"/>
      <c r="F313" s="3886" t="s">
        <v>173</v>
      </c>
      <c r="G313" s="3887">
        <v>1</v>
      </c>
      <c r="H313" s="3885"/>
      <c r="I313" s="3885"/>
      <c r="J313" s="3885"/>
      <c r="K313" s="3885"/>
      <c r="L313" s="3888"/>
      <c r="M313" s="3889"/>
      <c r="N313" s="3889"/>
      <c r="O313" s="3889"/>
      <c r="P313" s="3890"/>
      <c r="Q313" s="3891"/>
      <c r="R313" s="3892"/>
      <c r="S313" s="3893" t="str">
        <f>INDEX(PT_DIFFERENTIATION_NUM_CS,MATCH(C313,PT_DIFFERENTIATION_CS_ID,0))</f>
        <v>1.18.1</v>
      </c>
      <c r="T313" s="4011" t="s">
        <v>554</v>
      </c>
      <c r="U313" s="3895"/>
      <c r="V313" s="3776"/>
      <c r="W313" s="3777"/>
      <c r="X313" s="3777"/>
      <c r="Y313" s="3777"/>
      <c r="Z313" s="3777"/>
      <c r="AA313" s="3777"/>
      <c r="AB313" s="3777"/>
      <c r="AC313" s="3778"/>
      <c r="AD313" s="3776" t="str">
        <f>INDEX(PT_DIFFERENTIATION_CS,MATCH(C313,PT_DIFFERENTIATION_CS_ID,0))</f>
        <v>без дифференциации</v>
      </c>
      <c r="AE313" s="3777"/>
      <c r="AF313" s="3777"/>
      <c r="AG313" s="3777"/>
      <c r="AH313" s="3777"/>
      <c r="AI313" s="3777"/>
      <c r="AJ313" s="3777"/>
      <c r="AK313" s="3777"/>
      <c r="AL313" s="3776"/>
      <c r="AM313" s="3777"/>
      <c r="AN313" s="3777"/>
      <c r="AO313" s="3777"/>
      <c r="AP313" s="3777"/>
      <c r="AQ313" s="3777"/>
      <c r="AR313" s="3777"/>
      <c r="AS313" s="3778"/>
      <c r="AT313" s="3778"/>
      <c r="AU313" s="3896" t="s">
        <v>555</v>
      </c>
      <c r="AV313" s="3823"/>
      <c r="AW313" s="3897"/>
      <c r="AX313" s="3897" t="str">
        <f>IF(T313="","",T313)</f>
        <v>Наименование системы теплоснабжения </v>
      </c>
      <c r="AY313" s="3897"/>
      <c r="AZ313" s="3897"/>
      <c r="BA313" s="3775">
        <v>0</v>
      </c>
    </row>
    <row s="11559" customFormat="1" customHeight="1" ht="21">
      <c r="A314" s="3885"/>
      <c r="B314" s="3885"/>
      <c r="C314" s="3885"/>
      <c r="D314" s="3885" t="s">
        <v>347</v>
      </c>
      <c r="E314" s="3886"/>
      <c r="F314" s="3886" t="s">
        <v>173</v>
      </c>
      <c r="G314" s="3886"/>
      <c r="H314" s="3887">
        <v>1</v>
      </c>
      <c r="I314" s="3885"/>
      <c r="J314" s="3885"/>
      <c r="K314" s="3885"/>
      <c r="L314" s="3888"/>
      <c r="M314" s="3889"/>
      <c r="N314" s="3889"/>
      <c r="O314" s="3889"/>
      <c r="P314" s="3890"/>
      <c r="Q314" s="3891"/>
      <c r="R314" s="3892"/>
      <c r="S314" s="3893" t="str">
        <f>INDEX(PT_DIFFERENTIATION_NUM_IST_TE,MATCH(D314,PT_DIFFERENTIATION_IST_TE_ID,0))</f>
        <v>1.18.1.1</v>
      </c>
      <c r="T314" s="3894" t="s">
        <v>556</v>
      </c>
      <c r="U314" s="3895"/>
      <c r="V314" s="3776"/>
      <c r="W314" s="3777"/>
      <c r="X314" s="3777"/>
      <c r="Y314" s="3777"/>
      <c r="Z314" s="3777"/>
      <c r="AA314" s="3777"/>
      <c r="AB314" s="3777"/>
      <c r="AC314" s="3778"/>
      <c r="AD314" s="3776" t="str">
        <f>INDEX(PT_DIFFERENTIATION_IST_TE,MATCH(D314,PT_DIFFERENTIATION_IST_TE_ID,0))</f>
        <v>населенный пункт Лейпи</v>
      </c>
      <c r="AE314" s="3777"/>
      <c r="AF314" s="3777"/>
      <c r="AG314" s="3777"/>
      <c r="AH314" s="3777"/>
      <c r="AI314" s="3777"/>
      <c r="AJ314" s="3777"/>
      <c r="AK314" s="3777"/>
      <c r="AL314" s="3776"/>
      <c r="AM314" s="3777"/>
      <c r="AN314" s="3777"/>
      <c r="AO314" s="3777"/>
      <c r="AP314" s="3777"/>
      <c r="AQ314" s="3777"/>
      <c r="AR314" s="3777"/>
      <c r="AS314" s="3778"/>
      <c r="AT314" s="3778"/>
      <c r="AU314" s="3896" t="s">
        <v>557</v>
      </c>
      <c r="AV314" s="3823"/>
      <c r="AW314" s="3897"/>
      <c r="AX314" s="3897" t="str">
        <f>IF(T314="","",T314)</f>
        <v>Источник тепловой энергии  </v>
      </c>
      <c r="AY314" s="3897"/>
      <c r="AZ314" s="3897"/>
      <c r="BA314" s="3775">
        <v>0</v>
      </c>
    </row>
    <row s="11560" customFormat="1" customHeight="1" ht="47.25">
      <c r="A315" s="3885"/>
      <c r="B315" s="3885"/>
      <c r="C315" s="3885"/>
      <c r="D315" s="3885"/>
      <c r="E315" s="3886"/>
      <c r="F315" s="3886" t="s">
        <v>173</v>
      </c>
      <c r="G315" s="3886"/>
      <c r="H315" s="3886"/>
      <c r="I315" s="3899" t="str">
        <f>S314&amp;".1"</f>
        <v>1.18.1.1.1</v>
      </c>
      <c r="J315" s="3885"/>
      <c r="K315" s="3885"/>
      <c r="L315" s="3888" t="s">
        <v>558</v>
      </c>
      <c r="M315" s="3815"/>
      <c r="N315" s="3900"/>
      <c r="O315" s="3900"/>
      <c r="P315" s="3901">
        <v>1</v>
      </c>
      <c r="Q315" s="3901"/>
      <c r="R315" s="3902"/>
      <c r="S315" s="3893" t="str">
        <f>$I315</f>
        <v>1.18.1.1.1</v>
      </c>
      <c r="T315" s="3903" t="s">
        <v>559</v>
      </c>
      <c r="U315" s="3895"/>
      <c r="V315" s="3779"/>
      <c r="W315" s="3780"/>
      <c r="X315" s="3780"/>
      <c r="Y315" s="3780"/>
      <c r="Z315" s="3780"/>
      <c r="AA315" s="3780"/>
      <c r="AB315" s="3780"/>
      <c r="AC315" s="3781"/>
      <c r="AD315" s="3779" t="s">
        <v>601</v>
      </c>
      <c r="AE315" s="3780"/>
      <c r="AF315" s="3780"/>
      <c r="AG315" s="3780"/>
      <c r="AH315" s="3780"/>
      <c r="AI315" s="3780"/>
      <c r="AJ315" s="3780"/>
      <c r="AK315" s="3780"/>
      <c r="AL315" s="3779"/>
      <c r="AM315" s="3780"/>
      <c r="AN315" s="3780"/>
      <c r="AO315" s="3780"/>
      <c r="AP315" s="3780"/>
      <c r="AQ315" s="3780"/>
      <c r="AR315" s="3780"/>
      <c r="AS315" s="3781"/>
      <c r="AT315" s="3781"/>
      <c r="AU315" s="3896" t="s">
        <v>560</v>
      </c>
      <c r="AV315" s="3823"/>
      <c r="AW315" s="3897"/>
      <c r="AX315" s="3897" t="str">
        <f>IF(T315="","",T315)</f>
        <v>Схема подключения теплопотребляющей установки к коллектору источника тепловой энергии</v>
      </c>
      <c r="AY315" s="3897"/>
      <c r="AZ315" s="3897"/>
      <c r="BA315" s="3775">
        <v>0</v>
      </c>
    </row>
    <row s="11561" customFormat="1" customHeight="1" ht="21">
      <c r="A316" s="3885"/>
      <c r="B316" s="3885"/>
      <c r="C316" s="3885"/>
      <c r="D316" s="3885"/>
      <c r="E316" s="3886"/>
      <c r="F316" s="3886" t="s">
        <v>173</v>
      </c>
      <c r="G316" s="3886"/>
      <c r="H316" s="3886"/>
      <c r="I316" s="3905"/>
      <c r="J316" s="3899" t="str">
        <f>I315&amp;".1"</f>
        <v>1.18.1.1.1.1</v>
      </c>
      <c r="K316" s="3885"/>
      <c r="L316" s="3888" t="s">
        <v>561</v>
      </c>
      <c r="M316" s="3815"/>
      <c r="N316" s="3815"/>
      <c r="O316" s="3900"/>
      <c r="P316" s="3901"/>
      <c r="Q316" s="3901">
        <v>1</v>
      </c>
      <c r="R316" s="3906"/>
      <c r="S316" s="3893" t="str">
        <f>$J316</f>
        <v>1.18.1.1.1.1</v>
      </c>
      <c r="T316" s="3907" t="s">
        <v>562</v>
      </c>
      <c r="U316" s="3895"/>
      <c r="V316" s="3779"/>
      <c r="W316" s="3780"/>
      <c r="X316" s="3780"/>
      <c r="Y316" s="3780"/>
      <c r="Z316" s="3780"/>
      <c r="AA316" s="3780"/>
      <c r="AB316" s="3780"/>
      <c r="AC316" s="3781"/>
      <c r="AD316" s="3779" t="s">
        <v>602</v>
      </c>
      <c r="AE316" s="3780"/>
      <c r="AF316" s="3780"/>
      <c r="AG316" s="3780"/>
      <c r="AH316" s="3780"/>
      <c r="AI316" s="3780"/>
      <c r="AJ316" s="3780"/>
      <c r="AK316" s="3780"/>
      <c r="AL316" s="3779"/>
      <c r="AM316" s="3780"/>
      <c r="AN316" s="3780"/>
      <c r="AO316" s="3780"/>
      <c r="AP316" s="3780"/>
      <c r="AQ316" s="3780"/>
      <c r="AR316" s="3780"/>
      <c r="AS316" s="3781"/>
      <c r="AT316" s="3781"/>
      <c r="AU316" s="3896" t="s">
        <v>563</v>
      </c>
      <c r="AV316" s="3823"/>
      <c r="AW316" s="3897"/>
      <c r="AX316" s="3897" t="str">
        <f>IF(T316="","",T316)</f>
        <v>Группа потребителей</v>
      </c>
      <c r="AY316" s="3897"/>
      <c r="AZ316" s="3897"/>
      <c r="BA316" s="3775">
        <v>0</v>
      </c>
    </row>
    <row s="11562" customFormat="1" customHeight="1" ht="21">
      <c r="A317" s="3885"/>
      <c r="B317" s="3885"/>
      <c r="C317" s="3885"/>
      <c r="D317" s="3885"/>
      <c r="E317" s="3886"/>
      <c r="F317" s="3886" t="s">
        <v>173</v>
      </c>
      <c r="G317" s="3886"/>
      <c r="H317" s="3886"/>
      <c r="I317" s="3905"/>
      <c r="J317" s="3905"/>
      <c r="K317" s="3899" t="str">
        <f>J316&amp;".1"</f>
        <v>1.18.1.1.1.1.1</v>
      </c>
      <c r="L317" s="3888" t="s">
        <v>564</v>
      </c>
      <c r="M317" s="3815"/>
      <c r="N317" s="3815"/>
      <c r="O317" s="3815"/>
      <c r="P317" s="3901"/>
      <c r="Q317" s="3901"/>
      <c r="R317" s="3906">
        <v>1</v>
      </c>
      <c r="S317" s="3893" t="str">
        <f>$K317</f>
        <v>1.18.1.1.1.1.1</v>
      </c>
      <c r="T317" s="3909" t="s">
        <v>603</v>
      </c>
      <c r="U317" s="3895"/>
      <c r="V317" s="3855"/>
      <c r="W317" s="3855"/>
      <c r="X317" s="3855"/>
      <c r="Y317" s="3856"/>
      <c r="Z317" s="3857"/>
      <c r="AA317" s="3858" t="s">
        <v>63</v>
      </c>
      <c r="AB317" s="3857"/>
      <c r="AC317" s="3858" t="s">
        <v>63</v>
      </c>
      <c r="AD317" s="3783"/>
      <c r="AE317" s="3784">
        <v>705.55</v>
      </c>
      <c r="AF317" s="3783"/>
      <c r="AG317" s="3785"/>
      <c r="AH317" s="3786">
        <v>45658</v>
      </c>
      <c r="AI317" s="3191" t="s">
        <v>63</v>
      </c>
      <c r="AJ317" s="3786">
        <v>46022</v>
      </c>
      <c r="AK317" s="3191" t="s">
        <v>19</v>
      </c>
      <c r="AL317" s="3855"/>
      <c r="AM317" s="3855"/>
      <c r="AN317" s="3855"/>
      <c r="AO317" s="3856"/>
      <c r="AP317" s="3857"/>
      <c r="AQ317" s="3858" t="s">
        <v>63</v>
      </c>
      <c r="AR317" s="3857"/>
      <c r="AS317" s="3858" t="s">
        <v>63</v>
      </c>
      <c r="AT317" s="3783"/>
      <c r="AU317" s="3910" t="s">
        <v>565</v>
      </c>
      <c r="AV317" s="3823">
        <f>STRCHECKDATE(V318:AT318)</f>
      </c>
      <c r="AW317" s="3897"/>
      <c r="AX317" s="3897" t="str">
        <f>IF(T317="","",T317)</f>
        <v>вода</v>
      </c>
      <c r="AY317" s="3897"/>
      <c r="AZ317" s="3897"/>
      <c r="BA317" s="3775">
        <v>0</v>
      </c>
    </row>
    <row s="11563" customFormat="1" customHeight="1" ht="0.75">
      <c r="A318" s="3885"/>
      <c r="B318" s="3885"/>
      <c r="C318" s="3885"/>
      <c r="D318" s="3885"/>
      <c r="E318" s="3886"/>
      <c r="F318" s="3886" t="s">
        <v>173</v>
      </c>
      <c r="G318" s="3886"/>
      <c r="H318" s="3886"/>
      <c r="I318" s="3905"/>
      <c r="J318" s="3905"/>
      <c r="K318" s="3899"/>
      <c r="L318" s="3888"/>
      <c r="M318" s="3815"/>
      <c r="N318" s="3815"/>
      <c r="O318" s="3815"/>
      <c r="P318" s="3901"/>
      <c r="Q318" s="3901"/>
      <c r="R318" s="3906"/>
      <c r="S318" s="3912"/>
      <c r="T318" s="3895"/>
      <c r="U318" s="3895"/>
      <c r="V318" s="3855"/>
      <c r="W318" s="3855"/>
      <c r="X318" s="3855"/>
      <c r="Y318" s="3787" t="str">
        <f>Z317&amp;"-"&amp;AB317</f>
        <v>-</v>
      </c>
      <c r="Z318" s="3858"/>
      <c r="AA318" s="3858"/>
      <c r="AB318" s="3858"/>
      <c r="AC318" s="3858"/>
      <c r="AD318" s="3783"/>
      <c r="AE318" s="3783"/>
      <c r="AF318" s="3783"/>
      <c r="AG318" s="3787" t="str">
        <f>AH317&amp;"-"&amp;AJ317</f>
        <v>45658-46022</v>
      </c>
      <c r="AH318" s="3788"/>
      <c r="AI318" s="3191"/>
      <c r="AJ318" s="3788"/>
      <c r="AK318" s="3191"/>
      <c r="AL318" s="3855"/>
      <c r="AM318" s="3855"/>
      <c r="AN318" s="3855"/>
      <c r="AO318" s="3787" t="str">
        <f>AP317&amp;"-"&amp;AR317</f>
        <v>-</v>
      </c>
      <c r="AP318" s="3858"/>
      <c r="AQ318" s="3858"/>
      <c r="AR318" s="3858"/>
      <c r="AS318" s="3858"/>
      <c r="AT318" s="3783"/>
      <c r="AU318" s="3913"/>
      <c r="AV318" s="3823"/>
      <c r="AW318" s="3897"/>
      <c r="AX318" s="3897" t="str">
        <f>IF(T318="","",T318)</f>
        <v/>
      </c>
      <c r="AY318" s="3897"/>
      <c r="AZ318" s="3897"/>
      <c r="BA318" s="3775">
        <v>0</v>
      </c>
    </row>
    <row s="11564" customFormat="1" customHeight="1" ht="15">
      <c r="A319" s="3885"/>
      <c r="B319" s="3885"/>
      <c r="C319" s="3885"/>
      <c r="D319" s="3885"/>
      <c r="E319" s="3886"/>
      <c r="F319" s="3886" t="s">
        <v>173</v>
      </c>
      <c r="G319" s="3886"/>
      <c r="H319" s="3886"/>
      <c r="I319" s="3905"/>
      <c r="J319" s="3899"/>
      <c r="K319" s="3885"/>
      <c r="L319" s="3888"/>
      <c r="M319" s="3815"/>
      <c r="N319" s="3815"/>
      <c r="O319" s="3900"/>
      <c r="P319" s="3901"/>
      <c r="Q319" s="3901"/>
      <c r="R319" s="3902"/>
      <c r="S319" s="6254"/>
      <c r="T319" s="6255" t="s">
        <v>566</v>
      </c>
      <c r="U319" s="6256"/>
      <c r="V319" s="6257"/>
      <c r="W319" s="6258"/>
      <c r="X319" s="6259"/>
      <c r="Y319" s="6260"/>
      <c r="Z319" s="6261"/>
      <c r="AA319" s="6262"/>
      <c r="AB319" s="6263"/>
      <c r="AC319" s="6264"/>
      <c r="AD319" s="6265"/>
      <c r="AE319" s="6266"/>
      <c r="AF319" s="6267"/>
      <c r="AG319" s="6268"/>
      <c r="AH319" s="6269"/>
      <c r="AI319" s="6270"/>
      <c r="AJ319" s="6271"/>
      <c r="AK319" s="6272"/>
      <c r="AL319" s="6273"/>
      <c r="AM319" s="6274"/>
      <c r="AN319" s="6275"/>
      <c r="AO319" s="6276"/>
      <c r="AP319" s="6277"/>
      <c r="AQ319" s="6278"/>
      <c r="AR319" s="6279"/>
      <c r="AS319" s="6280"/>
      <c r="AT319" s="6281"/>
      <c r="AU319" s="3943"/>
      <c r="AV319" s="3823"/>
      <c r="AW319" s="3897"/>
      <c r="AX319" s="3897" t="str">
        <f>IF(T319="","",T319)</f>
        <v>Добавить вид теплоносителя (параметры теплоносителя)</v>
      </c>
      <c r="AY319" s="3897"/>
      <c r="AZ319" s="3897"/>
      <c r="BA319" s="3775">
        <v>0</v>
      </c>
    </row>
    <row s="11593" customFormat="1" customHeight="1" ht="15">
      <c r="A320" s="3885"/>
      <c r="B320" s="3885"/>
      <c r="C320" s="3885"/>
      <c r="D320" s="3885"/>
      <c r="E320" s="3886"/>
      <c r="F320" s="3886" t="s">
        <v>173</v>
      </c>
      <c r="G320" s="3886"/>
      <c r="H320" s="3886"/>
      <c r="I320" s="3899"/>
      <c r="J320" s="3885"/>
      <c r="K320" s="3885"/>
      <c r="L320" s="3888"/>
      <c r="M320" s="3815"/>
      <c r="N320" s="3900"/>
      <c r="O320" s="3900"/>
      <c r="P320" s="3901"/>
      <c r="Q320" s="3901"/>
      <c r="R320" s="3902"/>
      <c r="S320" s="6283"/>
      <c r="T320" s="6284" t="s">
        <v>567</v>
      </c>
      <c r="U320" s="6285"/>
      <c r="V320" s="6286"/>
      <c r="W320" s="6287"/>
      <c r="X320" s="6288"/>
      <c r="Y320" s="6289"/>
      <c r="Z320" s="6290"/>
      <c r="AA320" s="6291"/>
      <c r="AB320" s="6292"/>
      <c r="AC320" s="6293"/>
      <c r="AD320" s="6294"/>
      <c r="AE320" s="6295"/>
      <c r="AF320" s="6296"/>
      <c r="AG320" s="6297"/>
      <c r="AH320" s="6298"/>
      <c r="AI320" s="6299"/>
      <c r="AJ320" s="6300"/>
      <c r="AK320" s="6301"/>
      <c r="AL320" s="6302"/>
      <c r="AM320" s="6303"/>
      <c r="AN320" s="6304"/>
      <c r="AO320" s="6305"/>
      <c r="AP320" s="6306"/>
      <c r="AQ320" s="6307"/>
      <c r="AR320" s="6308"/>
      <c r="AS320" s="6309"/>
      <c r="AT320" s="6310"/>
      <c r="AU320" s="6311"/>
      <c r="AV320" s="3823"/>
      <c r="AW320" s="3897"/>
      <c r="AX320" s="3897" t="str">
        <f>IF(T320="","",T320)</f>
        <v>Добавить группу потребителей</v>
      </c>
      <c r="AY320" s="3897"/>
      <c r="AZ320" s="3897"/>
      <c r="BA320" s="3775">
        <v>0</v>
      </c>
    </row>
    <row s="11623" customFormat="1" customHeight="1" ht="14.25">
      <c r="A321" s="3885"/>
      <c r="B321" s="3885"/>
      <c r="C321" s="3885"/>
      <c r="D321" s="3885"/>
      <c r="E321" s="3886"/>
      <c r="F321" s="3886" t="s">
        <v>173</v>
      </c>
      <c r="G321" s="3886"/>
      <c r="H321" s="3887"/>
      <c r="I321" s="3885"/>
      <c r="J321" s="3885"/>
      <c r="K321" s="3885"/>
      <c r="L321" s="3888"/>
      <c r="M321" s="3889"/>
      <c r="N321" s="3889"/>
      <c r="O321" s="3815"/>
      <c r="P321" s="3975"/>
      <c r="Q321" s="3976"/>
      <c r="R321" s="3977"/>
      <c r="S321" s="6313"/>
      <c r="T321" s="6314" t="s">
        <v>568</v>
      </c>
      <c r="U321" s="6315"/>
      <c r="V321" s="6316"/>
      <c r="W321" s="6317"/>
      <c r="X321" s="6318"/>
      <c r="Y321" s="6319"/>
      <c r="Z321" s="6320"/>
      <c r="AA321" s="6321"/>
      <c r="AB321" s="6322"/>
      <c r="AC321" s="6323"/>
      <c r="AD321" s="6324"/>
      <c r="AE321" s="6325"/>
      <c r="AF321" s="6326"/>
      <c r="AG321" s="6327"/>
      <c r="AH321" s="6328"/>
      <c r="AI321" s="6329"/>
      <c r="AJ321" s="6330"/>
      <c r="AK321" s="6331"/>
      <c r="AL321" s="6332"/>
      <c r="AM321" s="6333"/>
      <c r="AN321" s="6334"/>
      <c r="AO321" s="6335"/>
      <c r="AP321" s="6336"/>
      <c r="AQ321" s="6337"/>
      <c r="AR321" s="6338"/>
      <c r="AS321" s="6339"/>
      <c r="AT321" s="6340"/>
      <c r="AU321" s="6341"/>
      <c r="AV321" s="3823"/>
      <c r="AW321" s="3897"/>
      <c r="AX321" s="3897" t="str">
        <f>IF(T321="","",T321)</f>
        <v>Добавить схему подключения</v>
      </c>
      <c r="AY321" s="3897"/>
      <c r="AZ321" s="3897"/>
      <c r="BA321" s="3775">
        <v>0</v>
      </c>
    </row>
    <row s="11653" customFormat="1" customHeight="1" ht="0.75">
      <c r="A322" s="4107"/>
      <c r="B322" s="4107"/>
      <c r="C322" s="4107"/>
      <c r="D322" s="4107"/>
      <c r="E322" s="3886"/>
      <c r="F322" s="3886" t="s">
        <v>173</v>
      </c>
      <c r="G322" s="3887"/>
      <c r="H322" s="4107"/>
      <c r="I322" s="4107"/>
      <c r="J322" s="4107"/>
      <c r="K322" s="4107"/>
      <c r="L322" s="4108"/>
      <c r="M322" s="4109"/>
      <c r="N322" s="4109"/>
      <c r="O322" s="3823"/>
      <c r="P322" s="4110"/>
      <c r="Q322" s="4111"/>
      <c r="R322" s="4110"/>
      <c r="S322" s="4112"/>
      <c r="T322" s="4113" t="s">
        <v>273</v>
      </c>
      <c r="U322" s="3813"/>
      <c r="V322" s="3813"/>
      <c r="W322" s="3813"/>
      <c r="X322" s="3813"/>
      <c r="Y322" s="3813"/>
      <c r="Z322" s="3813"/>
      <c r="AA322" s="3813"/>
      <c r="AB322" s="3813"/>
      <c r="AC322" s="3813"/>
      <c r="AD322" s="3813"/>
      <c r="AE322" s="3813"/>
      <c r="AF322" s="3813"/>
      <c r="AG322" s="3813"/>
      <c r="AH322" s="3813"/>
      <c r="AI322" s="3813"/>
      <c r="AJ322" s="3813"/>
      <c r="AK322" s="3813"/>
      <c r="AL322" s="3813"/>
      <c r="AM322" s="3813"/>
      <c r="AN322" s="3813"/>
      <c r="AO322" s="3813"/>
      <c r="AP322" s="3813"/>
      <c r="AQ322" s="3813"/>
      <c r="AR322" s="3813"/>
      <c r="AS322" s="3813"/>
      <c r="AT322" s="3813"/>
      <c r="AU322" s="3813"/>
      <c r="AV322" s="3823"/>
      <c r="AW322" s="3897"/>
      <c r="AX322" s="3897" t="str">
        <f>IF(T322="","",T322)</f>
        <v>Добавить источник для дифференциации</v>
      </c>
      <c r="AY322" s="3897"/>
      <c r="AZ322" s="3897"/>
      <c r="BA322" s="3823">
        <v>0</v>
      </c>
    </row>
    <row s="11654" customFormat="1" customHeight="1" ht="0.75">
      <c r="A323" s="4107"/>
      <c r="B323" s="4107"/>
      <c r="C323" s="4107"/>
      <c r="D323" s="4107"/>
      <c r="E323" s="3886"/>
      <c r="F323" s="3887" t="s">
        <v>173</v>
      </c>
      <c r="G323" s="4107"/>
      <c r="H323" s="4107"/>
      <c r="I323" s="4107"/>
      <c r="J323" s="4107"/>
      <c r="K323" s="4107"/>
      <c r="L323" s="4108"/>
      <c r="M323" s="4115"/>
      <c r="N323" s="4115"/>
      <c r="O323" s="3823"/>
      <c r="P323" s="4110"/>
      <c r="Q323" s="4111"/>
      <c r="R323" s="4110"/>
      <c r="S323" s="4116"/>
      <c r="T323" s="4117" t="s">
        <v>274</v>
      </c>
      <c r="U323" s="3814"/>
      <c r="V323" s="3814"/>
      <c r="W323" s="3814"/>
      <c r="X323" s="3814"/>
      <c r="Y323" s="3814"/>
      <c r="Z323" s="3814"/>
      <c r="AA323" s="3814"/>
      <c r="AB323" s="3814"/>
      <c r="AC323" s="3814"/>
      <c r="AD323" s="3814"/>
      <c r="AE323" s="3814"/>
      <c r="AF323" s="3814"/>
      <c r="AG323" s="3814"/>
      <c r="AH323" s="3814"/>
      <c r="AI323" s="3814"/>
      <c r="AJ323" s="3814"/>
      <c r="AK323" s="3814"/>
      <c r="AL323" s="3814"/>
      <c r="AM323" s="3814"/>
      <c r="AN323" s="3814"/>
      <c r="AO323" s="3814"/>
      <c r="AP323" s="3814"/>
      <c r="AQ323" s="3814"/>
      <c r="AR323" s="3814"/>
      <c r="AS323" s="3814"/>
      <c r="AT323" s="3814"/>
      <c r="AU323" s="3814"/>
      <c r="AV323" s="3823"/>
      <c r="AW323" s="3897"/>
      <c r="AX323" s="3897" t="str">
        <f>IF(T323="","",T323)</f>
        <v>Добавить централизованную систему для дифференциации</v>
      </c>
      <c r="AY323" s="3897"/>
      <c r="AZ323" s="3897"/>
      <c r="BA323" s="3823">
        <v>0</v>
      </c>
    </row>
    <row s="11655" customFormat="1" customHeight="1" ht="21">
      <c r="A324" s="3885"/>
      <c r="B324" s="3885" t="s">
        <v>348</v>
      </c>
      <c r="C324" s="3885"/>
      <c r="D324" s="3885"/>
      <c r="E324" s="3886"/>
      <c r="F324" s="3887" t="s">
        <v>166</v>
      </c>
      <c r="G324" s="3885"/>
      <c r="H324" s="3885"/>
      <c r="I324" s="3885"/>
      <c r="J324" s="3885"/>
      <c r="K324" s="3885"/>
      <c r="L324" s="3888"/>
      <c r="M324" s="3889"/>
      <c r="N324" s="3889"/>
      <c r="O324" s="3889"/>
      <c r="P324" s="4008"/>
      <c r="Q324" s="3891"/>
      <c r="R324" s="3892"/>
      <c r="S324" s="3893" t="str">
        <f>INDEX(PT_DIFFERENTIATION_NUM_TER,MATCH(B324,PT_DIFFERENTIATION_TER_ID,0))</f>
        <v>1.19</v>
      </c>
      <c r="T324" s="4009" t="s">
        <v>552</v>
      </c>
      <c r="U324" s="3895"/>
      <c r="V324" s="3776"/>
      <c r="W324" s="3777"/>
      <c r="X324" s="3777"/>
      <c r="Y324" s="3777"/>
      <c r="Z324" s="3777"/>
      <c r="AA324" s="3777"/>
      <c r="AB324" s="3777"/>
      <c r="AC324" s="3778"/>
      <c r="AD324" s="3776" t="str">
        <f>INDEX(PT_DIFFERENTIATION_TER,MATCH(B324,PT_DIFFERENTIATION_TER_ID,0))</f>
        <v>Территория 19</v>
      </c>
      <c r="AE324" s="3777"/>
      <c r="AF324" s="3777"/>
      <c r="AG324" s="3777"/>
      <c r="AH324" s="3777"/>
      <c r="AI324" s="3777"/>
      <c r="AJ324" s="3777"/>
      <c r="AK324" s="3777"/>
      <c r="AL324" s="3776"/>
      <c r="AM324" s="3777"/>
      <c r="AN324" s="3777"/>
      <c r="AO324" s="3777"/>
      <c r="AP324" s="3777"/>
      <c r="AQ324" s="3777"/>
      <c r="AR324" s="3777"/>
      <c r="AS324" s="3778"/>
      <c r="AT324" s="3778"/>
      <c r="AU324" s="3896" t="s">
        <v>553</v>
      </c>
      <c r="AV324" s="3823"/>
      <c r="AW324" s="3897"/>
      <c r="AX324" s="3897" t="str">
        <f>IF(T324="","",T324)</f>
        <v>Территория действия тарифа</v>
      </c>
      <c r="AY324" s="3897"/>
      <c r="AZ324" s="3897"/>
      <c r="BA324" s="3775">
        <v>0</v>
      </c>
    </row>
    <row s="11656" customFormat="1" customHeight="1" ht="23.25">
      <c r="A325" s="3885"/>
      <c r="B325" s="3885"/>
      <c r="C325" s="3885" t="s">
        <v>349</v>
      </c>
      <c r="D325" s="3885"/>
      <c r="E325" s="3886"/>
      <c r="F325" s="3886" t="s">
        <v>175</v>
      </c>
      <c r="G325" s="3887">
        <v>1</v>
      </c>
      <c r="H325" s="3885"/>
      <c r="I325" s="3885"/>
      <c r="J325" s="3885"/>
      <c r="K325" s="3885"/>
      <c r="L325" s="3888"/>
      <c r="M325" s="3889"/>
      <c r="N325" s="3889"/>
      <c r="O325" s="3889"/>
      <c r="P325" s="3890"/>
      <c r="Q325" s="3891"/>
      <c r="R325" s="3892"/>
      <c r="S325" s="3893" t="str">
        <f>INDEX(PT_DIFFERENTIATION_NUM_CS,MATCH(C325,PT_DIFFERENTIATION_CS_ID,0))</f>
        <v>1.19.1</v>
      </c>
      <c r="T325" s="4011" t="s">
        <v>554</v>
      </c>
      <c r="U325" s="3895"/>
      <c r="V325" s="3776"/>
      <c r="W325" s="3777"/>
      <c r="X325" s="3777"/>
      <c r="Y325" s="3777"/>
      <c r="Z325" s="3777"/>
      <c r="AA325" s="3777"/>
      <c r="AB325" s="3777"/>
      <c r="AC325" s="3778"/>
      <c r="AD325" s="3776" t="str">
        <f>INDEX(PT_DIFFERENTIATION_CS,MATCH(C325,PT_DIFFERENTIATION_CS_ID,0))</f>
        <v>без дифференциации</v>
      </c>
      <c r="AE325" s="3777"/>
      <c r="AF325" s="3777"/>
      <c r="AG325" s="3777"/>
      <c r="AH325" s="3777"/>
      <c r="AI325" s="3777"/>
      <c r="AJ325" s="3777"/>
      <c r="AK325" s="3777"/>
      <c r="AL325" s="3776"/>
      <c r="AM325" s="3777"/>
      <c r="AN325" s="3777"/>
      <c r="AO325" s="3777"/>
      <c r="AP325" s="3777"/>
      <c r="AQ325" s="3777"/>
      <c r="AR325" s="3777"/>
      <c r="AS325" s="3778"/>
      <c r="AT325" s="3778"/>
      <c r="AU325" s="3896" t="s">
        <v>555</v>
      </c>
      <c r="AV325" s="3823"/>
      <c r="AW325" s="3897"/>
      <c r="AX325" s="3897" t="str">
        <f>IF(T325="","",T325)</f>
        <v>Наименование системы теплоснабжения </v>
      </c>
      <c r="AY325" s="3897"/>
      <c r="AZ325" s="3897"/>
      <c r="BA325" s="3775">
        <v>0</v>
      </c>
    </row>
    <row s="11657" customFormat="1" customHeight="1" ht="21">
      <c r="A326" s="3885"/>
      <c r="B326" s="3885"/>
      <c r="C326" s="3885"/>
      <c r="D326" s="3885" t="s">
        <v>350</v>
      </c>
      <c r="E326" s="3886"/>
      <c r="F326" s="3886" t="s">
        <v>175</v>
      </c>
      <c r="G326" s="3886"/>
      <c r="H326" s="3887">
        <v>1</v>
      </c>
      <c r="I326" s="3885"/>
      <c r="J326" s="3885"/>
      <c r="K326" s="3885"/>
      <c r="L326" s="3888"/>
      <c r="M326" s="3889"/>
      <c r="N326" s="3889"/>
      <c r="O326" s="3889"/>
      <c r="P326" s="3890"/>
      <c r="Q326" s="3891"/>
      <c r="R326" s="3892"/>
      <c r="S326" s="3893" t="str">
        <f>INDEX(PT_DIFFERENTIATION_NUM_IST_TE,MATCH(D326,PT_DIFFERENTIATION_IST_TE_ID,0))</f>
        <v>1.19.1.1</v>
      </c>
      <c r="T326" s="3894" t="s">
        <v>556</v>
      </c>
      <c r="U326" s="3895"/>
      <c r="V326" s="3776"/>
      <c r="W326" s="3777"/>
      <c r="X326" s="3777"/>
      <c r="Y326" s="3777"/>
      <c r="Z326" s="3777"/>
      <c r="AA326" s="3777"/>
      <c r="AB326" s="3777"/>
      <c r="AC326" s="3778"/>
      <c r="AD326" s="3776" t="str">
        <f>INDEX(PT_DIFFERENTIATION_IST_TE,MATCH(D326,PT_DIFFERENTIATION_IST_TE_ID,0))</f>
        <v>без дифференциации</v>
      </c>
      <c r="AE326" s="3777"/>
      <c r="AF326" s="3777"/>
      <c r="AG326" s="3777"/>
      <c r="AH326" s="3777"/>
      <c r="AI326" s="3777"/>
      <c r="AJ326" s="3777"/>
      <c r="AK326" s="3777"/>
      <c r="AL326" s="3776"/>
      <c r="AM326" s="3777"/>
      <c r="AN326" s="3777"/>
      <c r="AO326" s="3777"/>
      <c r="AP326" s="3777"/>
      <c r="AQ326" s="3777"/>
      <c r="AR326" s="3777"/>
      <c r="AS326" s="3778"/>
      <c r="AT326" s="3778"/>
      <c r="AU326" s="3896" t="s">
        <v>557</v>
      </c>
      <c r="AV326" s="3823"/>
      <c r="AW326" s="3897"/>
      <c r="AX326" s="3897" t="str">
        <f>IF(T326="","",T326)</f>
        <v>Источник тепловой энергии  </v>
      </c>
      <c r="AY326" s="3897"/>
      <c r="AZ326" s="3897"/>
      <c r="BA326" s="3775">
        <v>0</v>
      </c>
    </row>
    <row s="11658" customFormat="1" customHeight="1" ht="47.25">
      <c r="A327" s="3885"/>
      <c r="B327" s="3885"/>
      <c r="C327" s="3885"/>
      <c r="D327" s="3885"/>
      <c r="E327" s="3886"/>
      <c r="F327" s="3886" t="s">
        <v>175</v>
      </c>
      <c r="G327" s="3886"/>
      <c r="H327" s="3886"/>
      <c r="I327" s="3899" t="str">
        <f>S326&amp;".1"</f>
        <v>1.19.1.1.1</v>
      </c>
      <c r="J327" s="3885"/>
      <c r="K327" s="3885"/>
      <c r="L327" s="3888" t="s">
        <v>558</v>
      </c>
      <c r="M327" s="3815"/>
      <c r="N327" s="3900"/>
      <c r="O327" s="3900"/>
      <c r="P327" s="3901">
        <v>1</v>
      </c>
      <c r="Q327" s="3901"/>
      <c r="R327" s="3902"/>
      <c r="S327" s="3893" t="str">
        <f>$I327</f>
        <v>1.19.1.1.1</v>
      </c>
      <c r="T327" s="3903" t="s">
        <v>559</v>
      </c>
      <c r="U327" s="3895"/>
      <c r="V327" s="3779"/>
      <c r="W327" s="3780"/>
      <c r="X327" s="3780"/>
      <c r="Y327" s="3780"/>
      <c r="Z327" s="3780"/>
      <c r="AA327" s="3780"/>
      <c r="AB327" s="3780"/>
      <c r="AC327" s="3781"/>
      <c r="AD327" s="3779" t="s">
        <v>601</v>
      </c>
      <c r="AE327" s="3780"/>
      <c r="AF327" s="3780"/>
      <c r="AG327" s="3780"/>
      <c r="AH327" s="3780"/>
      <c r="AI327" s="3780"/>
      <c r="AJ327" s="3780"/>
      <c r="AK327" s="3780"/>
      <c r="AL327" s="3779"/>
      <c r="AM327" s="3780"/>
      <c r="AN327" s="3780"/>
      <c r="AO327" s="3780"/>
      <c r="AP327" s="3780"/>
      <c r="AQ327" s="3780"/>
      <c r="AR327" s="3780"/>
      <c r="AS327" s="3781"/>
      <c r="AT327" s="3781"/>
      <c r="AU327" s="3896" t="s">
        <v>560</v>
      </c>
      <c r="AV327" s="3823"/>
      <c r="AW327" s="3897"/>
      <c r="AX327" s="3897" t="str">
        <f>IF(T327="","",T327)</f>
        <v>Схема подключения теплопотребляющей установки к коллектору источника тепловой энергии</v>
      </c>
      <c r="AY327" s="3897"/>
      <c r="AZ327" s="3897"/>
      <c r="BA327" s="3775">
        <v>0</v>
      </c>
    </row>
    <row s="11659" customFormat="1" customHeight="1" ht="21">
      <c r="A328" s="3885"/>
      <c r="B328" s="3885"/>
      <c r="C328" s="3885"/>
      <c r="D328" s="3885"/>
      <c r="E328" s="3886"/>
      <c r="F328" s="3886" t="s">
        <v>175</v>
      </c>
      <c r="G328" s="3886"/>
      <c r="H328" s="3886"/>
      <c r="I328" s="3905"/>
      <c r="J328" s="3899" t="str">
        <f>I327&amp;".1"</f>
        <v>1.19.1.1.1.1</v>
      </c>
      <c r="K328" s="3885"/>
      <c r="L328" s="3888" t="s">
        <v>561</v>
      </c>
      <c r="M328" s="3815"/>
      <c r="N328" s="3815"/>
      <c r="O328" s="3900"/>
      <c r="P328" s="3901"/>
      <c r="Q328" s="3901">
        <v>1</v>
      </c>
      <c r="R328" s="3906"/>
      <c r="S328" s="3893" t="str">
        <f>$J328</f>
        <v>1.19.1.1.1.1</v>
      </c>
      <c r="T328" s="3907" t="s">
        <v>562</v>
      </c>
      <c r="U328" s="3895"/>
      <c r="V328" s="3779"/>
      <c r="W328" s="3780"/>
      <c r="X328" s="3780"/>
      <c r="Y328" s="3780"/>
      <c r="Z328" s="3780"/>
      <c r="AA328" s="3780"/>
      <c r="AB328" s="3780"/>
      <c r="AC328" s="3781"/>
      <c r="AD328" s="3779" t="s">
        <v>602</v>
      </c>
      <c r="AE328" s="3780"/>
      <c r="AF328" s="3780"/>
      <c r="AG328" s="3780"/>
      <c r="AH328" s="3780"/>
      <c r="AI328" s="3780"/>
      <c r="AJ328" s="3780"/>
      <c r="AK328" s="3780"/>
      <c r="AL328" s="3779"/>
      <c r="AM328" s="3780"/>
      <c r="AN328" s="3780"/>
      <c r="AO328" s="3780"/>
      <c r="AP328" s="3780"/>
      <c r="AQ328" s="3780"/>
      <c r="AR328" s="3780"/>
      <c r="AS328" s="3781"/>
      <c r="AT328" s="3781"/>
      <c r="AU328" s="3896" t="s">
        <v>563</v>
      </c>
      <c r="AV328" s="3823"/>
      <c r="AW328" s="3897"/>
      <c r="AX328" s="3897" t="str">
        <f>IF(T328="","",T328)</f>
        <v>Группа потребителей</v>
      </c>
      <c r="AY328" s="3897"/>
      <c r="AZ328" s="3897"/>
      <c r="BA328" s="3775">
        <v>0</v>
      </c>
    </row>
    <row s="11660" customFormat="1" customHeight="1" ht="21">
      <c r="A329" s="3885"/>
      <c r="B329" s="3885"/>
      <c r="C329" s="3885"/>
      <c r="D329" s="3885"/>
      <c r="E329" s="3886"/>
      <c r="F329" s="3886" t="s">
        <v>175</v>
      </c>
      <c r="G329" s="3886"/>
      <c r="H329" s="3886"/>
      <c r="I329" s="3905"/>
      <c r="J329" s="3905"/>
      <c r="K329" s="3899" t="str">
        <f>J328&amp;".1"</f>
        <v>1.19.1.1.1.1.1</v>
      </c>
      <c r="L329" s="3888" t="s">
        <v>564</v>
      </c>
      <c r="M329" s="3815"/>
      <c r="N329" s="3815"/>
      <c r="O329" s="3815"/>
      <c r="P329" s="3901"/>
      <c r="Q329" s="3901"/>
      <c r="R329" s="3906">
        <v>1</v>
      </c>
      <c r="S329" s="3893" t="str">
        <f>$K329</f>
        <v>1.19.1.1.1.1.1</v>
      </c>
      <c r="T329" s="3909" t="s">
        <v>603</v>
      </c>
      <c r="U329" s="3895"/>
      <c r="V329" s="3855"/>
      <c r="W329" s="3855"/>
      <c r="X329" s="3855"/>
      <c r="Y329" s="3856"/>
      <c r="Z329" s="3857"/>
      <c r="AA329" s="3858" t="s">
        <v>63</v>
      </c>
      <c r="AB329" s="3857"/>
      <c r="AC329" s="3858" t="s">
        <v>63</v>
      </c>
      <c r="AD329" s="3783"/>
      <c r="AE329" s="3784">
        <v>705.55</v>
      </c>
      <c r="AF329" s="3783"/>
      <c r="AG329" s="3785"/>
      <c r="AH329" s="3786">
        <v>45658</v>
      </c>
      <c r="AI329" s="3191" t="s">
        <v>63</v>
      </c>
      <c r="AJ329" s="3786">
        <v>46022</v>
      </c>
      <c r="AK329" s="3191" t="s">
        <v>19</v>
      </c>
      <c r="AL329" s="3855"/>
      <c r="AM329" s="3855"/>
      <c r="AN329" s="3855"/>
      <c r="AO329" s="3856"/>
      <c r="AP329" s="3857"/>
      <c r="AQ329" s="3858" t="s">
        <v>63</v>
      </c>
      <c r="AR329" s="3857"/>
      <c r="AS329" s="3858" t="s">
        <v>63</v>
      </c>
      <c r="AT329" s="3783"/>
      <c r="AU329" s="3910" t="s">
        <v>565</v>
      </c>
      <c r="AV329" s="3823">
        <f>STRCHECKDATE(V330:AT330)</f>
      </c>
      <c r="AW329" s="3897"/>
      <c r="AX329" s="3897" t="str">
        <f>IF(T329="","",T329)</f>
        <v>вода</v>
      </c>
      <c r="AY329" s="3897"/>
      <c r="AZ329" s="3897"/>
      <c r="BA329" s="3775">
        <v>0</v>
      </c>
    </row>
    <row s="11661" customFormat="1" customHeight="1" ht="0.75">
      <c r="A330" s="3885"/>
      <c r="B330" s="3885"/>
      <c r="C330" s="3885"/>
      <c r="D330" s="3885"/>
      <c r="E330" s="3886"/>
      <c r="F330" s="3886" t="s">
        <v>175</v>
      </c>
      <c r="G330" s="3886"/>
      <c r="H330" s="3886"/>
      <c r="I330" s="3905"/>
      <c r="J330" s="3905"/>
      <c r="K330" s="3899"/>
      <c r="L330" s="3888"/>
      <c r="M330" s="3815"/>
      <c r="N330" s="3815"/>
      <c r="O330" s="3815"/>
      <c r="P330" s="3901"/>
      <c r="Q330" s="3901"/>
      <c r="R330" s="3906"/>
      <c r="S330" s="3912"/>
      <c r="T330" s="3895"/>
      <c r="U330" s="3895"/>
      <c r="V330" s="3855"/>
      <c r="W330" s="3855"/>
      <c r="X330" s="3855"/>
      <c r="Y330" s="3787" t="str">
        <f>Z329&amp;"-"&amp;AB329</f>
        <v>-</v>
      </c>
      <c r="Z330" s="3858"/>
      <c r="AA330" s="3858"/>
      <c r="AB330" s="3858"/>
      <c r="AC330" s="3858"/>
      <c r="AD330" s="3783"/>
      <c r="AE330" s="3783"/>
      <c r="AF330" s="3783"/>
      <c r="AG330" s="3787" t="str">
        <f>AH329&amp;"-"&amp;AJ329</f>
        <v>45658-46022</v>
      </c>
      <c r="AH330" s="3788"/>
      <c r="AI330" s="3191"/>
      <c r="AJ330" s="3788"/>
      <c r="AK330" s="3191"/>
      <c r="AL330" s="3855"/>
      <c r="AM330" s="3855"/>
      <c r="AN330" s="3855"/>
      <c r="AO330" s="3787" t="str">
        <f>AP329&amp;"-"&amp;AR329</f>
        <v>-</v>
      </c>
      <c r="AP330" s="3858"/>
      <c r="AQ330" s="3858"/>
      <c r="AR330" s="3858"/>
      <c r="AS330" s="3858"/>
      <c r="AT330" s="3783"/>
      <c r="AU330" s="3913"/>
      <c r="AV330" s="3823"/>
      <c r="AW330" s="3897"/>
      <c r="AX330" s="3897" t="str">
        <f>IF(T330="","",T330)</f>
        <v/>
      </c>
      <c r="AY330" s="3897"/>
      <c r="AZ330" s="3897"/>
      <c r="BA330" s="3775">
        <v>0</v>
      </c>
    </row>
    <row s="11662" customFormat="1" customHeight="1" ht="15">
      <c r="A331" s="3885"/>
      <c r="B331" s="3885"/>
      <c r="C331" s="3885"/>
      <c r="D331" s="3885"/>
      <c r="E331" s="3886"/>
      <c r="F331" s="3886" t="s">
        <v>175</v>
      </c>
      <c r="G331" s="3886"/>
      <c r="H331" s="3886"/>
      <c r="I331" s="3905"/>
      <c r="J331" s="3899"/>
      <c r="K331" s="3885"/>
      <c r="L331" s="3888"/>
      <c r="M331" s="3815"/>
      <c r="N331" s="3815"/>
      <c r="O331" s="3900"/>
      <c r="P331" s="3901"/>
      <c r="Q331" s="3901"/>
      <c r="R331" s="3902"/>
      <c r="S331" s="6352"/>
      <c r="T331" s="6353" t="s">
        <v>566</v>
      </c>
      <c r="U331" s="6354"/>
      <c r="V331" s="6355"/>
      <c r="W331" s="6356"/>
      <c r="X331" s="6357"/>
      <c r="Y331" s="6358"/>
      <c r="Z331" s="6359"/>
      <c r="AA331" s="6360"/>
      <c r="AB331" s="6361"/>
      <c r="AC331" s="6362"/>
      <c r="AD331" s="6363"/>
      <c r="AE331" s="6364"/>
      <c r="AF331" s="6365"/>
      <c r="AG331" s="6366"/>
      <c r="AH331" s="6367"/>
      <c r="AI331" s="6368"/>
      <c r="AJ331" s="6369"/>
      <c r="AK331" s="6370"/>
      <c r="AL331" s="6371"/>
      <c r="AM331" s="6372"/>
      <c r="AN331" s="6373"/>
      <c r="AO331" s="6374"/>
      <c r="AP331" s="6375"/>
      <c r="AQ331" s="6376"/>
      <c r="AR331" s="6377"/>
      <c r="AS331" s="6378"/>
      <c r="AT331" s="6379"/>
      <c r="AU331" s="3943"/>
      <c r="AV331" s="3823"/>
      <c r="AW331" s="3897"/>
      <c r="AX331" s="3897" t="str">
        <f>IF(T331="","",T331)</f>
        <v>Добавить вид теплоносителя (параметры теплоносителя)</v>
      </c>
      <c r="AY331" s="3897"/>
      <c r="AZ331" s="3897"/>
      <c r="BA331" s="3775">
        <v>0</v>
      </c>
    </row>
    <row s="11691" customFormat="1" customHeight="1" ht="15">
      <c r="A332" s="3885"/>
      <c r="B332" s="3885"/>
      <c r="C332" s="3885"/>
      <c r="D332" s="3885"/>
      <c r="E332" s="3886"/>
      <c r="F332" s="3886" t="s">
        <v>175</v>
      </c>
      <c r="G332" s="3886"/>
      <c r="H332" s="3886"/>
      <c r="I332" s="3899"/>
      <c r="J332" s="3885"/>
      <c r="K332" s="3885"/>
      <c r="L332" s="3888"/>
      <c r="M332" s="3815"/>
      <c r="N332" s="3900"/>
      <c r="O332" s="3900"/>
      <c r="P332" s="3901"/>
      <c r="Q332" s="3901"/>
      <c r="R332" s="3902"/>
      <c r="S332" s="6381"/>
      <c r="T332" s="6382" t="s">
        <v>567</v>
      </c>
      <c r="U332" s="6383"/>
      <c r="V332" s="6384"/>
      <c r="W332" s="6385"/>
      <c r="X332" s="6386"/>
      <c r="Y332" s="6387"/>
      <c r="Z332" s="6388"/>
      <c r="AA332" s="6389"/>
      <c r="AB332" s="6390"/>
      <c r="AC332" s="6391"/>
      <c r="AD332" s="6392"/>
      <c r="AE332" s="6393"/>
      <c r="AF332" s="6394"/>
      <c r="AG332" s="6395"/>
      <c r="AH332" s="6396"/>
      <c r="AI332" s="6397"/>
      <c r="AJ332" s="6398"/>
      <c r="AK332" s="6399"/>
      <c r="AL332" s="6400"/>
      <c r="AM332" s="6401"/>
      <c r="AN332" s="6402"/>
      <c r="AO332" s="6403"/>
      <c r="AP332" s="6404"/>
      <c r="AQ332" s="6405"/>
      <c r="AR332" s="6406"/>
      <c r="AS332" s="6407"/>
      <c r="AT332" s="6408"/>
      <c r="AU332" s="6409"/>
      <c r="AV332" s="3823"/>
      <c r="AW332" s="3897"/>
      <c r="AX332" s="3897" t="str">
        <f>IF(T332="","",T332)</f>
        <v>Добавить группу потребителей</v>
      </c>
      <c r="AY332" s="3897"/>
      <c r="AZ332" s="3897"/>
      <c r="BA332" s="3775">
        <v>0</v>
      </c>
    </row>
    <row s="11721" customFormat="1" customHeight="1" ht="14.25">
      <c r="A333" s="3885"/>
      <c r="B333" s="3885"/>
      <c r="C333" s="3885"/>
      <c r="D333" s="3885"/>
      <c r="E333" s="3886"/>
      <c r="F333" s="3886" t="s">
        <v>175</v>
      </c>
      <c r="G333" s="3886"/>
      <c r="H333" s="3887"/>
      <c r="I333" s="3885"/>
      <c r="J333" s="3885"/>
      <c r="K333" s="3885"/>
      <c r="L333" s="3888"/>
      <c r="M333" s="3889"/>
      <c r="N333" s="3889"/>
      <c r="O333" s="3815"/>
      <c r="P333" s="3975"/>
      <c r="Q333" s="3976"/>
      <c r="R333" s="3977"/>
      <c r="S333" s="6411"/>
      <c r="T333" s="6412" t="s">
        <v>568</v>
      </c>
      <c r="U333" s="6413"/>
      <c r="V333" s="6414"/>
      <c r="W333" s="6415"/>
      <c r="X333" s="6416"/>
      <c r="Y333" s="6417"/>
      <c r="Z333" s="6418"/>
      <c r="AA333" s="6419"/>
      <c r="AB333" s="6420"/>
      <c r="AC333" s="6421"/>
      <c r="AD333" s="6422"/>
      <c r="AE333" s="6423"/>
      <c r="AF333" s="6424"/>
      <c r="AG333" s="6425"/>
      <c r="AH333" s="6426"/>
      <c r="AI333" s="6427"/>
      <c r="AJ333" s="6428"/>
      <c r="AK333" s="6429"/>
      <c r="AL333" s="6430"/>
      <c r="AM333" s="6431"/>
      <c r="AN333" s="6432"/>
      <c r="AO333" s="6433"/>
      <c r="AP333" s="6434"/>
      <c r="AQ333" s="6435"/>
      <c r="AR333" s="6436"/>
      <c r="AS333" s="6437"/>
      <c r="AT333" s="6438"/>
      <c r="AU333" s="6439"/>
      <c r="AV333" s="3823"/>
      <c r="AW333" s="3897"/>
      <c r="AX333" s="3897" t="str">
        <f>IF(T333="","",T333)</f>
        <v>Добавить схему подключения</v>
      </c>
      <c r="AY333" s="3897"/>
      <c r="AZ333" s="3897"/>
      <c r="BA333" s="3775">
        <v>0</v>
      </c>
    </row>
    <row s="11751" customFormat="1" customHeight="1" ht="0.75">
      <c r="A334" s="4107"/>
      <c r="B334" s="4107"/>
      <c r="C334" s="4107"/>
      <c r="D334" s="4107"/>
      <c r="E334" s="3886"/>
      <c r="F334" s="3886" t="s">
        <v>175</v>
      </c>
      <c r="G334" s="3887"/>
      <c r="H334" s="4107"/>
      <c r="I334" s="4107"/>
      <c r="J334" s="4107"/>
      <c r="K334" s="4107"/>
      <c r="L334" s="4108"/>
      <c r="M334" s="4109"/>
      <c r="N334" s="4109"/>
      <c r="O334" s="3823"/>
      <c r="P334" s="4110"/>
      <c r="Q334" s="4111"/>
      <c r="R334" s="4110"/>
      <c r="S334" s="4112"/>
      <c r="T334" s="4113" t="s">
        <v>273</v>
      </c>
      <c r="U334" s="3813"/>
      <c r="V334" s="3813"/>
      <c r="W334" s="3813"/>
      <c r="X334" s="3813"/>
      <c r="Y334" s="3813"/>
      <c r="Z334" s="3813"/>
      <c r="AA334" s="3813"/>
      <c r="AB334" s="3813"/>
      <c r="AC334" s="3813"/>
      <c r="AD334" s="3813"/>
      <c r="AE334" s="3813"/>
      <c r="AF334" s="3813"/>
      <c r="AG334" s="3813"/>
      <c r="AH334" s="3813"/>
      <c r="AI334" s="3813"/>
      <c r="AJ334" s="3813"/>
      <c r="AK334" s="3813"/>
      <c r="AL334" s="3813"/>
      <c r="AM334" s="3813"/>
      <c r="AN334" s="3813"/>
      <c r="AO334" s="3813"/>
      <c r="AP334" s="3813"/>
      <c r="AQ334" s="3813"/>
      <c r="AR334" s="3813"/>
      <c r="AS334" s="3813"/>
      <c r="AT334" s="3813"/>
      <c r="AU334" s="3813"/>
      <c r="AV334" s="3823"/>
      <c r="AW334" s="3897"/>
      <c r="AX334" s="3897" t="str">
        <f>IF(T334="","",T334)</f>
        <v>Добавить источник для дифференциации</v>
      </c>
      <c r="AY334" s="3897"/>
      <c r="AZ334" s="3897"/>
      <c r="BA334" s="3823">
        <v>0</v>
      </c>
    </row>
    <row s="11752" customFormat="1" customHeight="1" ht="0.75">
      <c r="A335" s="4107"/>
      <c r="B335" s="4107"/>
      <c r="C335" s="4107"/>
      <c r="D335" s="4107"/>
      <c r="E335" s="3886"/>
      <c r="F335" s="3887" t="s">
        <v>175</v>
      </c>
      <c r="G335" s="4107"/>
      <c r="H335" s="4107"/>
      <c r="I335" s="4107"/>
      <c r="J335" s="4107"/>
      <c r="K335" s="4107"/>
      <c r="L335" s="4108"/>
      <c r="M335" s="4115"/>
      <c r="N335" s="4115"/>
      <c r="O335" s="3823"/>
      <c r="P335" s="4110"/>
      <c r="Q335" s="4111"/>
      <c r="R335" s="4110"/>
      <c r="S335" s="4116"/>
      <c r="T335" s="4117" t="s">
        <v>274</v>
      </c>
      <c r="U335" s="3814"/>
      <c r="V335" s="3814"/>
      <c r="W335" s="3814"/>
      <c r="X335" s="3814"/>
      <c r="Y335" s="3814"/>
      <c r="Z335" s="3814"/>
      <c r="AA335" s="3814"/>
      <c r="AB335" s="3814"/>
      <c r="AC335" s="3814"/>
      <c r="AD335" s="3814"/>
      <c r="AE335" s="3814"/>
      <c r="AF335" s="3814"/>
      <c r="AG335" s="3814"/>
      <c r="AH335" s="3814"/>
      <c r="AI335" s="3814"/>
      <c r="AJ335" s="3814"/>
      <c r="AK335" s="3814"/>
      <c r="AL335" s="3814"/>
      <c r="AM335" s="3814"/>
      <c r="AN335" s="3814"/>
      <c r="AO335" s="3814"/>
      <c r="AP335" s="3814"/>
      <c r="AQ335" s="3814"/>
      <c r="AR335" s="3814"/>
      <c r="AS335" s="3814"/>
      <c r="AT335" s="3814"/>
      <c r="AU335" s="3814"/>
      <c r="AV335" s="3823"/>
      <c r="AW335" s="3897"/>
      <c r="AX335" s="3897" t="str">
        <f>IF(T335="","",T335)</f>
        <v>Добавить централизованную систему для дифференциации</v>
      </c>
      <c r="AY335" s="3897"/>
      <c r="AZ335" s="3897"/>
      <c r="BA335" s="3823">
        <v>0</v>
      </c>
    </row>
    <row s="8192" customFormat="1" customHeight="1" ht="1.05">
      <c r="A336" s="1456" t="s">
        <v>267</v>
      </c>
      <c r="B336" s="1456"/>
      <c r="C336" s="1456"/>
      <c r="D336" s="1456"/>
      <c r="E336" s="2371"/>
      <c r="F336" s="1456"/>
      <c r="G336" s="1456"/>
      <c r="H336" s="1456"/>
      <c r="I336" s="1456"/>
      <c r="J336" s="1456"/>
      <c r="K336" s="1456"/>
      <c r="L336" s="1459"/>
      <c r="M336" s="1434"/>
      <c r="N336" s="1434"/>
      <c r="O336" s="631"/>
      <c r="P336" s="493"/>
      <c r="Q336" s="1457"/>
      <c r="R336" s="493"/>
      <c r="S336" s="1435"/>
      <c r="T336" s="1438" t="s">
        <v>351</v>
      </c>
      <c r="U336" s="1437"/>
      <c r="V336" s="1437"/>
      <c r="W336" s="1437"/>
      <c r="X336" s="1437"/>
      <c r="Y336" s="1437"/>
      <c r="Z336" s="1437"/>
      <c r="AA336" s="1437"/>
      <c r="AB336" s="1437"/>
      <c r="AC336" s="1437"/>
      <c r="AD336" s="1437"/>
      <c r="AE336" s="1437"/>
      <c r="AF336" s="1437"/>
      <c r="AG336" s="1437"/>
      <c r="AH336" s="1437"/>
      <c r="AI336" s="1437"/>
      <c r="AJ336" s="1437"/>
      <c r="AK336" s="1437"/>
      <c r="AL336" s="3814"/>
      <c r="AM336" s="3814"/>
      <c r="AN336" s="3814"/>
      <c r="AO336" s="3814"/>
      <c r="AP336" s="3814"/>
      <c r="AQ336" s="3814"/>
      <c r="AR336" s="3814"/>
      <c r="AS336" s="3814"/>
      <c r="AT336" s="1437"/>
      <c r="AU336" s="1437"/>
      <c r="AW336" s="613"/>
      <c r="AX336" s="613" t="str">
        <f>IF(T336="","",T336)</f>
        <v>Добавить территорию для дифференциации</v>
      </c>
      <c r="AY336" s="613"/>
      <c r="AZ336" s="613"/>
      <c r="BA336" s="624">
        <v>1</v>
      </c>
    </row>
    <row s="8192" customFormat="1" customHeight="1" ht="1.05">
      <c r="A337" s="1427"/>
      <c r="B337" s="1427"/>
      <c r="C337" s="1427"/>
      <c r="D337" s="1427"/>
      <c r="E337" s="1456"/>
      <c r="F337" s="1427"/>
      <c r="G337" s="1427"/>
      <c r="H337" s="1427"/>
      <c r="I337" s="1427"/>
      <c r="J337" s="1427"/>
      <c r="K337" s="1427"/>
      <c r="L337" s="1452"/>
      <c r="M337" s="1434"/>
      <c r="N337" s="1434"/>
      <c r="P337" s="1429"/>
      <c r="Q337" s="1430"/>
      <c r="R337" s="1429"/>
      <c r="S337" s="1435"/>
      <c r="T337" s="1438" t="s">
        <v>352</v>
      </c>
      <c r="U337" s="1437"/>
      <c r="V337" s="1437"/>
      <c r="W337" s="1437"/>
      <c r="X337" s="1437"/>
      <c r="Y337" s="1437"/>
      <c r="Z337" s="1437"/>
      <c r="AA337" s="1437"/>
      <c r="AB337" s="1437"/>
      <c r="AC337" s="1437"/>
      <c r="AD337" s="1437"/>
      <c r="AE337" s="1437"/>
      <c r="AF337" s="1437"/>
      <c r="AG337" s="1437"/>
      <c r="AH337" s="1437"/>
      <c r="AI337" s="1437"/>
      <c r="AJ337" s="1437"/>
      <c r="AK337" s="1437"/>
      <c r="AL337" s="3814"/>
      <c r="AM337" s="3814"/>
      <c r="AN337" s="3814"/>
      <c r="AO337" s="3814"/>
      <c r="AP337" s="3814"/>
      <c r="AQ337" s="3814"/>
      <c r="AR337" s="3814"/>
      <c r="AS337" s="3814"/>
      <c r="AT337" s="1437"/>
      <c r="AU337" s="1437"/>
      <c r="AW337" s="902"/>
      <c r="AX337" s="902" t="str">
        <f>IF(T337="","",T337)</f>
        <v>Добавить наименование тарифа</v>
      </c>
      <c r="AY337" s="902"/>
      <c r="AZ337" s="902"/>
      <c r="BA337" s="631">
        <v>1</v>
      </c>
    </row>
    <row customHeight="1" ht="11.549999999999999">
      <c r="M338" s="1273"/>
      <c r="N338" s="1273"/>
      <c r="O338" s="650"/>
      <c r="P338" s="1268"/>
      <c r="Q338" s="1268"/>
      <c r="R338" s="1268"/>
      <c r="S338" s="1268"/>
      <c r="AL338" s="3775"/>
      <c r="AM338" s="3775"/>
      <c r="AN338" s="3775"/>
      <c r="AO338" s="3775"/>
      <c r="AP338" s="3775"/>
      <c r="AQ338" s="3775"/>
      <c r="AR338" s="3775"/>
      <c r="AS338" s="3775"/>
      <c r="AV338" s="1268"/>
      <c r="AW338" s="1268"/>
      <c r="AX338" s="1268"/>
      <c r="AY338" s="1268"/>
      <c r="AZ338" s="1268"/>
      <c r="BA338" s="1268">
        <v>11</v>
      </c>
    </row>
    <row customHeight="1" ht="28.5">
      <c r="O339" s="650"/>
      <c r="S339" s="1366"/>
      <c r="T339" s="2398"/>
      <c r="U339" s="2398"/>
      <c r="V339" s="2398"/>
      <c r="W339" s="2398"/>
      <c r="X339" s="2398"/>
      <c r="Y339" s="2398"/>
      <c r="Z339" s="2398"/>
      <c r="AA339" s="2398"/>
      <c r="AB339" s="2398"/>
      <c r="AC339" s="2398"/>
      <c r="AD339" s="2398"/>
      <c r="AE339" s="2398"/>
      <c r="AF339" s="2398"/>
      <c r="AG339" s="2398"/>
      <c r="AH339" s="2398"/>
      <c r="AI339" s="2398"/>
      <c r="AJ339" s="2398"/>
      <c r="AK339" s="2398"/>
      <c r="AL339" s="6442"/>
      <c r="AM339" s="6442"/>
      <c r="AN339" s="6442"/>
      <c r="AO339" s="6442"/>
      <c r="AP339" s="6442"/>
      <c r="AQ339" s="6442"/>
      <c r="AR339" s="6442"/>
      <c r="AS339" s="6442"/>
      <c r="AT339" s="2398"/>
      <c r="AU339" s="2398"/>
      <c r="BA339" s="1268">
        <v>27</v>
      </c>
    </row>
    <row customHeight="1" ht="78.75">
      <c r="O340" s="650"/>
      <c r="T340" s="2398"/>
      <c r="U340" s="2398"/>
      <c r="V340" s="2398"/>
      <c r="W340" s="2398"/>
      <c r="X340" s="2398"/>
      <c r="Y340" s="2398"/>
      <c r="Z340" s="2398"/>
      <c r="AA340" s="2398"/>
      <c r="AB340" s="2398"/>
      <c r="AC340" s="2398"/>
      <c r="AD340" s="2398"/>
      <c r="AE340" s="2398"/>
      <c r="AF340" s="2398"/>
      <c r="AG340" s="2398"/>
      <c r="AH340" s="2398"/>
      <c r="AI340" s="2398"/>
      <c r="AJ340" s="2398"/>
      <c r="AK340" s="2398"/>
      <c r="AL340" s="6442"/>
      <c r="AM340" s="6442"/>
      <c r="AN340" s="6442"/>
      <c r="AO340" s="6442"/>
      <c r="AP340" s="6442"/>
      <c r="AQ340" s="6442"/>
      <c r="AR340" s="6442"/>
      <c r="AS340" s="6442"/>
      <c r="AT340" s="2398"/>
      <c r="AU340" s="2398"/>
      <c r="BA340" s="1268">
        <v>75</v>
      </c>
    </row>
    <row customHeight="1" ht="14.699999999999998">
      <c r="O341" s="650"/>
      <c r="AL341" s="3775"/>
      <c r="AM341" s="3775"/>
      <c r="AN341" s="3775"/>
      <c r="AO341" s="3775"/>
      <c r="AP341" s="3775"/>
      <c r="AQ341" s="3775"/>
      <c r="AR341" s="3775"/>
      <c r="AS341" s="3775"/>
      <c r="BA341" s="1268">
        <v>14</v>
      </c>
    </row>
    <row customHeight="1" ht="18.75">
      <c r="O342" s="650"/>
      <c r="S342" s="1366"/>
      <c r="T342" s="2398"/>
      <c r="U342" s="2398"/>
      <c r="V342" s="2398"/>
      <c r="W342" s="2398"/>
      <c r="X342" s="2398"/>
      <c r="Y342" s="2398"/>
      <c r="Z342" s="2398"/>
      <c r="AA342" s="2398"/>
      <c r="AB342" s="2398"/>
      <c r="AC342" s="2398"/>
      <c r="AD342" s="2398"/>
      <c r="AE342" s="2398"/>
      <c r="AF342" s="2398"/>
      <c r="AG342" s="2398"/>
      <c r="AH342" s="2398"/>
      <c r="AI342" s="2398"/>
      <c r="AJ342" s="2398"/>
      <c r="AK342" s="2398"/>
      <c r="AL342" s="6442"/>
      <c r="AM342" s="6442"/>
      <c r="AN342" s="6442"/>
      <c r="AO342" s="6442"/>
      <c r="AP342" s="6442"/>
      <c r="AQ342" s="6442"/>
      <c r="AR342" s="6442"/>
      <c r="AS342" s="6442"/>
      <c r="AT342" s="2398"/>
      <c r="AU342" s="2398"/>
      <c r="BA342" s="1268">
        <v>18</v>
      </c>
    </row>
    <row customHeight="1" ht="18.75">
      <c r="O343" s="650"/>
      <c r="T343" s="2398"/>
      <c r="U343" s="2398"/>
      <c r="V343" s="2398"/>
      <c r="W343" s="2398"/>
      <c r="X343" s="2398"/>
      <c r="Y343" s="2398"/>
      <c r="Z343" s="2398"/>
      <c r="AA343" s="2398"/>
      <c r="AB343" s="2398"/>
      <c r="AC343" s="2398"/>
      <c r="AD343" s="2398"/>
      <c r="AE343" s="2398"/>
      <c r="AF343" s="2398"/>
      <c r="AG343" s="2398"/>
      <c r="AH343" s="2398"/>
      <c r="AI343" s="2398"/>
      <c r="AJ343" s="2398"/>
      <c r="AK343" s="2398"/>
      <c r="AL343" s="6442"/>
      <c r="AM343" s="6442"/>
      <c r="AN343" s="6442"/>
      <c r="AO343" s="6442"/>
      <c r="AP343" s="6442"/>
      <c r="AQ343" s="6442"/>
      <c r="AR343" s="6442"/>
      <c r="AS343" s="6442"/>
      <c r="AT343" s="2398"/>
      <c r="AU343" s="2398"/>
      <c r="BA343" s="1268">
        <v>18</v>
      </c>
    </row>
    <row customHeight="1" ht="39.75">
      <c r="O344" s="650"/>
      <c r="S344" s="1366"/>
      <c r="T344" s="2398"/>
      <c r="U344" s="2398"/>
      <c r="V344" s="2398"/>
      <c r="W344" s="2398"/>
      <c r="X344" s="2398"/>
      <c r="Y344" s="2398"/>
      <c r="Z344" s="2398"/>
      <c r="AA344" s="2398"/>
      <c r="AB344" s="2398"/>
      <c r="AC344" s="2398"/>
      <c r="AD344" s="2398"/>
      <c r="AE344" s="2398"/>
      <c r="AF344" s="2398"/>
      <c r="AG344" s="2398"/>
      <c r="AH344" s="2398"/>
      <c r="AI344" s="2398"/>
      <c r="AJ344" s="2398"/>
      <c r="AK344" s="2398"/>
      <c r="AL344" s="6442"/>
      <c r="AM344" s="6442"/>
      <c r="AN344" s="6442"/>
      <c r="AO344" s="6442"/>
      <c r="AP344" s="6442"/>
      <c r="AQ344" s="6442"/>
      <c r="AR344" s="6442"/>
      <c r="AS344" s="6442"/>
      <c r="AT344" s="2398"/>
      <c r="AU344" s="2398"/>
      <c r="BA344" s="1268">
        <v>38</v>
      </c>
    </row>
    <row customHeight="1" ht="22.5" hidden="1">
      <c r="A345" s="1273" t="s">
        <v>84</v>
      </c>
      <c r="B345" s="1273">
        <v>0</v>
      </c>
      <c r="C345" s="1273">
        <v>0</v>
      </c>
      <c r="D345" s="1273">
        <v>0</v>
      </c>
      <c r="E345" s="1273">
        <v>0</v>
      </c>
      <c r="F345" s="1273">
        <v>0</v>
      </c>
      <c r="G345" s="1273">
        <v>0</v>
      </c>
      <c r="H345" s="1273">
        <v>0</v>
      </c>
      <c r="I345" s="1273">
        <v>0</v>
      </c>
      <c r="J345" s="1273">
        <v>0</v>
      </c>
      <c r="K345" s="1273">
        <v>0</v>
      </c>
      <c r="L345" s="1442">
        <v>0</v>
      </c>
      <c r="M345" s="1475">
        <v>0</v>
      </c>
      <c r="N345" s="1475">
        <v>0</v>
      </c>
      <c r="O345" s="1475">
        <v>0</v>
      </c>
      <c r="P345" s="1441">
        <v>3</v>
      </c>
      <c r="Q345" s="457">
        <v>3</v>
      </c>
      <c r="R345" s="457">
        <v>3</v>
      </c>
      <c r="S345" s="694">
        <v>12</v>
      </c>
      <c r="T345" s="1268">
        <v>31</v>
      </c>
      <c r="U345" s="1268">
        <v>0</v>
      </c>
      <c r="V345" s="1268">
        <v>0</v>
      </c>
      <c r="W345" s="1268">
        <v>0</v>
      </c>
      <c r="X345" s="1268">
        <v>0</v>
      </c>
      <c r="Y345" s="1268">
        <v>0</v>
      </c>
      <c r="Z345" s="1268">
        <v>0</v>
      </c>
      <c r="AA345" s="1268">
        <v>0</v>
      </c>
      <c r="AB345" s="1268">
        <v>0</v>
      </c>
      <c r="AC345" s="1268">
        <v>0</v>
      </c>
      <c r="AD345" s="1268">
        <v>0</v>
      </c>
      <c r="AE345" s="1268">
        <v>24</v>
      </c>
      <c r="AF345" s="1268">
        <v>0</v>
      </c>
      <c r="AG345" s="1268">
        <v>0</v>
      </c>
      <c r="AH345" s="1268">
        <v>11</v>
      </c>
      <c r="AI345" s="1268">
        <v>3</v>
      </c>
      <c r="AJ345" s="1268">
        <v>11</v>
      </c>
      <c r="AK345" s="1268">
        <v>0</v>
      </c>
      <c r="AL345" s="3775">
        <v>0</v>
      </c>
      <c r="AM345" s="3775">
        <v>0</v>
      </c>
      <c r="AN345" s="3775">
        <v>0</v>
      </c>
      <c r="AO345" s="3775">
        <v>0</v>
      </c>
      <c r="AP345" s="3775">
        <v>0</v>
      </c>
      <c r="AQ345" s="3775">
        <v>0</v>
      </c>
      <c r="AR345" s="3775">
        <v>0</v>
      </c>
      <c r="AS345" s="3775">
        <v>0</v>
      </c>
      <c r="AT345" s="1268">
        <v>4</v>
      </c>
      <c r="AU345" s="1268">
        <v>115</v>
      </c>
      <c r="AV345" s="624">
        <v>10</v>
      </c>
      <c r="AW345" s="624">
        <v>10</v>
      </c>
      <c r="AX345" s="624">
        <v>10</v>
      </c>
      <c r="AY345" s="624">
        <v>10</v>
      </c>
      <c r="AZ345" s="624">
        <v>10</v>
      </c>
      <c r="BA345" s="1268">
        <v>23</v>
      </c>
    </row>
  </sheetData>
  <sheetProtection formatColumns="0" formatRows="0" autoFilter="0" sort="0" insertRows="0" insertColumns="1" deleteRows="0" deleteColumns="0"/>
  <mergeCells count="890">
    <mergeCell ref="V2:AC2"/>
    <mergeCell ref="AD2:AT2"/>
    <mergeCell ref="V3:AC3"/>
    <mergeCell ref="AD3:AT3"/>
    <mergeCell ref="V4:AC4"/>
    <mergeCell ref="AD4:AT4"/>
    <mergeCell ref="T342:AU342"/>
    <mergeCell ref="T343:AU343"/>
    <mergeCell ref="T344:AU344"/>
    <mergeCell ref="S34:T34"/>
    <mergeCell ref="V34:AB34"/>
    <mergeCell ref="AD34:AJ34"/>
    <mergeCell ref="S35:T35"/>
    <mergeCell ref="V35:AB35"/>
    <mergeCell ref="AD35:AJ35"/>
    <mergeCell ref="AU49:AU51"/>
    <mergeCell ref="T339:AU339"/>
    <mergeCell ref="T340:AU340"/>
    <mergeCell ref="V47:AC47"/>
    <mergeCell ref="AD47:AT47"/>
    <mergeCell ref="AA42:AB42"/>
    <mergeCell ref="AI42:AJ42"/>
    <mergeCell ref="AD40:AD41"/>
    <mergeCell ref="AE40:AE41"/>
    <mergeCell ref="AI49:AI50"/>
    <mergeCell ref="AJ49:AJ50"/>
    <mergeCell ref="AK49:AK50"/>
    <mergeCell ref="V5:AC5"/>
    <mergeCell ref="AD5:AT5"/>
    <mergeCell ref="V6:AC6"/>
    <mergeCell ref="AD6:AT6"/>
    <mergeCell ref="V7:AC7"/>
    <mergeCell ref="AD7:AT7"/>
    <mergeCell ref="AH40:AJ40"/>
    <mergeCell ref="AA41:AB41"/>
    <mergeCell ref="AI41:AJ41"/>
    <mergeCell ref="AD32:AJ32"/>
    <mergeCell ref="V37:AC37"/>
    <mergeCell ref="AD37:AK37"/>
    <mergeCell ref="S38:AT38"/>
    <mergeCell ref="S32:T32"/>
    <mergeCell ref="V32:AB32"/>
    <mergeCell ref="AD29:AJ29"/>
    <mergeCell ref="S30:T30"/>
    <mergeCell ref="V30:AB30"/>
    <mergeCell ref="AD30:AJ30"/>
    <mergeCell ref="S31:T31"/>
    <mergeCell ref="V31:AB31"/>
    <mergeCell ref="E43:E336"/>
    <mergeCell ref="V43:AC43"/>
    <mergeCell ref="AD43:AT43"/>
    <mergeCell ref="F44:F63"/>
    <mergeCell ref="V44:AC44"/>
    <mergeCell ref="AD44:AT44"/>
    <mergeCell ref="G45:G62"/>
    <mergeCell ref="V45:AC45"/>
    <mergeCell ref="AD45:AT45"/>
    <mergeCell ref="H46:H53"/>
    <mergeCell ref="V46:AC46"/>
    <mergeCell ref="AD46:AT46"/>
    <mergeCell ref="I47:I52"/>
    <mergeCell ref="P47:P52"/>
    <mergeCell ref="J48:J51"/>
    <mergeCell ref="Q48:Q51"/>
    <mergeCell ref="V48:AC48"/>
    <mergeCell ref="AD48:AT48"/>
    <mergeCell ref="K49:K50"/>
    <mergeCell ref="AH49:AH50"/>
    <mergeCell ref="AU38:AU41"/>
    <mergeCell ref="S39:S41"/>
    <mergeCell ref="T39:T41"/>
    <mergeCell ref="V39:AB39"/>
    <mergeCell ref="AC39:AC41"/>
    <mergeCell ref="AD39:AJ39"/>
    <mergeCell ref="AK39:AK41"/>
    <mergeCell ref="AT39:AT41"/>
    <mergeCell ref="V40:V41"/>
    <mergeCell ref="W40:W41"/>
    <mergeCell ref="Z40:AB40"/>
    <mergeCell ref="AD31:AJ31"/>
    <mergeCell ref="AJ8:AJ9"/>
    <mergeCell ref="AK8:AK9"/>
    <mergeCell ref="Z8:Z9"/>
    <mergeCell ref="S26:AJ26"/>
    <mergeCell ref="S27:AJ27"/>
    <mergeCell ref="S29:T29"/>
    <mergeCell ref="V29:AB29"/>
    <mergeCell ref="AU8:AU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V54:AC54"/>
    <mergeCell ref="AD54:AT54"/>
    <mergeCell ref="V55:AC55"/>
    <mergeCell ref="AD55:AT55"/>
    <mergeCell ref="V56:AC56"/>
    <mergeCell ref="AD56:AT56"/>
    <mergeCell ref="AJ57:AJ58"/>
    <mergeCell ref="AK57:AK58"/>
    <mergeCell ref="AU57:AU59"/>
    <mergeCell ref="AH57:AH58"/>
    <mergeCell ref="AI57:AI58"/>
    <mergeCell ref="H54:H61"/>
    <mergeCell ref="I55:I60"/>
    <mergeCell ref="P55:P60"/>
    <mergeCell ref="J56:J59"/>
    <mergeCell ref="Q56:Q59"/>
    <mergeCell ref="K57:K58"/>
    <mergeCell ref="V64:AC64"/>
    <mergeCell ref="AD64:AT64"/>
    <mergeCell ref="V65:AC65"/>
    <mergeCell ref="AD65:AT65"/>
    <mergeCell ref="V66:AC66"/>
    <mergeCell ref="AD66:AT66"/>
    <mergeCell ref="V67:AC67"/>
    <mergeCell ref="AD67:AT67"/>
    <mergeCell ref="V68:AC68"/>
    <mergeCell ref="AD68:AT68"/>
    <mergeCell ref="AJ69:AJ70"/>
    <mergeCell ref="AK69:AK70"/>
    <mergeCell ref="AU69:AU71"/>
    <mergeCell ref="AH69:AH70"/>
    <mergeCell ref="AI69:AI70"/>
    <mergeCell ref="F64:F75"/>
    <mergeCell ref="G65:G74"/>
    <mergeCell ref="H66:H73"/>
    <mergeCell ref="I67:I72"/>
    <mergeCell ref="P67:P72"/>
    <mergeCell ref="J68:J71"/>
    <mergeCell ref="Q68:Q71"/>
    <mergeCell ref="K69:K70"/>
    <mergeCell ref="V76:AC76"/>
    <mergeCell ref="AD76:AT76"/>
    <mergeCell ref="V77:AC77"/>
    <mergeCell ref="AD77:AT77"/>
    <mergeCell ref="V78:AC78"/>
    <mergeCell ref="AD78:AT78"/>
    <mergeCell ref="V79:AC79"/>
    <mergeCell ref="AD79:AT79"/>
    <mergeCell ref="V80:AC80"/>
    <mergeCell ref="AD80:AT80"/>
    <mergeCell ref="AJ81:AJ82"/>
    <mergeCell ref="AK81:AK82"/>
    <mergeCell ref="AU81:AU83"/>
    <mergeCell ref="AH81:AH82"/>
    <mergeCell ref="AI81:AI82"/>
    <mergeCell ref="F76:F87"/>
    <mergeCell ref="G77:G86"/>
    <mergeCell ref="H78:H85"/>
    <mergeCell ref="I79:I84"/>
    <mergeCell ref="P79:P84"/>
    <mergeCell ref="J80:J83"/>
    <mergeCell ref="Q80:Q83"/>
    <mergeCell ref="K81:K82"/>
    <mergeCell ref="V88:AC88"/>
    <mergeCell ref="AD88:AT88"/>
    <mergeCell ref="V89:AC89"/>
    <mergeCell ref="AD89:AT89"/>
    <mergeCell ref="V90:AC90"/>
    <mergeCell ref="AD90:AT90"/>
    <mergeCell ref="V91:AC91"/>
    <mergeCell ref="AD91:AT91"/>
    <mergeCell ref="V92:AC92"/>
    <mergeCell ref="AD92:AT92"/>
    <mergeCell ref="AJ93:AJ94"/>
    <mergeCell ref="AK93:AK94"/>
    <mergeCell ref="AU93:AU95"/>
    <mergeCell ref="AH93:AH94"/>
    <mergeCell ref="AI93:AI94"/>
    <mergeCell ref="F88:F99"/>
    <mergeCell ref="G89:G98"/>
    <mergeCell ref="H90:H97"/>
    <mergeCell ref="I91:I96"/>
    <mergeCell ref="P91:P96"/>
    <mergeCell ref="J92:J95"/>
    <mergeCell ref="Q92:Q95"/>
    <mergeCell ref="K93:K94"/>
    <mergeCell ref="V100:AC100"/>
    <mergeCell ref="AD100:AT100"/>
    <mergeCell ref="V101:AC101"/>
    <mergeCell ref="AD101:AT101"/>
    <mergeCell ref="V102:AC102"/>
    <mergeCell ref="AD102:AT102"/>
    <mergeCell ref="V103:AC103"/>
    <mergeCell ref="AD103:AT103"/>
    <mergeCell ref="V104:AC104"/>
    <mergeCell ref="AD104:AT104"/>
    <mergeCell ref="AJ105:AJ106"/>
    <mergeCell ref="AK105:AK106"/>
    <mergeCell ref="AU105:AU107"/>
    <mergeCell ref="AH105:AH106"/>
    <mergeCell ref="AI105:AI106"/>
    <mergeCell ref="F100:F111"/>
    <mergeCell ref="G101:G110"/>
    <mergeCell ref="H102:H109"/>
    <mergeCell ref="I103:I108"/>
    <mergeCell ref="P103:P108"/>
    <mergeCell ref="J104:J107"/>
    <mergeCell ref="Q104:Q107"/>
    <mergeCell ref="K105:K106"/>
    <mergeCell ref="V112:AC112"/>
    <mergeCell ref="AD112:AT112"/>
    <mergeCell ref="V113:AC113"/>
    <mergeCell ref="AD113:AT113"/>
    <mergeCell ref="V114:AC114"/>
    <mergeCell ref="AD114:AT114"/>
    <mergeCell ref="V115:AC115"/>
    <mergeCell ref="AD115:AT115"/>
    <mergeCell ref="V116:AC116"/>
    <mergeCell ref="AD116:AT116"/>
    <mergeCell ref="AJ117:AJ118"/>
    <mergeCell ref="AK117:AK118"/>
    <mergeCell ref="AU117:AU119"/>
    <mergeCell ref="AH117:AH118"/>
    <mergeCell ref="AI117:AI118"/>
    <mergeCell ref="F112:F131"/>
    <mergeCell ref="G113:G130"/>
    <mergeCell ref="H114:H121"/>
    <mergeCell ref="I115:I120"/>
    <mergeCell ref="P115:P120"/>
    <mergeCell ref="J116:J119"/>
    <mergeCell ref="Q116:Q119"/>
    <mergeCell ref="K117:K118"/>
    <mergeCell ref="V122:AC122"/>
    <mergeCell ref="AD122:AT122"/>
    <mergeCell ref="V123:AC123"/>
    <mergeCell ref="AD123:AT123"/>
    <mergeCell ref="V124:AC124"/>
    <mergeCell ref="AD124:AT124"/>
    <mergeCell ref="AJ125:AJ126"/>
    <mergeCell ref="AK125:AK126"/>
    <mergeCell ref="AU125:AU127"/>
    <mergeCell ref="AH125:AH126"/>
    <mergeCell ref="AI125:AI126"/>
    <mergeCell ref="H122:H129"/>
    <mergeCell ref="I123:I128"/>
    <mergeCell ref="P123:P128"/>
    <mergeCell ref="J124:J127"/>
    <mergeCell ref="Q124:Q127"/>
    <mergeCell ref="K125:K126"/>
    <mergeCell ref="V132:AC132"/>
    <mergeCell ref="AD132:AT132"/>
    <mergeCell ref="V133:AC133"/>
    <mergeCell ref="AD133:AT133"/>
    <mergeCell ref="V134:AC134"/>
    <mergeCell ref="AD134:AT134"/>
    <mergeCell ref="V135:AC135"/>
    <mergeCell ref="AD135:AT135"/>
    <mergeCell ref="V136:AC136"/>
    <mergeCell ref="AD136:AT136"/>
    <mergeCell ref="AJ137:AJ138"/>
    <mergeCell ref="AK137:AK138"/>
    <mergeCell ref="AU137:AU139"/>
    <mergeCell ref="AH137:AH138"/>
    <mergeCell ref="AI137:AI138"/>
    <mergeCell ref="F132:F143"/>
    <mergeCell ref="G133:G142"/>
    <mergeCell ref="H134:H141"/>
    <mergeCell ref="I135:I140"/>
    <mergeCell ref="P135:P140"/>
    <mergeCell ref="J136:J139"/>
    <mergeCell ref="Q136:Q139"/>
    <mergeCell ref="K137:K138"/>
    <mergeCell ref="V144:AC144"/>
    <mergeCell ref="AD144:AT144"/>
    <mergeCell ref="V145:AC145"/>
    <mergeCell ref="AD145:AT145"/>
    <mergeCell ref="V146:AC146"/>
    <mergeCell ref="AD146:AT146"/>
    <mergeCell ref="V147:AC147"/>
    <mergeCell ref="AD147:AT147"/>
    <mergeCell ref="V148:AC148"/>
    <mergeCell ref="AD148:AT148"/>
    <mergeCell ref="AJ149:AJ150"/>
    <mergeCell ref="AK149:AK150"/>
    <mergeCell ref="AU149:AU151"/>
    <mergeCell ref="AH149:AH150"/>
    <mergeCell ref="AI149:AI150"/>
    <mergeCell ref="F144:F155"/>
    <mergeCell ref="G145:G154"/>
    <mergeCell ref="H146:H153"/>
    <mergeCell ref="I147:I152"/>
    <mergeCell ref="P147:P152"/>
    <mergeCell ref="J148:J151"/>
    <mergeCell ref="Q148:Q151"/>
    <mergeCell ref="K149:K150"/>
    <mergeCell ref="V156:AC156"/>
    <mergeCell ref="AD156:AT156"/>
    <mergeCell ref="V157:AC157"/>
    <mergeCell ref="AD157:AT157"/>
    <mergeCell ref="V158:AC158"/>
    <mergeCell ref="AD158:AT158"/>
    <mergeCell ref="V159:AC159"/>
    <mergeCell ref="AD159:AT159"/>
    <mergeCell ref="V160:AC160"/>
    <mergeCell ref="AD160:AT160"/>
    <mergeCell ref="AJ161:AJ162"/>
    <mergeCell ref="AK161:AK162"/>
    <mergeCell ref="AU161:AU163"/>
    <mergeCell ref="AH161:AH162"/>
    <mergeCell ref="AI161:AI162"/>
    <mergeCell ref="F156:F175"/>
    <mergeCell ref="G157:G174"/>
    <mergeCell ref="H158:H165"/>
    <mergeCell ref="I159:I164"/>
    <mergeCell ref="P159:P164"/>
    <mergeCell ref="J160:J163"/>
    <mergeCell ref="Q160:Q163"/>
    <mergeCell ref="K161:K162"/>
    <mergeCell ref="V166:AC166"/>
    <mergeCell ref="AD166:AT166"/>
    <mergeCell ref="V167:AC167"/>
    <mergeCell ref="AD167:AT167"/>
    <mergeCell ref="V168:AC168"/>
    <mergeCell ref="AD168:AT168"/>
    <mergeCell ref="AJ169:AJ170"/>
    <mergeCell ref="AK169:AK170"/>
    <mergeCell ref="AU169:AU171"/>
    <mergeCell ref="AH169:AH170"/>
    <mergeCell ref="AI169:AI170"/>
    <mergeCell ref="H166:H173"/>
    <mergeCell ref="I167:I172"/>
    <mergeCell ref="P167:P172"/>
    <mergeCell ref="J168:J171"/>
    <mergeCell ref="Q168:Q171"/>
    <mergeCell ref="K169:K170"/>
    <mergeCell ref="V176:AC176"/>
    <mergeCell ref="AD176:AT176"/>
    <mergeCell ref="V177:AC177"/>
    <mergeCell ref="AD177:AT177"/>
    <mergeCell ref="V178:AC178"/>
    <mergeCell ref="AD178:AT178"/>
    <mergeCell ref="V179:AC179"/>
    <mergeCell ref="AD179:AT179"/>
    <mergeCell ref="V180:AC180"/>
    <mergeCell ref="AD180:AT180"/>
    <mergeCell ref="AJ181:AJ182"/>
    <mergeCell ref="AK181:AK182"/>
    <mergeCell ref="AU181:AU183"/>
    <mergeCell ref="AH181:AH182"/>
    <mergeCell ref="AI181:AI182"/>
    <mergeCell ref="F176:F187"/>
    <mergeCell ref="G177:G186"/>
    <mergeCell ref="H178:H185"/>
    <mergeCell ref="I179:I184"/>
    <mergeCell ref="P179:P184"/>
    <mergeCell ref="J180:J183"/>
    <mergeCell ref="Q180:Q183"/>
    <mergeCell ref="K181:K182"/>
    <mergeCell ref="V188:AC188"/>
    <mergeCell ref="AD188:AT188"/>
    <mergeCell ref="V189:AC189"/>
    <mergeCell ref="AD189:AT189"/>
    <mergeCell ref="V190:AC190"/>
    <mergeCell ref="AD190:AT190"/>
    <mergeCell ref="V191:AC191"/>
    <mergeCell ref="AD191:AT191"/>
    <mergeCell ref="V192:AC192"/>
    <mergeCell ref="AD192:AT192"/>
    <mergeCell ref="AJ193:AJ194"/>
    <mergeCell ref="AK193:AK194"/>
    <mergeCell ref="AU193:AU195"/>
    <mergeCell ref="AH193:AH194"/>
    <mergeCell ref="AI193:AI194"/>
    <mergeCell ref="F188:F207"/>
    <mergeCell ref="G189:G206"/>
    <mergeCell ref="H190:H197"/>
    <mergeCell ref="I191:I196"/>
    <mergeCell ref="P191:P196"/>
    <mergeCell ref="J192:J195"/>
    <mergeCell ref="Q192:Q195"/>
    <mergeCell ref="K193:K194"/>
    <mergeCell ref="V198:AC198"/>
    <mergeCell ref="AD198:AT198"/>
    <mergeCell ref="V199:AC199"/>
    <mergeCell ref="AD199:AT199"/>
    <mergeCell ref="V200:AC200"/>
    <mergeCell ref="AD200:AT200"/>
    <mergeCell ref="AJ201:AJ202"/>
    <mergeCell ref="AK201:AK202"/>
    <mergeCell ref="AU201:AU203"/>
    <mergeCell ref="AH201:AH202"/>
    <mergeCell ref="AI201:AI202"/>
    <mergeCell ref="H198:H205"/>
    <mergeCell ref="I199:I204"/>
    <mergeCell ref="P199:P204"/>
    <mergeCell ref="J200:J203"/>
    <mergeCell ref="Q200:Q203"/>
    <mergeCell ref="K201:K202"/>
    <mergeCell ref="V208:AC208"/>
    <mergeCell ref="AD208:AT208"/>
    <mergeCell ref="V209:AC209"/>
    <mergeCell ref="AD209:AT209"/>
    <mergeCell ref="V210:AC210"/>
    <mergeCell ref="AD210:AT210"/>
    <mergeCell ref="V211:AC211"/>
    <mergeCell ref="AD211:AT211"/>
    <mergeCell ref="V212:AC212"/>
    <mergeCell ref="AD212:AT212"/>
    <mergeCell ref="AJ213:AJ214"/>
    <mergeCell ref="AK213:AK214"/>
    <mergeCell ref="AU213:AU215"/>
    <mergeCell ref="AH213:AH214"/>
    <mergeCell ref="AI213:AI214"/>
    <mergeCell ref="F208:F235"/>
    <mergeCell ref="G209:G234"/>
    <mergeCell ref="H210:H217"/>
    <mergeCell ref="I211:I216"/>
    <mergeCell ref="P211:P216"/>
    <mergeCell ref="J212:J215"/>
    <mergeCell ref="Q212:Q215"/>
    <mergeCell ref="K213:K214"/>
    <mergeCell ref="V218:AC218"/>
    <mergeCell ref="AD218:AT218"/>
    <mergeCell ref="V219:AC219"/>
    <mergeCell ref="AD219:AT219"/>
    <mergeCell ref="V220:AC220"/>
    <mergeCell ref="AD220:AT220"/>
    <mergeCell ref="AJ221:AJ222"/>
    <mergeCell ref="AK221:AK222"/>
    <mergeCell ref="AU221:AU223"/>
    <mergeCell ref="AH221:AH222"/>
    <mergeCell ref="AI221:AI222"/>
    <mergeCell ref="H218:H225"/>
    <mergeCell ref="I219:I224"/>
    <mergeCell ref="P219:P224"/>
    <mergeCell ref="J220:J223"/>
    <mergeCell ref="Q220:Q223"/>
    <mergeCell ref="K221:K222"/>
    <mergeCell ref="V226:AC226"/>
    <mergeCell ref="AD226:AT226"/>
    <mergeCell ref="V227:AC227"/>
    <mergeCell ref="AD227:AT227"/>
    <mergeCell ref="V228:AC228"/>
    <mergeCell ref="AD228:AT228"/>
    <mergeCell ref="AJ229:AJ230"/>
    <mergeCell ref="AK229:AK230"/>
    <mergeCell ref="AU229:AU231"/>
    <mergeCell ref="AH229:AH230"/>
    <mergeCell ref="AI229:AI230"/>
    <mergeCell ref="H226:H233"/>
    <mergeCell ref="I227:I232"/>
    <mergeCell ref="P227:P232"/>
    <mergeCell ref="J228:J231"/>
    <mergeCell ref="Q228:Q231"/>
    <mergeCell ref="K229:K230"/>
    <mergeCell ref="V236:AC236"/>
    <mergeCell ref="AD236:AT236"/>
    <mergeCell ref="V237:AC237"/>
    <mergeCell ref="AD237:AT237"/>
    <mergeCell ref="V238:AC238"/>
    <mergeCell ref="AD238:AT238"/>
    <mergeCell ref="V239:AC239"/>
    <mergeCell ref="AD239:AT239"/>
    <mergeCell ref="V240:AC240"/>
    <mergeCell ref="AD240:AT240"/>
    <mergeCell ref="AJ241:AJ242"/>
    <mergeCell ref="AK241:AK242"/>
    <mergeCell ref="AU241:AU243"/>
    <mergeCell ref="AH241:AH242"/>
    <mergeCell ref="AI241:AI242"/>
    <mergeCell ref="F236:F263"/>
    <mergeCell ref="G237:G262"/>
    <mergeCell ref="H238:H245"/>
    <mergeCell ref="I239:I244"/>
    <mergeCell ref="P239:P244"/>
    <mergeCell ref="J240:J243"/>
    <mergeCell ref="Q240:Q243"/>
    <mergeCell ref="K241:K242"/>
    <mergeCell ref="V246:AC246"/>
    <mergeCell ref="AD246:AT246"/>
    <mergeCell ref="V247:AC247"/>
    <mergeCell ref="AD247:AT247"/>
    <mergeCell ref="V248:AC248"/>
    <mergeCell ref="AD248:AT248"/>
    <mergeCell ref="AJ249:AJ250"/>
    <mergeCell ref="AK249:AK250"/>
    <mergeCell ref="AU249:AU251"/>
    <mergeCell ref="AH249:AH250"/>
    <mergeCell ref="AI249:AI250"/>
    <mergeCell ref="H246:H253"/>
    <mergeCell ref="I247:I252"/>
    <mergeCell ref="P247:P252"/>
    <mergeCell ref="J248:J251"/>
    <mergeCell ref="Q248:Q251"/>
    <mergeCell ref="K249:K250"/>
    <mergeCell ref="V254:AC254"/>
    <mergeCell ref="AD254:AT254"/>
    <mergeCell ref="V255:AC255"/>
    <mergeCell ref="AD255:AT255"/>
    <mergeCell ref="V256:AC256"/>
    <mergeCell ref="AD256:AT256"/>
    <mergeCell ref="AJ257:AJ258"/>
    <mergeCell ref="AK257:AK258"/>
    <mergeCell ref="AU257:AU259"/>
    <mergeCell ref="AH257:AH258"/>
    <mergeCell ref="AI257:AI258"/>
    <mergeCell ref="H254:H261"/>
    <mergeCell ref="I255:I260"/>
    <mergeCell ref="P255:P260"/>
    <mergeCell ref="J256:J259"/>
    <mergeCell ref="Q256:Q259"/>
    <mergeCell ref="K257:K258"/>
    <mergeCell ref="V264:AC264"/>
    <mergeCell ref="AD264:AT264"/>
    <mergeCell ref="V265:AC265"/>
    <mergeCell ref="AD265:AT265"/>
    <mergeCell ref="V266:AC266"/>
    <mergeCell ref="AD266:AT266"/>
    <mergeCell ref="V267:AC267"/>
    <mergeCell ref="AD267:AT267"/>
    <mergeCell ref="V268:AC268"/>
    <mergeCell ref="AD268:AT268"/>
    <mergeCell ref="AJ269:AJ270"/>
    <mergeCell ref="AK269:AK270"/>
    <mergeCell ref="AU269:AU271"/>
    <mergeCell ref="AH269:AH270"/>
    <mergeCell ref="AI269:AI270"/>
    <mergeCell ref="F264:F275"/>
    <mergeCell ref="G265:G274"/>
    <mergeCell ref="H266:H273"/>
    <mergeCell ref="I267:I272"/>
    <mergeCell ref="P267:P272"/>
    <mergeCell ref="J268:J271"/>
    <mergeCell ref="Q268:Q271"/>
    <mergeCell ref="K269:K270"/>
    <mergeCell ref="V276:AC276"/>
    <mergeCell ref="AD276:AT276"/>
    <mergeCell ref="V277:AC277"/>
    <mergeCell ref="AD277:AT277"/>
    <mergeCell ref="V278:AC278"/>
    <mergeCell ref="AD278:AT278"/>
    <mergeCell ref="V279:AC279"/>
    <mergeCell ref="AD279:AT279"/>
    <mergeCell ref="V280:AC280"/>
    <mergeCell ref="AD280:AT280"/>
    <mergeCell ref="AJ281:AJ282"/>
    <mergeCell ref="AK281:AK282"/>
    <mergeCell ref="AU281:AU283"/>
    <mergeCell ref="AH281:AH282"/>
    <mergeCell ref="AI281:AI282"/>
    <mergeCell ref="F276:F287"/>
    <mergeCell ref="G277:G286"/>
    <mergeCell ref="H278:H285"/>
    <mergeCell ref="I279:I284"/>
    <mergeCell ref="P279:P284"/>
    <mergeCell ref="J280:J283"/>
    <mergeCell ref="Q280:Q283"/>
    <mergeCell ref="K281:K282"/>
    <mergeCell ref="V288:AC288"/>
    <mergeCell ref="AD288:AT288"/>
    <mergeCell ref="V289:AC289"/>
    <mergeCell ref="AD289:AT289"/>
    <mergeCell ref="V290:AC290"/>
    <mergeCell ref="AD290:AT290"/>
    <mergeCell ref="V291:AC291"/>
    <mergeCell ref="AD291:AT291"/>
    <mergeCell ref="V292:AC292"/>
    <mergeCell ref="AD292:AT292"/>
    <mergeCell ref="AJ293:AJ294"/>
    <mergeCell ref="AK293:AK294"/>
    <mergeCell ref="AU293:AU295"/>
    <mergeCell ref="AH293:AH294"/>
    <mergeCell ref="AI293:AI294"/>
    <mergeCell ref="F288:F299"/>
    <mergeCell ref="G289:G298"/>
    <mergeCell ref="H290:H297"/>
    <mergeCell ref="I291:I296"/>
    <mergeCell ref="P291:P296"/>
    <mergeCell ref="J292:J295"/>
    <mergeCell ref="Q292:Q295"/>
    <mergeCell ref="K293:K294"/>
    <mergeCell ref="V300:AC300"/>
    <mergeCell ref="AD300:AT300"/>
    <mergeCell ref="V301:AC301"/>
    <mergeCell ref="AD301:AT301"/>
    <mergeCell ref="V302:AC302"/>
    <mergeCell ref="AD302:AT302"/>
    <mergeCell ref="V303:AC303"/>
    <mergeCell ref="AD303:AT303"/>
    <mergeCell ref="V304:AC304"/>
    <mergeCell ref="AD304:AT304"/>
    <mergeCell ref="AJ305:AJ306"/>
    <mergeCell ref="AK305:AK306"/>
    <mergeCell ref="AU305:AU307"/>
    <mergeCell ref="AH305:AH306"/>
    <mergeCell ref="AI305:AI306"/>
    <mergeCell ref="F300:F311"/>
    <mergeCell ref="G301:G310"/>
    <mergeCell ref="H302:H309"/>
    <mergeCell ref="I303:I308"/>
    <mergeCell ref="P303:P308"/>
    <mergeCell ref="J304:J307"/>
    <mergeCell ref="Q304:Q307"/>
    <mergeCell ref="K305:K306"/>
    <mergeCell ref="V312:AC312"/>
    <mergeCell ref="AD312:AT312"/>
    <mergeCell ref="V313:AC313"/>
    <mergeCell ref="AD313:AT313"/>
    <mergeCell ref="V314:AC314"/>
    <mergeCell ref="AD314:AT314"/>
    <mergeCell ref="V315:AC315"/>
    <mergeCell ref="AD315:AT315"/>
    <mergeCell ref="V316:AC316"/>
    <mergeCell ref="AD316:AT316"/>
    <mergeCell ref="AJ317:AJ318"/>
    <mergeCell ref="AK317:AK318"/>
    <mergeCell ref="AU317:AU319"/>
    <mergeCell ref="AH317:AH318"/>
    <mergeCell ref="AI317:AI318"/>
    <mergeCell ref="F312:F323"/>
    <mergeCell ref="G313:G322"/>
    <mergeCell ref="H314:H321"/>
    <mergeCell ref="I315:I320"/>
    <mergeCell ref="P315:P320"/>
    <mergeCell ref="J316:J319"/>
    <mergeCell ref="Q316:Q319"/>
    <mergeCell ref="K317:K318"/>
    <mergeCell ref="V324:AC324"/>
    <mergeCell ref="AD324:AT324"/>
    <mergeCell ref="V325:AC325"/>
    <mergeCell ref="AD325:AT325"/>
    <mergeCell ref="V326:AC326"/>
    <mergeCell ref="AD326:AT326"/>
    <mergeCell ref="V327:AC327"/>
    <mergeCell ref="AD327:AT327"/>
    <mergeCell ref="V328:AC328"/>
    <mergeCell ref="AD328:AT328"/>
    <mergeCell ref="AJ329:AJ330"/>
    <mergeCell ref="AK329:AK330"/>
    <mergeCell ref="AU329:AU331"/>
    <mergeCell ref="AH329:AH330"/>
    <mergeCell ref="AI329:AI330"/>
    <mergeCell ref="F324:F335"/>
    <mergeCell ref="G325:G334"/>
    <mergeCell ref="H326:H333"/>
    <mergeCell ref="I327:I332"/>
    <mergeCell ref="P327:P332"/>
    <mergeCell ref="J328:J331"/>
    <mergeCell ref="Q328:Q331"/>
    <mergeCell ref="K329:K33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Z49:Z50"/>
    <mergeCell ref="AA49:AA50"/>
    <mergeCell ref="AB49:AB50"/>
    <mergeCell ref="AC49:AC50"/>
    <mergeCell ref="AP57:AP58"/>
    <mergeCell ref="AQ57:AQ58"/>
    <mergeCell ref="AR57:AR58"/>
    <mergeCell ref="AS57:AS58"/>
    <mergeCell ref="Z57:Z58"/>
    <mergeCell ref="AA57:AA58"/>
    <mergeCell ref="AB57:AB58"/>
    <mergeCell ref="AC57:AC58"/>
    <mergeCell ref="AP69:AP70"/>
    <mergeCell ref="AQ69:AQ70"/>
    <mergeCell ref="AR69:AR70"/>
    <mergeCell ref="AS69:AS70"/>
    <mergeCell ref="Z69:Z70"/>
    <mergeCell ref="AA69:AA70"/>
    <mergeCell ref="AB69:AB70"/>
    <mergeCell ref="AC69:AC70"/>
    <mergeCell ref="AP213:AP214"/>
    <mergeCell ref="AQ213:AQ214"/>
    <mergeCell ref="AR213:AR214"/>
    <mergeCell ref="AS213:AS214"/>
    <mergeCell ref="Z213:Z214"/>
    <mergeCell ref="AA213:AA214"/>
    <mergeCell ref="AB213:AB214"/>
    <mergeCell ref="AC213:AC214"/>
    <mergeCell ref="AP193:AP194"/>
    <mergeCell ref="AQ193:AQ194"/>
    <mergeCell ref="AR193:AR194"/>
    <mergeCell ref="AS193:AS194"/>
    <mergeCell ref="Z193:Z194"/>
    <mergeCell ref="AA193:AA194"/>
    <mergeCell ref="AB193:AB194"/>
    <mergeCell ref="AC193:AC194"/>
    <mergeCell ref="AP181:AP182"/>
    <mergeCell ref="AQ181:AQ182"/>
    <mergeCell ref="AR181:AR182"/>
    <mergeCell ref="AS181:AS182"/>
    <mergeCell ref="Z181:Z182"/>
    <mergeCell ref="AA181:AA182"/>
    <mergeCell ref="AB181:AB182"/>
    <mergeCell ref="AC181:AC182"/>
    <mergeCell ref="AP169:AP170"/>
    <mergeCell ref="AQ169:AQ170"/>
    <mergeCell ref="AR169:AR170"/>
    <mergeCell ref="AS169:AS170"/>
    <mergeCell ref="Z169:Z170"/>
    <mergeCell ref="AA169:AA170"/>
    <mergeCell ref="AB169:AB170"/>
    <mergeCell ref="AC169:AC170"/>
    <mergeCell ref="AP161:AP162"/>
    <mergeCell ref="AQ161:AQ162"/>
    <mergeCell ref="AR161:AR162"/>
    <mergeCell ref="AS161:AS162"/>
    <mergeCell ref="Z161:Z162"/>
    <mergeCell ref="AA161:AA162"/>
    <mergeCell ref="AB161:AB162"/>
    <mergeCell ref="AC161:AC162"/>
    <mergeCell ref="AP201:AP202"/>
    <mergeCell ref="AQ201:AQ202"/>
    <mergeCell ref="AR201:AR202"/>
    <mergeCell ref="AS201:AS202"/>
    <mergeCell ref="Z201:Z202"/>
    <mergeCell ref="AA201:AA202"/>
    <mergeCell ref="AB201:AB202"/>
    <mergeCell ref="AC201:AC202"/>
    <mergeCell ref="AP221:AP222"/>
    <mergeCell ref="AQ221:AQ222"/>
    <mergeCell ref="AR221:AR222"/>
    <mergeCell ref="AS221:AS222"/>
    <mergeCell ref="Z221:Z222"/>
    <mergeCell ref="AA221:AA222"/>
    <mergeCell ref="AB221:AB222"/>
    <mergeCell ref="AC221:AC222"/>
    <mergeCell ref="AP229:AP230"/>
    <mergeCell ref="AQ229:AQ230"/>
    <mergeCell ref="AR229:AR230"/>
    <mergeCell ref="AS229:AS230"/>
    <mergeCell ref="Z229:Z230"/>
    <mergeCell ref="AA229:AA230"/>
    <mergeCell ref="AB229:AB230"/>
    <mergeCell ref="AC229:AC230"/>
    <mergeCell ref="AP241:AP242"/>
    <mergeCell ref="AQ241:AQ242"/>
    <mergeCell ref="AR241:AR242"/>
    <mergeCell ref="AS241:AS242"/>
    <mergeCell ref="Z241:Z242"/>
    <mergeCell ref="AA241:AA242"/>
    <mergeCell ref="AB241:AB242"/>
    <mergeCell ref="AC241:AC242"/>
    <mergeCell ref="AP249:AP250"/>
    <mergeCell ref="AQ249:AQ250"/>
    <mergeCell ref="AR249:AR250"/>
    <mergeCell ref="AS249:AS250"/>
    <mergeCell ref="Z249:Z250"/>
    <mergeCell ref="AA249:AA250"/>
    <mergeCell ref="AB249:AB250"/>
    <mergeCell ref="AC249:AC250"/>
    <mergeCell ref="AP257:AP258"/>
    <mergeCell ref="AQ257:AQ258"/>
    <mergeCell ref="AR257:AR258"/>
    <mergeCell ref="AS257:AS258"/>
    <mergeCell ref="Z257:Z258"/>
    <mergeCell ref="AA257:AA258"/>
    <mergeCell ref="AB257:AB258"/>
    <mergeCell ref="AC257:AC258"/>
    <mergeCell ref="AP269:AP270"/>
    <mergeCell ref="AQ269:AQ270"/>
    <mergeCell ref="AR269:AR270"/>
    <mergeCell ref="AS269:AS270"/>
    <mergeCell ref="Z269:Z270"/>
    <mergeCell ref="AA269:AA270"/>
    <mergeCell ref="AB269:AB270"/>
    <mergeCell ref="AC269:AC270"/>
    <mergeCell ref="AP281:AP282"/>
    <mergeCell ref="AQ281:AQ282"/>
    <mergeCell ref="AR281:AR282"/>
    <mergeCell ref="AS281:AS282"/>
    <mergeCell ref="Z281:Z282"/>
    <mergeCell ref="AA281:AA282"/>
    <mergeCell ref="AB281:AB282"/>
    <mergeCell ref="AC281:AC282"/>
    <mergeCell ref="AP293:AP294"/>
    <mergeCell ref="AQ293:AQ294"/>
    <mergeCell ref="AR293:AR294"/>
    <mergeCell ref="AS293:AS294"/>
    <mergeCell ref="Z293:Z294"/>
    <mergeCell ref="AA293:AA294"/>
    <mergeCell ref="AB293:AB294"/>
    <mergeCell ref="AC293:AC294"/>
    <mergeCell ref="AP305:AP306"/>
    <mergeCell ref="AQ305:AQ306"/>
    <mergeCell ref="AR305:AR306"/>
    <mergeCell ref="AS305:AS306"/>
    <mergeCell ref="Z305:Z306"/>
    <mergeCell ref="AA305:AA306"/>
    <mergeCell ref="AB305:AB306"/>
    <mergeCell ref="AC305:AC306"/>
    <mergeCell ref="AP317:AP318"/>
    <mergeCell ref="AQ317:AQ318"/>
    <mergeCell ref="AR317:AR318"/>
    <mergeCell ref="AS317:AS318"/>
    <mergeCell ref="Z317:Z318"/>
    <mergeCell ref="AA317:AA318"/>
    <mergeCell ref="AB317:AB318"/>
    <mergeCell ref="AC317:AC318"/>
    <mergeCell ref="AP329:AP330"/>
    <mergeCell ref="AQ329:AQ330"/>
    <mergeCell ref="AR329:AR330"/>
    <mergeCell ref="AS329:AS330"/>
    <mergeCell ref="Z329:Z330"/>
    <mergeCell ref="AA329:AA330"/>
    <mergeCell ref="AB329:AB330"/>
    <mergeCell ref="AC329:AC330"/>
    <mergeCell ref="AP137:AP138"/>
    <mergeCell ref="AQ137:AQ138"/>
    <mergeCell ref="AR137:AR138"/>
    <mergeCell ref="AS137:AS138"/>
    <mergeCell ref="Z137:Z138"/>
    <mergeCell ref="AA137:AA138"/>
    <mergeCell ref="AB137:AB138"/>
    <mergeCell ref="AC137:AC138"/>
    <mergeCell ref="AP125:AP126"/>
    <mergeCell ref="AQ125:AQ126"/>
    <mergeCell ref="AR125:AR126"/>
    <mergeCell ref="AS125:AS126"/>
    <mergeCell ref="Z125:Z126"/>
    <mergeCell ref="AA125:AA126"/>
    <mergeCell ref="AB125:AB126"/>
    <mergeCell ref="AC125:AC126"/>
    <mergeCell ref="AP117:AP118"/>
    <mergeCell ref="AQ117:AQ118"/>
    <mergeCell ref="AR117:AR118"/>
    <mergeCell ref="AS117:AS118"/>
    <mergeCell ref="Z117:Z118"/>
    <mergeCell ref="AA117:AA118"/>
    <mergeCell ref="AB117:AB118"/>
    <mergeCell ref="AC117:AC118"/>
    <mergeCell ref="AP105:AP106"/>
    <mergeCell ref="AQ105:AQ106"/>
    <mergeCell ref="AR105:AR106"/>
    <mergeCell ref="AS105:AS106"/>
    <mergeCell ref="Z105:Z106"/>
    <mergeCell ref="AA105:AA106"/>
    <mergeCell ref="AB105:AB106"/>
    <mergeCell ref="AC105:AC106"/>
    <mergeCell ref="AP93:AP94"/>
    <mergeCell ref="AQ93:AQ94"/>
    <mergeCell ref="AR93:AR94"/>
    <mergeCell ref="AS93:AS94"/>
    <mergeCell ref="Z93:Z94"/>
    <mergeCell ref="AA93:AA94"/>
    <mergeCell ref="AB93:AB94"/>
    <mergeCell ref="AC93:AC94"/>
    <mergeCell ref="AP81:AP82"/>
    <mergeCell ref="AQ81:AQ82"/>
    <mergeCell ref="AR81:AR82"/>
    <mergeCell ref="AS81:AS82"/>
    <mergeCell ref="Z81:Z82"/>
    <mergeCell ref="AA81:AA82"/>
    <mergeCell ref="AB81:AB82"/>
    <mergeCell ref="AC81:AC82"/>
    <mergeCell ref="AP149:AP150"/>
    <mergeCell ref="AQ149:AQ150"/>
    <mergeCell ref="AR149:AR150"/>
    <mergeCell ref="AS149:AS150"/>
    <mergeCell ref="Z149:Z150"/>
    <mergeCell ref="AA149:AA150"/>
    <mergeCell ref="AB149:AB150"/>
    <mergeCell ref="AC149:AC150"/>
  </mergeCells>
  <dataValidations count="8">
    <dataValidation allowBlank="1" sqref="S131403:AU131409 S196939:AU196945 S262475:AU262481 S328011:AU328017 S393547:AU393553 S459083:AU459089 S524619:AU524625 S590155:AU590161 S655691:AU655697 S721227:AU721233 S786763:AU786769 S852299:AU852305 S917835:AU917841 S983371:AU983377 S65867:AU65873"/>
    <dataValidation type="list" allowBlank="1" showInputMessage="1" errorTitle="Ошибка" error="Выберите значение из списка" prompt="Выберите значение из списка" sqref="V983368:AT983368 V65864:AT65864 V131400:AT131400 V196936:AT196936 V262472:AT262472 V328008:AT328008 V393544:AT393544 V459080:AT459080 V524616:AT524616 V590152:AT590152 V655688:AT655688 V721224:AT721224 V786760:AT786760 V852296:AT852296 V917832:AT917832">
      <formula1>kind_of_cons</formula1>
    </dataValidation>
    <dataValidation type="list" allowBlank="1" showInputMessage="1" showErrorMessage="1" errorTitle="Ошибка" error="Выберите значение из списка" sqref="T65865 T131401 T196937 T262473 T328009 T393545 T459081 T524617 T590153 T655689 T721225 T786761 T852297 T917833 T983369">
      <formula1>kind_of_heat_transfer</formula1>
    </dataValidation>
    <dataValidation type="list" allowBlank="1" showInputMessage="1" showErrorMessage="1" errorTitle="Ошибка" error="Выберите значение из списка" sqref="V983367:W983367 V65863:W65863 V131399:W131399 V196935:W196935 V262471:W262471 V328007:W328007 V393543:W393543 V459079:W459079 V524615:W524615 V590151:W590151 V655687:W655687 V721223:W721223 V786759:W786759 V852295:W852295 V917831:W917831 AD983367:AE983367 AD65863:AE65863 AD131399:AE131399 AD196935:AE196935 AD262471:AE262471 AD328007:AE328007 AD393543:AE393543 AD459079:AE459079 AD524615:AE524615 AD590151:AE590151 AD655687:AE655687 AD721223:AE721223 AD786759:AE786759 AD852295:AE852295 AD917831:AE917831">
      <formula1>kind_of_scheme_in</formula1>
    </dataValidation>
    <dataValidation type="textLength" operator="lessThanOrEqual" allowBlank="1" showInputMessage="1" showErrorMessage="1" errorTitle="Ошибка" error="Допускается ввод не более 900 символов!" sqref="AU65859:AU65866 AU131395:AU131402 AU196931:AU196938 AU262467:AU262474 AU328003:AU328010 AU393539:AU393546 AU459075:AU459082 AU524611:AU524618 AU590147:AU590154 AU655683:AU655690 AU721219:AU721226 AU786755:AU786762 AU852291:AU852298 AU917827:AU917834 AU983363:AU98337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65 Z131401 Z196937 Z262473 Z328009 Z393545 Z459081 Z524617 Z590153 Z655689 Z721225 Z786761 Z852297 Z917833 Z983369 AB65865 AB131401 AB196937 AB262473 AB328009 AB393545 AB459081 AB524617 AB590153 AB655689 AB721225 AB786761 AB852297 AB917833 AB983369 Z8 AH65865 AH131401 AH196937 AH262473 AH328009 AH393545 AH459081 AH524617 AH590153 AH655689 AH721225 AH786761 AH852297 AH917833 AH983369 AJ65865 AJ131401 AJ196937 AJ262473 AJ328009 AJ393545 AJ459081 AJ524617 AJ590153 AJ655689 AJ721225 AJ786761 AJ852297 AJ917833 AJ983369 AJ49 AH49 AH8 AJ8 AB8 AH17 AJ17 Z49 AB49 Z57 AB57 AH57 AJ57 Z69 AB69 AH69 AJ69 Z81 AB81 AH81 AJ81 Z93 AB93 AH93 AJ93 Z105 AB105 AH105 AJ105 Z117 AB117 AH117 AJ117 Z125 AB125 AH125 AJ125 Z137 AB137 AH137 AJ137 Z149 AB149 AH149 AJ149 Z161 AB161 AH161 AJ161 Z169 AB169 AH169 AJ169 Z181 AB181 AH181 AJ181 Z193 AB193 AH193 AJ193 Z201 AB201 AH201 AJ201 Z213 AB213 AH213 AJ213 Z221 AB221 AH221 AJ221 Z229 AB229 AH229 AJ229 Z241 AB241 AH241 AJ241 Z249 AB249 AH249 AJ249 Z257 AB257 AH257 AJ257 Z269 AB269 AH269 AJ269 Z281 AB281 AH281 AJ281 Z293 AB293 AH293 AJ293 Z305 AB305 AH305 AJ305 Z317 AB317 AH317 AJ317 Z329 AB329 AH329 AJ329 AP8 AR8 AP49 AR49 AP57 AR57 AP69 AR69 AP81 AR81 AP93 AR93 AP105 AR105 AP117 AR117 AP125 AR125 AP137 AR137 AP149 AR149 AP161 AR161 AP169 AR169 AP181 AR181 AP193 AR193 AP201 AR201 AP213 AR213 AP221 AR221 AP229 AR229 AP241 AR241 AP249 AR249 AP257 AR257 AP269 AR269 AP281 AR281 AP293 AR293 AP305 AR305 AP317 AR317 AP329 AR329"/>
    <dataValidation allowBlank="1" showInputMessage="1" showErrorMessage="1" prompt="Для выбора выполните двойной щелчок левой клавиши мыши по соответствующей ячейке." sqref="AA65865 AA131401 AA196937 AA262473 AA328009 AA393545 AA459081 AA524617 AA590153 AA655689 AA721225 AA786761 AA852297 AA917833 AA983369 AC131401 AC459081 AC196937 AC262473 AC328009 AC393545 AC524617 AC590153 AC655689 AC721225 AC786761 AC852297 AC917833 AC983369 AC65865 AI65865 AI131401 AI196937 AI262473 AI328009 AI393545 AI459081 AI524617 AI590153 AI655689 AI721225 AI786761 AI852297 AI917833 AI983369 AK524617:AS524617 AK8 AQ8 AS8 AK590153:AS590153 AK655689:AS655689 AK17 AK721225:AS721225 AK786761:AS786761 AK852297:AS852297 AK917833:AS917833 AK983369:AS983369 AK65865:AS65865 AK131401:AS131401 AK459081:AS459081 AK196937:AS196937 AK262473:AS262473 AI49 AI8 AC8 AA8 AI17 AK328009:AS328009 AK393545:AS393545 AA49 AC49 AK49 AQ49 AS49 AA57 AC57 AI57 AK57 AQ57 AS57 AA69 AC69 AI69 AK69 AQ69 AS69 AA81 AC81 AI81 AK81 AQ81 AS81 AA93 AC93 AI93 AK93 AQ93 AS93 AA105 AC105 AI105 AK105 AQ105 AS105 AA117 AC117 AI117 AK117 AQ117 AS117 AA125 AC125 AI125 AK125 AQ125 AS125 AA137 AC137 AI137 AK137 AQ137 AS137 AA149 AC149 AI149 AK149 AQ149 AS149 AA161 AC161 AI161 AK161 AQ161 AS161 AA169 AC169 AI169 AK169 AQ169 AS169 AA181 AC181 AI181 AK181 AQ181 AS181 AA193 AC193 AI193 AK193 AQ193 AS193 AA201 AC201 AI201 AK201 AQ201 AS201 AA213 AC213 AI213 AK213 AQ213 AS213 AA221 AC221 AI221 AK221 AQ221 AS221 AA229 AC229 AI229 AK229 AQ229 AS229 AA241 AC241 AI241 AK241 AQ241 AS241 AA249 AC249 AI249 AK249 AQ249 AS249 AA257 AC257 AI257 AK257 AQ257 AS257 AA269 AC269 AI269 AK269 AQ269 AS269 AA281 AC281 AI281 AK281 AQ281 AS281 AA293 AC293 AI293 AK293 AQ293 AS293 AA305 AC305 AI305 AK305 AQ305 AS305 AA317 AC317 AI317 AK317 AQ317 AS317 AA329 AC329 AI329 AK329 AQ329 AS329"/>
    <dataValidation allowBlank="1" promptTitle="checkPeriodRange" sqref="Y65866 Y131402 Y196938 Y262474 Y328010 Y393546 Y459082 Y524618 Y590154 Y655690 Y721226 Y786762 Y852298 Y917834 Y983370 Y9 AG65866 AG131402 AG196938 AG262474 AG328010 AG393546 AG459082 AG524618 AG590154 AG655690 AG721226 AG786762 AG852298 AG917834 AG983370 AG9 AG50 AG18 Y50 Y58 AG58 Y70 AG70 Y82 AG82 Y94 AG94 Y106 AG106 Y118 AG118 Y126 AG126 Y138 AG138 Y150 AG150 Y162 AG162 Y170 AG170 Y182 AG182 Y194 AG194 Y202 AG202 Y214 AG214 Y222 AG222 Y230 AG230 Y242 AG242 Y250 AG250 Y258 AG258 Y270 AG270 Y282 AG282 Y294 AG294 Y306 AG306 Y318 AG318 Y330 AG330 AO9 AO50 AO58 AO70 AO82 AO94 AO106 AO118 AO126 AO138 AO150 AO162 AO170 AO182 AO194 AO202 AO214 AO222 AO230 AO242 AO250 AO258 AO270 AO282 AO294 AO306 AO318 AO33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3ECCC-4888-1BF5-58A7-123541E2E1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7109375" hidden="1"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558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561</v>
      </c>
      <c r="M7" s="650"/>
      <c r="N7" s="1479"/>
      <c r="P7" s="2370"/>
      <c r="Q7" s="2370">
        <v>1</v>
      </c>
      <c r="R7" s="470"/>
      <c r="S7" s="1449">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564</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566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567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19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19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19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191" customFormat="1" customHeight="1" ht="22.5" hidden="1">
      <c r="L20" s="1442"/>
      <c r="M20" s="1475"/>
      <c r="N20" s="1475"/>
      <c r="O20" s="1480" t="s">
        <v>569</v>
      </c>
      <c r="P20" s="1475"/>
      <c r="Q20" s="1484"/>
      <c r="R20" s="1484"/>
      <c r="S20" s="842"/>
      <c r="Z20" s="1480"/>
      <c r="AB20" s="1480"/>
      <c r="AC20" s="1479"/>
      <c r="AH20" s="1480"/>
      <c r="AJ20" s="1480"/>
      <c r="AK20" s="1479"/>
      <c r="AN20" s="624"/>
      <c r="AO20" s="624"/>
      <c r="AP20" s="624"/>
      <c r="AQ20" s="624"/>
      <c r="AR20" s="624"/>
      <c r="AS20" s="1273">
        <v>0</v>
      </c>
    </row>
    <row s="8191" customFormat="1" customHeight="1" ht="14.25" hidden="1">
      <c r="L21" s="1442"/>
      <c r="M21" s="1475"/>
      <c r="N21" s="1475"/>
      <c r="O21" s="1475"/>
      <c r="P21" s="1475"/>
      <c r="Q21" s="1484"/>
      <c r="R21" s="1484"/>
      <c r="S21" s="842"/>
      <c r="AC21" s="1479"/>
      <c r="AK21" s="1479"/>
      <c r="AN21" s="624"/>
      <c r="AO21" s="624"/>
      <c r="AP21" s="624"/>
      <c r="AQ21" s="624"/>
      <c r="AR21" s="624"/>
      <c r="AS21" s="1273">
        <v>0</v>
      </c>
    </row>
    <row s="8191" customFormat="1" customHeight="1" ht="14.25" hidden="1">
      <c r="L22" s="1442"/>
      <c r="M22" s="1475"/>
      <c r="N22" s="1475"/>
      <c r="O22" s="1477" t="s">
        <v>570</v>
      </c>
      <c r="P22" s="1475"/>
      <c r="Q22" s="1484"/>
      <c r="R22" s="1484"/>
      <c r="S22" s="842"/>
      <c r="T22" s="1273" t="s">
        <v>571</v>
      </c>
      <c r="AA22" s="299" t="s">
        <v>572</v>
      </c>
      <c r="AC22" s="299" t="s">
        <v>573</v>
      </c>
      <c r="AD22" s="1273" t="s">
        <v>571</v>
      </c>
      <c r="AI22" s="299" t="s">
        <v>574</v>
      </c>
      <c r="AK22" s="299" t="s">
        <v>573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439"/>
      <c r="AM31" s="393"/>
      <c r="AN31" s="481"/>
      <c r="AO31" s="481"/>
      <c r="AP31" s="481"/>
      <c r="AQ31" s="481"/>
      <c r="AR31" s="481"/>
      <c r="AS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328" customFormat="1" customHeight="1" ht="18.7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439"/>
      <c r="AM35" s="393"/>
      <c r="AN35" s="481"/>
      <c r="AO35" s="481"/>
      <c r="AP35" s="481"/>
      <c r="AQ35" s="481"/>
      <c r="AR35" s="481"/>
      <c r="AS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579</v>
      </c>
      <c r="AD36" s="439"/>
      <c r="AE36" s="439"/>
      <c r="AF36" s="439"/>
      <c r="AG36" s="439"/>
      <c r="AH36" s="439"/>
      <c r="AI36" s="439"/>
      <c r="AJ36" s="439"/>
      <c r="AK36" s="391" t="s">
        <v>579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268">
        <v>14</v>
      </c>
    </row>
    <row customHeight="1" ht="14.699999999999998">
      <c r="Q39" s="489"/>
      <c r="R39" s="489"/>
      <c r="S39" s="2386" t="s">
        <v>90</v>
      </c>
      <c r="T39" s="2322" t="s">
        <v>580</v>
      </c>
      <c r="U39" s="414"/>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268">
        <v>14</v>
      </c>
    </row>
    <row customHeight="1" ht="35.699999999999996">
      <c r="Q40" s="489"/>
      <c r="R40" s="489"/>
      <c r="S40" s="2386"/>
      <c r="T40" s="2322"/>
      <c r="U40" s="1144"/>
      <c r="V40" s="2373" t="s">
        <v>585</v>
      </c>
      <c r="W40" s="2396"/>
      <c r="X40" s="2375" t="s">
        <v>587</v>
      </c>
      <c r="Y40" s="2376"/>
      <c r="Z40" s="2375" t="s">
        <v>588</v>
      </c>
      <c r="AA40" s="2382"/>
      <c r="AB40" s="2376"/>
      <c r="AC40" s="2391"/>
      <c r="AD40" s="2373" t="s">
        <v>604</v>
      </c>
      <c r="AE40" s="2396"/>
      <c r="AF40" s="2375" t="s">
        <v>587</v>
      </c>
      <c r="AG40" s="2376"/>
      <c r="AH40" s="2375" t="s">
        <v>588</v>
      </c>
      <c r="AI40" s="2382"/>
      <c r="AJ40" s="2376"/>
      <c r="AK40" s="2391"/>
      <c r="AL40" s="2394"/>
      <c r="AM40" s="2240"/>
      <c r="AS40" s="1268">
        <v>34</v>
      </c>
    </row>
    <row customHeight="1" ht="35.699999999999996">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Q41" s="489"/>
      <c r="R41" s="489"/>
      <c r="S41" s="2386"/>
      <c r="T41" s="2322"/>
      <c r="U41" s="415"/>
      <c r="V41" s="2374"/>
      <c r="W41" s="2397"/>
      <c r="X41" s="1335" t="s">
        <v>596</v>
      </c>
      <c r="Y41" s="1335" t="s">
        <v>597</v>
      </c>
      <c r="Z41" s="1451" t="s">
        <v>598</v>
      </c>
      <c r="AA41" s="2383" t="s">
        <v>599</v>
      </c>
      <c r="AB41" s="2384"/>
      <c r="AC41" s="2392"/>
      <c r="AD41" s="2374"/>
      <c r="AE41" s="2397"/>
      <c r="AF41" s="1335" t="s">
        <v>596</v>
      </c>
      <c r="AG41" s="1335" t="s">
        <v>597</v>
      </c>
      <c r="AH41" s="1451" t="s">
        <v>598</v>
      </c>
      <c r="AI41" s="2383" t="s">
        <v>599</v>
      </c>
      <c r="AJ41" s="2384"/>
      <c r="AK41" s="2392"/>
      <c r="AL41" s="2395"/>
      <c r="AM41" s="2240"/>
      <c r="AS41" s="1268">
        <v>34</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239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239</v>
      </c>
      <c r="B44" s="1476" t="s">
        <v>240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613"/>
      <c r="AP44" s="613" t="str">
        <f>IF(T44="","",T44)</f>
        <v>Территория действия тарифа</v>
      </c>
      <c r="AQ44" s="613"/>
      <c r="AR44" s="613"/>
      <c r="AS44" s="1268">
        <v>21</v>
      </c>
    </row>
    <row customHeight="1" ht="24">
      <c r="A45" s="1476" t="s">
        <v>239</v>
      </c>
      <c r="B45" s="1476" t="s">
        <v>240</v>
      </c>
      <c r="C45" s="1476" t="s">
        <v>241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613"/>
      <c r="AP45" s="613" t="str">
        <f>IF(T45="","",T45)</f>
        <v>Наименование системы теплоснабжения </v>
      </c>
      <c r="AQ45" s="613"/>
      <c r="AR45" s="613"/>
      <c r="AS45" s="1268">
        <v>23</v>
      </c>
    </row>
    <row customHeight="1" ht="22.049999999999997">
      <c r="A46" s="1476" t="s">
        <v>239</v>
      </c>
      <c r="B46" s="1476" t="s">
        <v>240</v>
      </c>
      <c r="C46" s="1476" t="s">
        <v>241</v>
      </c>
      <c r="D46" s="1476" t="s">
        <v>242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613"/>
      <c r="AP46" s="613" t="str">
        <f>IF(T46="","",T46)</f>
        <v>Источник тепловой энергии  </v>
      </c>
      <c r="AQ46" s="613"/>
      <c r="AR46" s="613"/>
      <c r="AS46" s="1268">
        <v>21</v>
      </c>
    </row>
    <row s="8192" customFormat="1" customHeight="1" ht="0">
      <c r="A47" s="1456" t="s">
        <v>239</v>
      </c>
      <c r="B47" s="1456" t="s">
        <v>240</v>
      </c>
      <c r="C47" s="1456" t="s">
        <v>241</v>
      </c>
      <c r="D47" s="1456" t="s">
        <v>242</v>
      </c>
      <c r="E47" s="2372"/>
      <c r="F47" s="2372"/>
      <c r="G47" s="2372"/>
      <c r="H47" s="2372"/>
      <c r="I47" s="2369" t="str">
        <f>S46&amp;".1"</f>
        <v>....1</v>
      </c>
      <c r="J47" s="1456"/>
      <c r="K47" s="1456"/>
      <c r="L47" s="1459" t="s">
        <v>558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239</v>
      </c>
      <c r="B48" s="1476" t="s">
        <v>240</v>
      </c>
      <c r="C48" s="1476" t="s">
        <v>241</v>
      </c>
      <c r="D48" s="1476" t="s">
        <v>242</v>
      </c>
      <c r="E48" s="2372"/>
      <c r="F48" s="2372"/>
      <c r="G48" s="2372"/>
      <c r="H48" s="2372"/>
      <c r="I48" s="2399"/>
      <c r="J48" s="2369" t="str">
        <f>S46&amp;".1"</f>
        <v>....1</v>
      </c>
      <c r="K48" s="1476"/>
      <c r="L48" s="1477" t="s">
        <v>561</v>
      </c>
      <c r="P48" s="2370"/>
      <c r="Q48" s="2370">
        <v>1</v>
      </c>
      <c r="R48" s="470"/>
      <c r="S48" s="1449" t="str">
        <f>$J48</f>
        <v>....1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613"/>
      <c r="AP48" s="613" t="str">
        <f>IF(T48="","",T48)</f>
        <v>Группа потребителей</v>
      </c>
      <c r="AQ48" s="613"/>
      <c r="AR48" s="613"/>
      <c r="AS48" s="1268">
        <v>21</v>
      </c>
    </row>
    <row customHeight="1" ht="22.049999999999997">
      <c r="A49" s="1476" t="s">
        <v>239</v>
      </c>
      <c r="B49" s="1476" t="s">
        <v>240</v>
      </c>
      <c r="C49" s="1476" t="s">
        <v>241</v>
      </c>
      <c r="D49" s="1476" t="s">
        <v>242</v>
      </c>
      <c r="E49" s="2372"/>
      <c r="F49" s="2372"/>
      <c r="G49" s="2372"/>
      <c r="H49" s="2372"/>
      <c r="I49" s="2399"/>
      <c r="J49" s="2399"/>
      <c r="K49" s="2369" t="str">
        <f>J48&amp;".1"</f>
        <v>....1.1</v>
      </c>
      <c r="L49" s="1477" t="s">
        <v>564</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605</v>
      </c>
      <c r="AN49" s="624">
        <f>STRCHECKDATE(V50:AL50)</f>
      </c>
      <c r="AO49" s="613"/>
      <c r="AP49" s="613" t="str">
        <f>IF(T49="","",T49)</f>
        <v/>
      </c>
      <c r="AQ49" s="613"/>
      <c r="AR49" s="613"/>
      <c r="AS49" s="1268">
        <v>21</v>
      </c>
    </row>
    <row customHeight="1" ht="1.05">
      <c r="A50" s="1476" t="s">
        <v>239</v>
      </c>
      <c r="B50" s="1476" t="s">
        <v>240</v>
      </c>
      <c r="C50" s="1476" t="s">
        <v>241</v>
      </c>
      <c r="D50" s="1476" t="s">
        <v>242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239</v>
      </c>
      <c r="B51" s="1476" t="s">
        <v>240</v>
      </c>
      <c r="C51" s="1476" t="s">
        <v>241</v>
      </c>
      <c r="D51" s="1476" t="s">
        <v>242</v>
      </c>
      <c r="E51" s="2372"/>
      <c r="F51" s="2372"/>
      <c r="G51" s="2372"/>
      <c r="H51" s="2372"/>
      <c r="I51" s="2399"/>
      <c r="J51" s="2369"/>
      <c r="K51" s="1476"/>
      <c r="L51" s="1477"/>
      <c r="P51" s="2370"/>
      <c r="Q51" s="2370"/>
      <c r="R51" s="469"/>
      <c r="S51" s="1391"/>
      <c r="T51" s="400" t="s">
        <v>566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239</v>
      </c>
      <c r="B52" s="1476" t="s">
        <v>240</v>
      </c>
      <c r="C52" s="1476" t="s">
        <v>241</v>
      </c>
      <c r="D52" s="1476" t="s">
        <v>242</v>
      </c>
      <c r="E52" s="2372"/>
      <c r="F52" s="2372"/>
      <c r="G52" s="2372"/>
      <c r="H52" s="2372"/>
      <c r="I52" s="2369"/>
      <c r="J52" s="1476"/>
      <c r="K52" s="1476"/>
      <c r="L52" s="1477"/>
      <c r="P52" s="2370"/>
      <c r="Q52" s="1444"/>
      <c r="R52" s="469"/>
      <c r="S52" s="1391"/>
      <c r="T52" s="478" t="s">
        <v>567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239</v>
      </c>
      <c r="B53" s="1476" t="s">
        <v>240</v>
      </c>
      <c r="C53" s="1476" t="s">
        <v>241</v>
      </c>
      <c r="D53" s="1476" t="s">
        <v>242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192" customFormat="1" customHeight="1" ht="1.05">
      <c r="A54" s="1456" t="s">
        <v>239</v>
      </c>
      <c r="B54" s="1456" t="s">
        <v>240</v>
      </c>
      <c r="C54" s="1456" t="s">
        <v>241</v>
      </c>
      <c r="D54" s="1427"/>
      <c r="E54" s="2372"/>
      <c r="F54" s="2372"/>
      <c r="G54" s="2371"/>
      <c r="H54" s="1427"/>
      <c r="I54" s="1427"/>
      <c r="J54" s="1427"/>
      <c r="K54" s="1427"/>
      <c r="L54" s="1452"/>
      <c r="M54" s="1428"/>
      <c r="N54" s="142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192" customFormat="1" customHeight="1" ht="1.05">
      <c r="A55" s="1456" t="s">
        <v>239</v>
      </c>
      <c r="B55" s="1456" t="s">
        <v>240</v>
      </c>
      <c r="C55" s="1427"/>
      <c r="D55" s="1427"/>
      <c r="E55" s="2372"/>
      <c r="F55" s="2371"/>
      <c r="G55" s="1427"/>
      <c r="H55" s="1427"/>
      <c r="I55" s="1427"/>
      <c r="J55" s="1427"/>
      <c r="K55" s="1427"/>
      <c r="L55" s="1452"/>
      <c r="M55" s="1434"/>
      <c r="N55" s="143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192" customFormat="1" customHeight="1" ht="1.05">
      <c r="A56" s="1456" t="s">
        <v>239</v>
      </c>
      <c r="B56" s="1456"/>
      <c r="C56" s="1456"/>
      <c r="D56" s="1456"/>
      <c r="E56" s="2371"/>
      <c r="F56" s="1456"/>
      <c r="G56" s="1456"/>
      <c r="H56" s="1456"/>
      <c r="I56" s="1456"/>
      <c r="J56" s="1456"/>
      <c r="K56" s="1456"/>
      <c r="L56" s="1459"/>
      <c r="M56" s="1434"/>
      <c r="N56" s="1434"/>
      <c r="O56" s="631"/>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19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B4A05-6ECD-A461-37AF-AA2E6FD8F2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7109375" hidden="1"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554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555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556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557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558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561</v>
      </c>
      <c r="M7" s="650"/>
      <c r="N7" s="1479"/>
      <c r="P7" s="2370"/>
      <c r="Q7" s="2370">
        <v>1</v>
      </c>
      <c r="R7" s="1755"/>
      <c r="S7" s="2120">
        <f>$J7</f>
      </c>
      <c r="T7" s="399" t="s">
        <v>562</v>
      </c>
      <c r="U7" s="413"/>
      <c r="V7" s="2418"/>
      <c r="W7" s="2418"/>
      <c r="X7" s="2418"/>
      <c r="Y7" s="2418"/>
      <c r="Z7" s="2418"/>
      <c r="AA7" s="2418"/>
      <c r="AB7" s="2418"/>
      <c r="AC7" s="2418"/>
      <c r="AD7" s="2418"/>
      <c r="AE7" s="2418"/>
      <c r="AF7" s="2418"/>
      <c r="AG7" s="2418"/>
      <c r="AH7" s="2418"/>
      <c r="AI7" s="2418"/>
      <c r="AJ7" s="2418"/>
      <c r="AK7" s="2418"/>
      <c r="AL7" s="2418"/>
      <c r="AM7" s="2123" t="s">
        <v>563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564</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565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566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567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19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19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19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191" customFormat="1" customHeight="1" ht="22.5" hidden="1">
      <c r="L20" s="1442"/>
      <c r="M20" s="1475"/>
      <c r="N20" s="1475"/>
      <c r="O20" s="1480" t="s">
        <v>569</v>
      </c>
      <c r="P20" s="1475"/>
      <c r="Q20" s="1484"/>
      <c r="R20" s="1484"/>
      <c r="S20" s="842"/>
      <c r="Z20" s="1480"/>
      <c r="AB20" s="1480"/>
      <c r="AC20" s="1479"/>
      <c r="AH20" s="1480"/>
      <c r="AJ20" s="1480"/>
      <c r="AK20" s="1479"/>
      <c r="AN20" s="624"/>
      <c r="AO20" s="624"/>
      <c r="AP20" s="624"/>
      <c r="AQ20" s="624"/>
      <c r="AR20" s="624"/>
      <c r="AS20" s="1273">
        <v>0</v>
      </c>
    </row>
    <row s="8191" customFormat="1" customHeight="1" ht="14.25" hidden="1">
      <c r="L21" s="1442"/>
      <c r="M21" s="1475"/>
      <c r="N21" s="1475"/>
      <c r="O21" s="1475"/>
      <c r="P21" s="1475"/>
      <c r="Q21" s="1484"/>
      <c r="R21" s="1484"/>
      <c r="S21" s="842"/>
      <c r="AC21" s="1479"/>
      <c r="AK21" s="1479"/>
      <c r="AN21" s="624"/>
      <c r="AO21" s="624"/>
      <c r="AP21" s="624"/>
      <c r="AQ21" s="624"/>
      <c r="AR21" s="624"/>
      <c r="AS21" s="1273">
        <v>0</v>
      </c>
    </row>
    <row s="8191" customFormat="1" customHeight="1" ht="14.25" hidden="1">
      <c r="L22" s="1442"/>
      <c r="M22" s="1475"/>
      <c r="N22" s="1475"/>
      <c r="O22" s="1477" t="s">
        <v>570</v>
      </c>
      <c r="P22" s="1475"/>
      <c r="Q22" s="1484"/>
      <c r="R22" s="1484"/>
      <c r="S22" s="842"/>
      <c r="T22" s="1273" t="s">
        <v>571</v>
      </c>
      <c r="AA22" s="299" t="s">
        <v>572</v>
      </c>
      <c r="AC22" s="299" t="s">
        <v>573</v>
      </c>
      <c r="AD22" s="1273" t="s">
        <v>571</v>
      </c>
      <c r="AI22" s="299" t="s">
        <v>574</v>
      </c>
      <c r="AK22" s="299" t="s">
        <v>573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439"/>
      <c r="AM31" s="393"/>
      <c r="AN31" s="481"/>
      <c r="AO31" s="481"/>
      <c r="AP31" s="481"/>
      <c r="AQ31" s="481"/>
      <c r="AR31" s="481"/>
      <c r="AS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328" customFormat="1" customHeight="1" ht="18.7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439"/>
      <c r="AM35" s="393"/>
      <c r="AN35" s="481"/>
      <c r="AO35" s="481"/>
      <c r="AP35" s="481"/>
      <c r="AQ35" s="481"/>
      <c r="AR35" s="481"/>
      <c r="AS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579</v>
      </c>
      <c r="AD36" s="439"/>
      <c r="AE36" s="439"/>
      <c r="AF36" s="439"/>
      <c r="AG36" s="439"/>
      <c r="AH36" s="439"/>
      <c r="AI36" s="439"/>
      <c r="AJ36" s="439"/>
      <c r="AK36" s="391" t="s">
        <v>579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268">
        <v>14</v>
      </c>
    </row>
    <row customHeight="1" ht="14.699999999999998">
      <c r="Q39" s="489"/>
      <c r="R39" s="489"/>
      <c r="S39" s="2386" t="s">
        <v>90</v>
      </c>
      <c r="T39" s="2322" t="s">
        <v>580</v>
      </c>
      <c r="U39" s="414"/>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268">
        <v>14</v>
      </c>
    </row>
    <row customHeight="1" ht="35.699999999999996">
      <c r="Q40" s="489"/>
      <c r="R40" s="489"/>
      <c r="S40" s="2386"/>
      <c r="T40" s="2322"/>
      <c r="U40" s="1144"/>
      <c r="V40" s="2373" t="s">
        <v>585</v>
      </c>
      <c r="W40" s="2396"/>
      <c r="X40" s="2375" t="s">
        <v>587</v>
      </c>
      <c r="Y40" s="2376"/>
      <c r="Z40" s="2375" t="s">
        <v>588</v>
      </c>
      <c r="AA40" s="2382"/>
      <c r="AB40" s="2376"/>
      <c r="AC40" s="2391"/>
      <c r="AD40" s="2373" t="s">
        <v>604</v>
      </c>
      <c r="AE40" s="2396"/>
      <c r="AF40" s="2375" t="s">
        <v>587</v>
      </c>
      <c r="AG40" s="2376"/>
      <c r="AH40" s="2375" t="s">
        <v>588</v>
      </c>
      <c r="AI40" s="2382"/>
      <c r="AJ40" s="2376"/>
      <c r="AK40" s="2391"/>
      <c r="AL40" s="2394"/>
      <c r="AM40" s="2240"/>
      <c r="AS40" s="1268">
        <v>34</v>
      </c>
    </row>
    <row customHeight="1" ht="35.699999999999996">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Q41" s="489"/>
      <c r="R41" s="489"/>
      <c r="S41" s="2386"/>
      <c r="T41" s="2322"/>
      <c r="U41" s="415"/>
      <c r="V41" s="2374"/>
      <c r="W41" s="2397"/>
      <c r="X41" s="1335" t="s">
        <v>596</v>
      </c>
      <c r="Y41" s="1335" t="s">
        <v>597</v>
      </c>
      <c r="Z41" s="1451" t="s">
        <v>598</v>
      </c>
      <c r="AA41" s="2383" t="s">
        <v>599</v>
      </c>
      <c r="AB41" s="2384"/>
      <c r="AC41" s="2392"/>
      <c r="AD41" s="2374"/>
      <c r="AE41" s="2397"/>
      <c r="AF41" s="1335" t="s">
        <v>596</v>
      </c>
      <c r="AG41" s="1335" t="s">
        <v>597</v>
      </c>
      <c r="AH41" s="1451" t="s">
        <v>598</v>
      </c>
      <c r="AI41" s="2383" t="s">
        <v>599</v>
      </c>
      <c r="AJ41" s="2384"/>
      <c r="AK41" s="2392"/>
      <c r="AL41" s="2395"/>
      <c r="AM41" s="2240"/>
      <c r="AS41" s="1268">
        <v>34</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251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251</v>
      </c>
      <c r="B44" s="1476" t="s">
        <v>252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613"/>
      <c r="AP44" s="613" t="str">
        <f>IF(T44="","",T44)</f>
        <v>Территория действия тарифа</v>
      </c>
      <c r="AQ44" s="613"/>
      <c r="AR44" s="613"/>
      <c r="AS44" s="1268">
        <v>21</v>
      </c>
    </row>
    <row customHeight="1" ht="24">
      <c r="A45" s="1476" t="s">
        <v>251</v>
      </c>
      <c r="B45" s="1476" t="s">
        <v>252</v>
      </c>
      <c r="C45" s="1476" t="s">
        <v>253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613"/>
      <c r="AP45" s="613" t="str">
        <f>IF(T45="","",T45)</f>
        <v>Наименование системы теплоснабжения </v>
      </c>
      <c r="AQ45" s="613"/>
      <c r="AR45" s="613"/>
      <c r="AS45" s="1268">
        <v>23</v>
      </c>
    </row>
    <row customHeight="1" ht="22.049999999999997">
      <c r="A46" s="1476" t="s">
        <v>251</v>
      </c>
      <c r="B46" s="1476" t="s">
        <v>252</v>
      </c>
      <c r="C46" s="1476" t="s">
        <v>253</v>
      </c>
      <c r="D46" s="1476" t="s">
        <v>254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613"/>
      <c r="AP46" s="613" t="str">
        <f>IF(T46="","",T46)</f>
        <v>Источник тепловой энергии  </v>
      </c>
      <c r="AQ46" s="613"/>
      <c r="AR46" s="613"/>
      <c r="AS46" s="1268">
        <v>21</v>
      </c>
    </row>
    <row s="8192" customFormat="1" customHeight="1" ht="0">
      <c r="A47" s="1456" t="s">
        <v>251</v>
      </c>
      <c r="B47" s="1456" t="s">
        <v>252</v>
      </c>
      <c r="C47" s="1456" t="s">
        <v>253</v>
      </c>
      <c r="D47" s="1456" t="s">
        <v>254</v>
      </c>
      <c r="E47" s="2372"/>
      <c r="F47" s="2372"/>
      <c r="G47" s="2372"/>
      <c r="H47" s="2372"/>
      <c r="I47" s="2369" t="str">
        <f>S46&amp;".1"</f>
        <v>....1</v>
      </c>
      <c r="J47" s="1456"/>
      <c r="K47" s="1456"/>
      <c r="L47" s="1459" t="s">
        <v>558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251</v>
      </c>
      <c r="B48" s="1476" t="s">
        <v>252</v>
      </c>
      <c r="C48" s="1476" t="s">
        <v>253</v>
      </c>
      <c r="D48" s="1476" t="s">
        <v>254</v>
      </c>
      <c r="E48" s="2372"/>
      <c r="F48" s="2372"/>
      <c r="G48" s="2372"/>
      <c r="H48" s="2372"/>
      <c r="I48" s="2399"/>
      <c r="J48" s="2369" t="str">
        <f>S46&amp;".1"</f>
        <v>....1</v>
      </c>
      <c r="K48" s="1476"/>
      <c r="L48" s="1477" t="s">
        <v>561</v>
      </c>
      <c r="P48" s="2370"/>
      <c r="Q48" s="2370">
        <v>1</v>
      </c>
      <c r="R48" s="470"/>
      <c r="S48" s="1449" t="str">
        <f>$J48</f>
        <v>....1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613"/>
      <c r="AP48" s="613" t="str">
        <f>IF(T48="","",T48)</f>
        <v>Группа потребителей</v>
      </c>
      <c r="AQ48" s="613"/>
      <c r="AR48" s="613"/>
      <c r="AS48" s="1268">
        <v>21</v>
      </c>
    </row>
    <row customHeight="1" ht="22.049999999999997">
      <c r="A49" s="1476" t="s">
        <v>251</v>
      </c>
      <c r="B49" s="1476" t="s">
        <v>252</v>
      </c>
      <c r="C49" s="1476" t="s">
        <v>253</v>
      </c>
      <c r="D49" s="1476" t="s">
        <v>254</v>
      </c>
      <c r="E49" s="2372"/>
      <c r="F49" s="2372"/>
      <c r="G49" s="2372"/>
      <c r="H49" s="2372"/>
      <c r="I49" s="2399"/>
      <c r="J49" s="2399"/>
      <c r="K49" s="2369" t="str">
        <f>J48&amp;".1"</f>
        <v>....1.1</v>
      </c>
      <c r="L49" s="1477" t="s">
        <v>564</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605</v>
      </c>
      <c r="AN49" s="624">
        <f>STRCHECKDATE(V50:AL50)</f>
      </c>
      <c r="AO49" s="613"/>
      <c r="AP49" s="613" t="str">
        <f>IF(T49="","",T49)</f>
        <v/>
      </c>
      <c r="AQ49" s="613"/>
      <c r="AR49" s="613"/>
      <c r="AS49" s="1268">
        <v>21</v>
      </c>
    </row>
    <row customHeight="1" ht="1.05">
      <c r="A50" s="1476" t="s">
        <v>251</v>
      </c>
      <c r="B50" s="1476" t="s">
        <v>252</v>
      </c>
      <c r="C50" s="1476" t="s">
        <v>253</v>
      </c>
      <c r="D50" s="1476" t="s">
        <v>254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251</v>
      </c>
      <c r="B51" s="1476" t="s">
        <v>252</v>
      </c>
      <c r="C51" s="1476" t="s">
        <v>253</v>
      </c>
      <c r="D51" s="1476" t="s">
        <v>254</v>
      </c>
      <c r="E51" s="2372"/>
      <c r="F51" s="2372"/>
      <c r="G51" s="2372"/>
      <c r="H51" s="2372"/>
      <c r="I51" s="2399"/>
      <c r="J51" s="2369"/>
      <c r="K51" s="1476"/>
      <c r="L51" s="1477"/>
      <c r="P51" s="2370"/>
      <c r="Q51" s="2370"/>
      <c r="R51" s="469"/>
      <c r="S51" s="1391"/>
      <c r="T51" s="400" t="s">
        <v>566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251</v>
      </c>
      <c r="B52" s="1476" t="s">
        <v>252</v>
      </c>
      <c r="C52" s="1476" t="s">
        <v>253</v>
      </c>
      <c r="D52" s="1476" t="s">
        <v>254</v>
      </c>
      <c r="E52" s="2372"/>
      <c r="F52" s="2372"/>
      <c r="G52" s="2372"/>
      <c r="H52" s="2372"/>
      <c r="I52" s="2369"/>
      <c r="J52" s="1476"/>
      <c r="K52" s="1476"/>
      <c r="L52" s="1477"/>
      <c r="P52" s="2370"/>
      <c r="Q52" s="1444"/>
      <c r="R52" s="469"/>
      <c r="S52" s="1391"/>
      <c r="T52" s="478" t="s">
        <v>567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251</v>
      </c>
      <c r="B53" s="1476" t="s">
        <v>252</v>
      </c>
      <c r="C53" s="1476" t="s">
        <v>253</v>
      </c>
      <c r="D53" s="1476" t="s">
        <v>254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192" customFormat="1" customHeight="1" ht="1.05">
      <c r="A54" s="1456" t="s">
        <v>251</v>
      </c>
      <c r="B54" s="1456" t="s">
        <v>252</v>
      </c>
      <c r="C54" s="1456" t="s">
        <v>253</v>
      </c>
      <c r="D54" s="1427"/>
      <c r="E54" s="2372"/>
      <c r="F54" s="2372"/>
      <c r="G54" s="2371"/>
      <c r="H54" s="1427"/>
      <c r="I54" s="1427"/>
      <c r="J54" s="1427"/>
      <c r="K54" s="1427"/>
      <c r="L54" s="1452"/>
      <c r="M54" s="1428"/>
      <c r="N54" s="142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8192" customFormat="1" customHeight="1" ht="1.05">
      <c r="A55" s="1456" t="s">
        <v>251</v>
      </c>
      <c r="B55" s="1456" t="s">
        <v>252</v>
      </c>
      <c r="C55" s="1427"/>
      <c r="D55" s="1427"/>
      <c r="E55" s="2372"/>
      <c r="F55" s="2371"/>
      <c r="G55" s="1427"/>
      <c r="H55" s="1427"/>
      <c r="I55" s="1427"/>
      <c r="J55" s="1427"/>
      <c r="K55" s="1427"/>
      <c r="L55" s="1452"/>
      <c r="M55" s="1434"/>
      <c r="N55" s="143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8192" customFormat="1" customHeight="1" ht="1.05">
      <c r="A56" s="1456" t="s">
        <v>251</v>
      </c>
      <c r="B56" s="1456"/>
      <c r="C56" s="1456"/>
      <c r="D56" s="1456"/>
      <c r="E56" s="2371"/>
      <c r="F56" s="1456"/>
      <c r="G56" s="1456"/>
      <c r="H56" s="1456"/>
      <c r="I56" s="1456"/>
      <c r="J56" s="1456"/>
      <c r="K56" s="1456"/>
      <c r="L56" s="1459"/>
      <c r="M56" s="1434"/>
      <c r="N56" s="1434"/>
      <c r="O56" s="631"/>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819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95A4D-8D89-43C3-9262-F808CB145F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5" width="3.7109375" hidden="1" customWidth="1"/>
    <col min="17" max="18" style="9046" width="3.00390625" customWidth="1"/>
    <col min="19" max="19" style="9047" width="12.00390625" customWidth="1"/>
    <col min="20" max="20" style="8113" width="31.00390625" customWidth="1"/>
    <col min="21" max="21" style="8113" width="0.140625" customWidth="1"/>
    <col min="22" max="22" style="8113" width="24.7109375" hidden="1" customWidth="1"/>
    <col min="23" max="23" style="8113" width="0.140625" hidden="1" customWidth="1"/>
    <col min="24" max="25" style="8113" width="24.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24.7109375" customWidth="1"/>
    <col min="31" max="31" style="8113" width="0.140625" customWidth="1"/>
    <col min="32" max="33" style="8113" width="24.00390625" customWidth="1"/>
    <col min="34" max="34" style="8113" width="11.00390625" customWidth="1"/>
    <col min="35" max="35" style="8113" width="3.7109375" customWidth="1"/>
    <col min="36" max="36" style="8113" width="11.00390625" customWidth="1"/>
    <col min="37" max="37" style="8113" width="8.57421875" hidden="1" customWidth="1"/>
    <col min="38" max="38" style="8113" width="4.00390625" customWidth="1"/>
    <col min="39" max="39" style="8113" width="115.00390625" customWidth="1"/>
    <col min="40" max="44" style="8192" width="10.00390625" customWidth="1"/>
    <col min="45" max="45" style="811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200</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551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552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553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554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555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556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557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558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561</v>
      </c>
      <c r="M7" s="650"/>
      <c r="N7" s="1479"/>
      <c r="P7" s="2370"/>
      <c r="Q7" s="2370">
        <v>1</v>
      </c>
      <c r="R7" s="470"/>
      <c r="S7" s="1449">
        <f>$J7</f>
      </c>
      <c r="T7" s="399" t="s">
        <v>562</v>
      </c>
      <c r="U7" s="413"/>
      <c r="V7" s="2358"/>
      <c r="W7" s="2359"/>
      <c r="X7" s="2359"/>
      <c r="Y7" s="2359"/>
      <c r="Z7" s="2359"/>
      <c r="AA7" s="2359"/>
      <c r="AB7" s="2359"/>
      <c r="AC7" s="2360"/>
      <c r="AD7" s="2358"/>
      <c r="AE7" s="2359"/>
      <c r="AF7" s="2359"/>
      <c r="AG7" s="2359"/>
      <c r="AH7" s="2359"/>
      <c r="AI7" s="2359"/>
      <c r="AJ7" s="2359"/>
      <c r="AK7" s="2359"/>
      <c r="AL7" s="2360"/>
      <c r="AM7" s="1371" t="s">
        <v>563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564</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565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566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567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819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273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819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274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819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351</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8191" customFormat="1" customHeight="1" ht="22.5" hidden="1">
      <c r="L20" s="1442"/>
      <c r="M20" s="1475"/>
      <c r="N20" s="1475"/>
      <c r="O20" s="1480" t="s">
        <v>569</v>
      </c>
      <c r="P20" s="1475"/>
      <c r="Q20" s="1484"/>
      <c r="R20" s="1484"/>
      <c r="S20" s="842"/>
      <c r="Z20" s="1480"/>
      <c r="AB20" s="1480"/>
      <c r="AC20" s="1479"/>
      <c r="AH20" s="1480"/>
      <c r="AJ20" s="1480"/>
      <c r="AK20" s="1479"/>
      <c r="AN20" s="624"/>
      <c r="AO20" s="624"/>
      <c r="AP20" s="624"/>
      <c r="AQ20" s="624"/>
      <c r="AR20" s="624"/>
      <c r="AS20" s="1273">
        <v>0</v>
      </c>
    </row>
    <row s="8191" customFormat="1" customHeight="1" ht="14.25" hidden="1">
      <c r="L21" s="1442"/>
      <c r="M21" s="1475"/>
      <c r="N21" s="1475"/>
      <c r="O21" s="1475"/>
      <c r="P21" s="1475"/>
      <c r="Q21" s="1484"/>
      <c r="R21" s="1484"/>
      <c r="S21" s="842"/>
      <c r="AC21" s="1479"/>
      <c r="AK21" s="1479"/>
      <c r="AN21" s="624"/>
      <c r="AO21" s="624"/>
      <c r="AP21" s="624"/>
      <c r="AQ21" s="624"/>
      <c r="AR21" s="624"/>
      <c r="AS21" s="1273">
        <v>0</v>
      </c>
    </row>
    <row s="8191" customFormat="1" customHeight="1" ht="14.25" hidden="1">
      <c r="L22" s="1442"/>
      <c r="M22" s="1475"/>
      <c r="N22" s="1475"/>
      <c r="O22" s="1477" t="s">
        <v>570</v>
      </c>
      <c r="P22" s="1475"/>
      <c r="Q22" s="1484"/>
      <c r="R22" s="1484"/>
      <c r="S22" s="842"/>
      <c r="T22" s="1273" t="s">
        <v>571</v>
      </c>
      <c r="AA22" s="299" t="s">
        <v>572</v>
      </c>
      <c r="AC22" s="299" t="s">
        <v>573</v>
      </c>
      <c r="AD22" s="1273" t="s">
        <v>571</v>
      </c>
      <c r="AI22" s="299" t="s">
        <v>574</v>
      </c>
      <c r="AK22" s="299" t="s">
        <v>573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8328"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8328" customFormat="1" customHeight="1" ht="18.75">
      <c r="A30" s="1481"/>
      <c r="B30" s="1481"/>
      <c r="C30" s="1481"/>
      <c r="D30" s="1481"/>
      <c r="E30" s="1481"/>
      <c r="F30" s="1481"/>
      <c r="G30" s="1481"/>
      <c r="H30" s="1481"/>
      <c r="I30" s="1481"/>
      <c r="J30" s="1481"/>
      <c r="K30" s="1481"/>
      <c r="L30" s="1482"/>
      <c r="M30" s="1481"/>
      <c r="N30" s="1481"/>
      <c r="O30" s="1481"/>
      <c r="S30" s="2363" t="s">
        <v>575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8328" customFormat="1" customHeight="1" ht="18.75">
      <c r="A31" s="1481"/>
      <c r="B31" s="1481"/>
      <c r="C31" s="1481"/>
      <c r="D31" s="1481"/>
      <c r="E31" s="1481"/>
      <c r="F31" s="1481"/>
      <c r="G31" s="1481"/>
      <c r="H31" s="1481"/>
      <c r="I31" s="1481"/>
      <c r="J31" s="1481"/>
      <c r="K31" s="1481"/>
      <c r="L31" s="1482"/>
      <c r="M31" s="1481"/>
      <c r="N31" s="1481"/>
      <c r="O31" s="1481"/>
      <c r="S31" s="2363" t="s">
        <v>576</v>
      </c>
      <c r="T31" s="2363"/>
      <c r="U31" s="1485"/>
      <c r="V31" s="2364" t="str">
        <f>IF(TITLE_NUMBER_PR_CHANGE="",IF(TITLE_NUMBER_PR="","",TITLE_NUMBER_PR),TITLE_NUMBER_PR_CHANGE)</f>
        <v>51/111</v>
      </c>
      <c r="W31" s="2364"/>
      <c r="X31" s="2364"/>
      <c r="Y31" s="2364"/>
      <c r="Z31" s="2364"/>
      <c r="AA31" s="2364"/>
      <c r="AB31" s="2364"/>
      <c r="AC31" s="439"/>
      <c r="AD31" s="2364" t="str">
        <f>IF(TITLE_NUMBER_PR_CHANGE="",IF(TITLE_NUMBER_PR="","",TITLE_NUMBER_PR),TITLE_NUMBER_PR_CHANGE)</f>
        <v>51/111</v>
      </c>
      <c r="AE31" s="2364"/>
      <c r="AF31" s="2364"/>
      <c r="AG31" s="2364"/>
      <c r="AH31" s="2364"/>
      <c r="AI31" s="2364"/>
      <c r="AJ31" s="2364"/>
      <c r="AK31" s="439"/>
      <c r="AL31" s="439"/>
      <c r="AM31" s="393"/>
      <c r="AN31" s="481"/>
      <c r="AO31" s="481"/>
      <c r="AP31" s="481"/>
      <c r="AQ31" s="481"/>
      <c r="AR31" s="481"/>
      <c r="AS31" s="531">
        <v>0</v>
      </c>
    </row>
    <row s="8328"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https://npa.gov-murman.ru/bitrix/components/b1team/govmurman.element.file/download.php?ID=537819&amp;FID=814581</v>
      </c>
      <c r="W32" s="2364"/>
      <c r="X32" s="2364"/>
      <c r="Y32" s="2364"/>
      <c r="Z32" s="2364"/>
      <c r="AA32" s="2364"/>
      <c r="AB32" s="2364"/>
      <c r="AC32" s="439"/>
      <c r="AD32" s="2364" t="str">
        <f>IF(TITLE_IST_PUB_CHANGE="",IF(TITLE_IST_PUB="","",TITLE_IST_PUB),TITLE_IST_PUB_CHANGE)</f>
        <v>https://npa.gov-murman.ru/bitrix/components/b1team/govmurman.element.file/download.php?ID=537819&amp;FID=814581</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8328" customFormat="1" customHeight="1" ht="18.75" hidden="1">
      <c r="A34" s="1481"/>
      <c r="B34" s="1481"/>
      <c r="C34" s="1481"/>
      <c r="D34" s="1481"/>
      <c r="E34" s="1481"/>
      <c r="F34" s="1481"/>
      <c r="G34" s="1481"/>
      <c r="H34" s="1481"/>
      <c r="I34" s="1481"/>
      <c r="J34" s="1481"/>
      <c r="K34" s="1481"/>
      <c r="L34" s="1482"/>
      <c r="M34" s="1481"/>
      <c r="N34" s="1481"/>
      <c r="O34" s="1481"/>
      <c r="S34" s="2363" t="s">
        <v>577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8328" customFormat="1" customHeight="1" ht="25.5" hidden="1">
      <c r="A35" s="1481"/>
      <c r="B35" s="1481"/>
      <c r="C35" s="1481"/>
      <c r="D35" s="1481"/>
      <c r="E35" s="1481"/>
      <c r="F35" s="1481"/>
      <c r="G35" s="1481"/>
      <c r="H35" s="1481"/>
      <c r="I35" s="1481"/>
      <c r="J35" s="1481"/>
      <c r="K35" s="1481"/>
      <c r="L35" s="1482"/>
      <c r="M35" s="1481"/>
      <c r="N35" s="1481"/>
      <c r="O35" s="1481"/>
      <c r="S35" s="2363" t="s">
        <v>578</v>
      </c>
      <c r="T35" s="2363"/>
      <c r="U35" s="1485"/>
      <c r="V35" s="2364" t="str">
        <f>IF(TITLE_NUMBER_PR_CHANGE="",IF(TITLE_NUMBER_PR="","",TITLE_NUMBER_PR),TITLE_NUMBER_PR_CHANGE)</f>
        <v>51/111</v>
      </c>
      <c r="W35" s="2364"/>
      <c r="X35" s="2364"/>
      <c r="Y35" s="2364"/>
      <c r="Z35" s="2364"/>
      <c r="AA35" s="2364"/>
      <c r="AB35" s="2364"/>
      <c r="AC35" s="439"/>
      <c r="AD35" s="2364" t="str">
        <f>IF(TITLE_NUMBER_PR_CHANGE="",IF(TITLE_NUMBER_PR="","",TITLE_NUMBER_PR),TITLE_NUMBER_PR_CHANGE)</f>
        <v>51/111</v>
      </c>
      <c r="AE35" s="2364"/>
      <c r="AF35" s="2364"/>
      <c r="AG35" s="2364"/>
      <c r="AH35" s="2364"/>
      <c r="AI35" s="2364"/>
      <c r="AJ35" s="2364"/>
      <c r="AK35" s="439"/>
      <c r="AL35" s="439"/>
      <c r="AM35" s="393"/>
      <c r="AN35" s="481"/>
      <c r="AO35" s="481"/>
      <c r="AP35" s="481"/>
      <c r="AQ35" s="481"/>
      <c r="AR35" s="481"/>
      <c r="AS35" s="531">
        <v>0</v>
      </c>
    </row>
    <row s="832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579</v>
      </c>
      <c r="AD36" s="439"/>
      <c r="AE36" s="439"/>
      <c r="AF36" s="439"/>
      <c r="AG36" s="439"/>
      <c r="AH36" s="439"/>
      <c r="AI36" s="439"/>
      <c r="AJ36" s="439"/>
      <c r="AK36" s="391" t="s">
        <v>579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455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456</v>
      </c>
      <c r="AS38" s="1268">
        <v>14</v>
      </c>
    </row>
    <row customHeight="1" ht="14.699999999999998">
      <c r="Q39" s="489"/>
      <c r="R39" s="489"/>
      <c r="S39" s="2386" t="s">
        <v>90</v>
      </c>
      <c r="T39" s="2322" t="s">
        <v>580</v>
      </c>
      <c r="U39" s="414"/>
      <c r="V39" s="2387" t="s">
        <v>581</v>
      </c>
      <c r="W39" s="2388"/>
      <c r="X39" s="2388"/>
      <c r="Y39" s="2388"/>
      <c r="Z39" s="2388"/>
      <c r="AA39" s="2388"/>
      <c r="AB39" s="2389"/>
      <c r="AC39" s="2390" t="s">
        <v>582</v>
      </c>
      <c r="AD39" s="2387" t="s">
        <v>581</v>
      </c>
      <c r="AE39" s="2388"/>
      <c r="AF39" s="2388"/>
      <c r="AG39" s="2388"/>
      <c r="AH39" s="2388"/>
      <c r="AI39" s="2388"/>
      <c r="AJ39" s="2389"/>
      <c r="AK39" s="2390" t="s">
        <v>583</v>
      </c>
      <c r="AL39" s="2393" t="s">
        <v>584</v>
      </c>
      <c r="AM39" s="2240"/>
      <c r="AS39" s="1268">
        <v>14</v>
      </c>
    </row>
    <row customHeight="1" ht="35.699999999999996">
      <c r="Q40" s="489"/>
      <c r="R40" s="489"/>
      <c r="S40" s="2386"/>
      <c r="T40" s="2322"/>
      <c r="U40" s="1144"/>
      <c r="V40" s="2373" t="s">
        <v>585</v>
      </c>
      <c r="W40" s="2396"/>
      <c r="X40" s="2375" t="s">
        <v>587</v>
      </c>
      <c r="Y40" s="2376"/>
      <c r="Z40" s="2375" t="s">
        <v>588</v>
      </c>
      <c r="AA40" s="2382"/>
      <c r="AB40" s="2376"/>
      <c r="AC40" s="2391"/>
      <c r="AD40" s="2373" t="s">
        <v>604</v>
      </c>
      <c r="AE40" s="2396"/>
      <c r="AF40" s="2375" t="s">
        <v>587</v>
      </c>
      <c r="AG40" s="2376"/>
      <c r="AH40" s="2375" t="s">
        <v>588</v>
      </c>
      <c r="AI40" s="2382"/>
      <c r="AJ40" s="2376"/>
      <c r="AK40" s="2391"/>
      <c r="AL40" s="2394"/>
      <c r="AM40" s="2240"/>
      <c r="AS40" s="1268">
        <v>34</v>
      </c>
    </row>
    <row customHeight="1" ht="35.699999999999996">
      <c r="A41" s="1483"/>
      <c r="B41" s="1483" t="s">
        <v>212</v>
      </c>
      <c r="C41" s="1483" t="s">
        <v>213</v>
      </c>
      <c r="D41" s="1483" t="s">
        <v>214</v>
      </c>
      <c r="E41" s="1477" t="s">
        <v>589</v>
      </c>
      <c r="F41" s="1477" t="s">
        <v>590</v>
      </c>
      <c r="G41" s="1477" t="s">
        <v>591</v>
      </c>
      <c r="H41" s="1477" t="s">
        <v>592</v>
      </c>
      <c r="I41" s="1477" t="s">
        <v>593</v>
      </c>
      <c r="J41" s="1477" t="s">
        <v>594</v>
      </c>
      <c r="K41" s="1477" t="s">
        <v>595</v>
      </c>
      <c r="L41" s="1477" t="s">
        <v>570</v>
      </c>
      <c r="Q41" s="489"/>
      <c r="R41" s="489"/>
      <c r="S41" s="2386"/>
      <c r="T41" s="2322"/>
      <c r="U41" s="415"/>
      <c r="V41" s="2374"/>
      <c r="W41" s="2397"/>
      <c r="X41" s="1335" t="s">
        <v>596</v>
      </c>
      <c r="Y41" s="1335" t="s">
        <v>597</v>
      </c>
      <c r="Z41" s="1451" t="s">
        <v>598</v>
      </c>
      <c r="AA41" s="2383" t="s">
        <v>599</v>
      </c>
      <c r="AB41" s="2384"/>
      <c r="AC41" s="2392"/>
      <c r="AD41" s="2374"/>
      <c r="AE41" s="2397"/>
      <c r="AF41" s="1335" t="s">
        <v>596</v>
      </c>
      <c r="AG41" s="1335" t="s">
        <v>597</v>
      </c>
      <c r="AH41" s="1451" t="s">
        <v>598</v>
      </c>
      <c r="AI41" s="2383" t="s">
        <v>599</v>
      </c>
      <c r="AJ41" s="2384"/>
      <c r="AK41" s="2392"/>
      <c r="AL41" s="2395"/>
      <c r="AM41" s="2240"/>
      <c r="AS41" s="1268">
        <v>34</v>
      </c>
    </row>
    <row s="880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155</v>
      </c>
      <c r="T42" s="1368" t="s">
        <v>105</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257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200</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257</v>
      </c>
      <c r="B44" s="1476" t="s">
        <v>258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552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553</v>
      </c>
      <c r="AO44" s="613"/>
      <c r="AP44" s="613" t="str">
        <f>IF(T44="","",T44)</f>
        <v>Территория действия тарифа</v>
      </c>
      <c r="AQ44" s="613"/>
      <c r="AR44" s="613"/>
      <c r="AS44" s="1268">
        <v>21</v>
      </c>
    </row>
    <row customHeight="1" ht="24">
      <c r="A45" s="1476" t="s">
        <v>257</v>
      </c>
      <c r="B45" s="1476" t="s">
        <v>258</v>
      </c>
      <c r="C45" s="1476" t="s">
        <v>259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554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555</v>
      </c>
      <c r="AO45" s="613"/>
      <c r="AP45" s="613" t="str">
        <f>IF(T45="","",T45)</f>
        <v>Наименование системы теплоснабжения </v>
      </c>
      <c r="AQ45" s="613"/>
      <c r="AR45" s="613"/>
      <c r="AS45" s="1268">
        <v>23</v>
      </c>
    </row>
    <row customHeight="1" ht="22.049999999999997">
      <c r="A46" s="1476" t="s">
        <v>257</v>
      </c>
      <c r="B46" s="1476" t="s">
        <v>258</v>
      </c>
      <c r="C46" s="1476" t="s">
        <v>259</v>
      </c>
      <c r="D46" s="1476" t="s">
        <v>260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556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557</v>
      </c>
      <c r="AO46" s="613"/>
      <c r="AP46" s="613" t="str">
        <f>IF(T46="","",T46)</f>
        <v>Источник тепловой энергии  </v>
      </c>
      <c r="AQ46" s="613"/>
      <c r="AR46" s="613"/>
      <c r="AS46" s="1268">
        <v>21</v>
      </c>
    </row>
    <row s="8192" customFormat="1" customHeight="1" ht="0">
      <c r="A47" s="1456" t="s">
        <v>257</v>
      </c>
      <c r="B47" s="1456" t="s">
        <v>258</v>
      </c>
      <c r="C47" s="1456" t="s">
        <v>259</v>
      </c>
      <c r="D47" s="1456" t="s">
        <v>260</v>
      </c>
      <c r="E47" s="2372"/>
      <c r="F47" s="2372"/>
      <c r="G47" s="2372"/>
      <c r="H47" s="2372"/>
      <c r="I47" s="2369" t="str">
        <f>S46&amp;".1"</f>
        <v>....1</v>
      </c>
      <c r="J47" s="1456"/>
      <c r="K47" s="1456"/>
      <c r="L47" s="1459" t="s">
        <v>558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257</v>
      </c>
      <c r="B48" s="1476" t="s">
        <v>258</v>
      </c>
      <c r="C48" s="1476" t="s">
        <v>259</v>
      </c>
      <c r="D48" s="1476" t="s">
        <v>260</v>
      </c>
      <c r="E48" s="2372"/>
      <c r="F48" s="2372"/>
      <c r="G48" s="2372"/>
      <c r="H48" s="2372"/>
      <c r="I48" s="2399"/>
      <c r="J48" s="2369" t="str">
        <f>S46&amp;".1"</f>
        <v>....1</v>
      </c>
      <c r="K48" s="1476"/>
      <c r="L48" s="1477" t="s">
        <v>561</v>
      </c>
      <c r="P48" s="2370"/>
      <c r="Q48" s="2370">
        <v>1</v>
      </c>
      <c r="R48" s="470"/>
      <c r="S48" s="1449" t="str">
        <f>$J48</f>
        <v>....1</v>
      </c>
      <c r="T48" s="399" t="s">
        <v>562</v>
      </c>
      <c r="U48" s="413"/>
      <c r="V48" s="2358"/>
      <c r="W48" s="2359"/>
      <c r="X48" s="2359"/>
      <c r="Y48" s="2359"/>
      <c r="Z48" s="2359"/>
      <c r="AA48" s="2359"/>
      <c r="AB48" s="2359"/>
      <c r="AC48" s="2360"/>
      <c r="AD48" s="2358"/>
      <c r="AE48" s="2359"/>
      <c r="AF48" s="2359"/>
      <c r="AG48" s="2359"/>
      <c r="AH48" s="2359"/>
      <c r="AI48" s="2359"/>
      <c r="AJ48" s="2359"/>
      <c r="AK48" s="2359"/>
      <c r="AL48" s="2360"/>
      <c r="AM48" s="1371" t="s">
        <v>563</v>
      </c>
      <c r="AO48" s="613"/>
      <c r="AP48" s="613" t="str">
        <f>IF(T48="","",T48)</f>
        <v>Группа потребителей</v>
      </c>
      <c r="AQ48" s="613"/>
      <c r="AR48" s="613"/>
      <c r="AS48" s="1268">
        <v>21</v>
      </c>
    </row>
    <row customHeight="1" ht="22.049999999999997">
      <c r="A49" s="1476" t="s">
        <v>257</v>
      </c>
      <c r="B49" s="1476" t="s">
        <v>258</v>
      </c>
      <c r="C49" s="1476" t="s">
        <v>259</v>
      </c>
      <c r="D49" s="1476" t="s">
        <v>260</v>
      </c>
      <c r="E49" s="2372"/>
      <c r="F49" s="2372"/>
      <c r="G49" s="2372"/>
      <c r="H49" s="2372"/>
      <c r="I49" s="2399"/>
      <c r="J49" s="2399"/>
      <c r="K49" s="2369" t="str">
        <f>J48&amp;".1"</f>
        <v>....1.1</v>
      </c>
      <c r="L49" s="1477" t="s">
        <v>564</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605</v>
      </c>
      <c r="AN49" s="624">
        <f>STRCHECKDATE(V50:AL50)</f>
      </c>
      <c r="AO49" s="613"/>
      <c r="AP49" s="613" t="str">
        <f>IF(T49="","",T49)</f>
        <v/>
      </c>
      <c r="AQ49" s="613"/>
      <c r="AR49" s="613"/>
      <c r="AS49" s="1268">
        <v>21</v>
      </c>
    </row>
    <row customHeight="1" ht="0">
      <c r="A50" s="1476" t="s">
        <v>257</v>
      </c>
      <c r="B50" s="1476" t="s">
        <v>258</v>
      </c>
      <c r="C50" s="1476" t="s">
        <v>259</v>
      </c>
      <c r="D50" s="1476" t="s">
        <v>260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257</v>
      </c>
      <c r="B51" s="1476" t="s">
        <v>258</v>
      </c>
      <c r="C51" s="1476" t="s">
        <v>259</v>
      </c>
      <c r="D51" s="1476" t="s">
        <v>260</v>
      </c>
      <c r="E51" s="2372"/>
      <c r="F51" s="2372"/>
      <c r="G51" s="2372"/>
      <c r="H51" s="2372"/>
      <c r="I51" s="2399"/>
      <c r="J51" s="2369"/>
      <c r="K51" s="1476"/>
      <c r="L51" s="1477"/>
      <c r="P51" s="2370"/>
      <c r="Q51" s="2370"/>
      <c r="R51" s="469"/>
      <c r="S51" s="1391"/>
      <c r="T51" s="400" t="s">
        <v>566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257</v>
      </c>
      <c r="B52" s="1476" t="s">
        <v>258</v>
      </c>
      <c r="C52" s="1476" t="s">
        <v>259</v>
      </c>
      <c r="D52" s="1476" t="s">
        <v>260</v>
      </c>
      <c r="E52" s="2372"/>
      <c r="F52" s="2372"/>
      <c r="G52" s="2372"/>
      <c r="H52" s="2372"/>
      <c r="I52" s="2369"/>
      <c r="J52" s="1476"/>
      <c r="K52" s="1476"/>
      <c r="L52" s="1477"/>
      <c r="P52" s="2370"/>
      <c r="Q52" s="1444"/>
      <c r="R52" s="469"/>
      <c r="S52" s="1391"/>
      <c r="T52" s="478" t="s">
        <v>567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257</v>
      </c>
      <c r="B53" s="1476" t="s">
        <v>258</v>
      </c>
      <c r="C53" s="1476" t="s">
        <v>259</v>
      </c>
      <c r="D53" s="1476" t="s">
        <v>260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8192" customFormat="1" customHeight="1" ht="0">
      <c r="A54" s="1456" t="s">
        <v>257</v>
      </c>
      <c r="B54" s="1456" t="s">
        <v>258</v>
      </c>
      <c r="C54" s="1456" t="s">
        <v>259</v>
      </c>
      <c r="D54" s="1427"/>
      <c r="E54" s="2372"/>
      <c r="F54" s="2372"/>
      <c r="G54" s="2371"/>
      <c r="H54" s="1427"/>
      <c r="I54" s="1427"/>
      <c r="J54" s="1427"/>
      <c r="K54" s="1427"/>
      <c r="L54" s="1452"/>
      <c r="M54" s="1428"/>
      <c r="N54" s="1428"/>
      <c r="P54" s="1429"/>
      <c r="Q54" s="1430"/>
      <c r="R54" s="1429"/>
      <c r="S54" s="1435"/>
      <c r="T54" s="1438" t="s">
        <v>273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8192" customFormat="1" customHeight="1" ht="0">
      <c r="A55" s="1456" t="s">
        <v>257</v>
      </c>
      <c r="B55" s="1456" t="s">
        <v>258</v>
      </c>
      <c r="C55" s="1427"/>
      <c r="D55" s="1427"/>
      <c r="E55" s="2372"/>
      <c r="F55" s="2371"/>
      <c r="G55" s="1427"/>
      <c r="H55" s="1427"/>
      <c r="I55" s="1427"/>
      <c r="J55" s="1427"/>
      <c r="K55" s="1427"/>
      <c r="L55" s="1452"/>
      <c r="M55" s="1434"/>
      <c r="N55" s="1434"/>
      <c r="P55" s="1429"/>
      <c r="Q55" s="1430"/>
      <c r="R55" s="1429"/>
      <c r="S55" s="1435"/>
      <c r="T55" s="1438" t="s">
        <v>274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8192" customFormat="1" customHeight="1" ht="0">
      <c r="A56" s="1456" t="s">
        <v>257</v>
      </c>
      <c r="B56" s="1456"/>
      <c r="C56" s="1456"/>
      <c r="D56" s="1456"/>
      <c r="E56" s="2371"/>
      <c r="F56" s="1456"/>
      <c r="G56" s="1456"/>
      <c r="H56" s="1456"/>
      <c r="I56" s="1456"/>
      <c r="J56" s="1456"/>
      <c r="K56" s="1456"/>
      <c r="L56" s="1459"/>
      <c r="M56" s="1434"/>
      <c r="N56" s="1434"/>
      <c r="O56" s="631"/>
      <c r="P56" s="493"/>
      <c r="Q56" s="1457"/>
      <c r="R56" s="493"/>
      <c r="S56" s="1435"/>
      <c r="T56" s="1438" t="s">
        <v>351</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819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352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F86C-2F1A-EE5D-508E-A62DA95F028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13" width="10.57421875" hidden="1"/>
    <col min="2" max="2" style="8113" width="11.00390625" hidden="1" customWidth="1"/>
    <col min="3" max="3" style="8113" width="10.57421875" hidden="1"/>
    <col min="4" max="4" style="8113" width="11.8515625" hidden="1" customWidth="1"/>
    <col min="5" max="5" style="8113" width="10.00390625" hidden="1" customWidth="1"/>
    <col min="6" max="6" style="8113" width="8.7109375" hidden="1" customWidth="1"/>
    <col min="7" max="7" style="8113" width="7.57421875" hidden="1" customWidth="1"/>
    <col min="8" max="8" style="8113" width="11.421875" hidden="1" customWidth="1"/>
    <col min="9" max="9" style="8113" width="12.00390625" hidden="1" customWidth="1"/>
    <col min="10" max="10" style="8113" width="9.8515625" hidden="1" customWidth="1"/>
    <col min="11" max="12" style="8113" width="11.421875" hidden="1" customWidth="1"/>
    <col min="13" max="13" style="8189" width="19.140625" hidden="1" customWidth="1"/>
    <col min="14" max="15" style="9045" width="12.28125" hidden="1" customWidth="1"/>
    <col min="16" max="16" style="9045" width="23.421875" hidden="1" customWidth="1"/>
    <col min="17" max="17" style="9045" width="3.7109375" hidden="1" customWidth="1"/>
    <col min="18" max="20" style="9046" width="3.00390625" customWidth="1"/>
    <col min="21" max="21" style="9047" width="12.00390625" customWidth="1"/>
    <col min="22" max="22" style="8113" width="31.00390625" customWidth="1"/>
    <col min="23" max="23" style="8113" width="0.140625" customWidth="1"/>
    <col min="24" max="28" style="8113" width="21.7109375" hidden="1" customWidth="1"/>
    <col min="29" max="29" style="8113" width="11.7109375" hidden="1" customWidth="1"/>
    <col min="30" max="30" style="8113" width="3.7109375" hidden="1" customWidth="1"/>
    <col min="31" max="31" style="8113" width="11.7109375" hidden="1" customWidth="1"/>
    <col min="32" max="32" style="8113" width="8.57421875" hidden="1" customWidth="1"/>
    <col min="33" max="33" style="8113" width="21.7109375" customWidth="1"/>
    <col min="34" max="37" style="8113" width="21.00390625" customWidth="1"/>
    <col min="38" max="38" style="8113" width="11.00390625" customWidth="1"/>
    <col min="39" max="39" style="8113" width="3.7109375" customWidth="1"/>
    <col min="40" max="40" style="8113" width="11.00390625" customWidth="1"/>
    <col min="41" max="41" style="8113" width="8.57421875" hidden="1" customWidth="1"/>
    <col min="42" max="42" style="8113" width="4.00390625" customWidth="1"/>
    <col min="43" max="43" style="8113" width="115.00390625" customWidth="1"/>
    <col min="44" max="48" style="8192" width="10.00390625" customWidth="1"/>
    <col min="49" max="49" style="811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200</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551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552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553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554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555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556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557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558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561</v>
      </c>
      <c r="N7" s="622"/>
      <c r="O7" s="440"/>
      <c r="Q7" s="2370"/>
      <c r="R7" s="2370">
        <v>1</v>
      </c>
      <c r="S7" s="631"/>
      <c r="T7" s="470"/>
      <c r="U7" s="1449">
        <f>$J7</f>
      </c>
      <c r="V7" s="399" t="s">
        <v>562</v>
      </c>
      <c r="W7" s="413"/>
      <c r="X7" s="2358"/>
      <c r="Y7" s="2359"/>
      <c r="Z7" s="2359"/>
      <c r="AA7" s="2359"/>
      <c r="AB7" s="2359"/>
      <c r="AC7" s="2348"/>
      <c r="AD7" s="2348"/>
      <c r="AE7" s="2348"/>
      <c r="AF7" s="2421"/>
      <c r="AG7" s="2358"/>
      <c r="AH7" s="2359"/>
      <c r="AI7" s="2359"/>
      <c r="AJ7" s="2359"/>
      <c r="AK7" s="2359"/>
      <c r="AL7" s="2359"/>
      <c r="AM7" s="2359"/>
      <c r="AN7" s="2359"/>
      <c r="AO7" s="2359"/>
      <c r="AP7" s="2360"/>
      <c r="AQ7" s="1371" t="s">
        <v>563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564</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606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607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608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566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567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819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273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819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274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819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351</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8191" customFormat="1" customHeight="1" ht="22.5" hidden="1">
      <c r="A24" s="1268"/>
      <c r="B24" s="1268"/>
      <c r="C24" s="1268"/>
      <c r="D24" s="1268"/>
      <c r="E24" s="1268"/>
      <c r="F24" s="1268"/>
      <c r="G24" s="1268"/>
      <c r="H24" s="1268"/>
      <c r="I24" s="1268"/>
      <c r="J24" s="1268"/>
      <c r="K24" s="1268"/>
      <c r="L24" s="1268"/>
      <c r="M24" s="1440"/>
      <c r="N24" s="1441"/>
      <c r="O24" s="1441"/>
      <c r="P24" s="1458" t="s">
        <v>569</v>
      </c>
      <c r="Q24" s="1475"/>
      <c r="R24" s="1484"/>
      <c r="S24" s="1484"/>
      <c r="T24" s="1484"/>
      <c r="U24" s="842"/>
      <c r="AC24" s="1480"/>
      <c r="AE24" s="1480"/>
      <c r="AF24" s="1479"/>
      <c r="AL24" s="1480"/>
      <c r="AN24" s="1480"/>
      <c r="AO24" s="1479"/>
      <c r="AR24" s="624"/>
      <c r="AS24" s="624"/>
      <c r="AT24" s="624"/>
      <c r="AU24" s="624"/>
      <c r="AV24" s="624"/>
      <c r="AW24" s="1273">
        <v>0</v>
      </c>
    </row>
    <row s="819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8191" customFormat="1" customHeight="1" ht="14.25" hidden="1">
      <c r="A26" s="1268"/>
      <c r="B26" s="1268"/>
      <c r="C26" s="1268"/>
      <c r="D26" s="1268"/>
      <c r="E26" s="1268"/>
      <c r="F26" s="1268"/>
      <c r="G26" s="1268"/>
      <c r="H26" s="1268"/>
      <c r="I26" s="1268"/>
      <c r="J26" s="1268"/>
      <c r="K26" s="1268"/>
      <c r="L26" s="1268"/>
      <c r="M26" s="1440"/>
      <c r="N26" s="1441"/>
      <c r="O26" s="1441"/>
      <c r="P26" s="1423" t="s">
        <v>570</v>
      </c>
      <c r="Q26" s="1475"/>
      <c r="R26" s="1484"/>
      <c r="S26" s="1484"/>
      <c r="T26" s="1484"/>
      <c r="U26" s="842"/>
      <c r="V26" s="1273" t="s">
        <v>571</v>
      </c>
      <c r="AD26" s="299" t="s">
        <v>572</v>
      </c>
      <c r="AF26" s="299" t="s">
        <v>573</v>
      </c>
      <c r="AG26" s="1273" t="s">
        <v>571</v>
      </c>
      <c r="AM26" s="299" t="s">
        <v>574</v>
      </c>
      <c r="AO26" s="299" t="s">
        <v>573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8328"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8328" customFormat="1" customHeight="1" ht="18.75">
      <c r="A34" s="1361"/>
      <c r="B34" s="1361"/>
      <c r="C34" s="1361"/>
      <c r="D34" s="1361"/>
      <c r="E34" s="1361"/>
      <c r="F34" s="1361"/>
      <c r="G34" s="1361"/>
      <c r="H34" s="1361"/>
      <c r="I34" s="1361"/>
      <c r="J34" s="1361"/>
      <c r="K34" s="1361"/>
      <c r="L34" s="1361"/>
      <c r="M34" s="1493"/>
      <c r="N34" s="1361"/>
      <c r="O34" s="1361"/>
      <c r="P34" s="1361"/>
      <c r="U34" s="2363" t="s">
        <v>575</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8328" customFormat="1" customHeight="1" ht="18.75">
      <c r="A35" s="1361"/>
      <c r="B35" s="1361"/>
      <c r="C35" s="1361"/>
      <c r="D35" s="1361"/>
      <c r="E35" s="1361"/>
      <c r="F35" s="1361"/>
      <c r="G35" s="1361"/>
      <c r="H35" s="1361"/>
      <c r="I35" s="1361"/>
      <c r="J35" s="1361"/>
      <c r="K35" s="1361"/>
      <c r="L35" s="1361"/>
      <c r="M35" s="1493"/>
      <c r="N35" s="1361"/>
      <c r="O35" s="1361"/>
      <c r="P35" s="1361"/>
      <c r="U35" s="2363" t="s">
        <v>576</v>
      </c>
      <c r="V35" s="2363"/>
      <c r="W35" s="1485"/>
      <c r="X35" s="2364" t="str">
        <f>IF(TITLE_NUMBER_PR_CHANGE="",IF(TITLE_NUMBER_PR="","",TITLE_NUMBER_PR),TITLE_NUMBER_PR_CHANGE)</f>
        <v>51/111</v>
      </c>
      <c r="Y35" s="2364"/>
      <c r="Z35" s="2364"/>
      <c r="AA35" s="2364"/>
      <c r="AB35" s="2364"/>
      <c r="AC35" s="2364"/>
      <c r="AD35" s="2364"/>
      <c r="AE35" s="2364"/>
      <c r="AF35" s="439"/>
      <c r="AG35" s="2364" t="str">
        <f>IF(TITLE_NUMBER_PR_CHANGE="",IF(TITLE_NUMBER_PR="","",TITLE_NUMBER_PR),TITLE_NUMBER_PR_CHANGE)</f>
        <v>51/111</v>
      </c>
      <c r="AH35" s="2364"/>
      <c r="AI35" s="2364"/>
      <c r="AJ35" s="2364"/>
      <c r="AK35" s="2364"/>
      <c r="AL35" s="2364"/>
      <c r="AM35" s="2364"/>
      <c r="AN35" s="2364"/>
      <c r="AO35" s="439"/>
      <c r="AP35" s="439"/>
      <c r="AQ35" s="393"/>
      <c r="AR35" s="481"/>
      <c r="AS35" s="481"/>
      <c r="AT35" s="481"/>
      <c r="AU35" s="481"/>
      <c r="AV35" s="481"/>
      <c r="AW35" s="531">
        <v>0</v>
      </c>
    </row>
    <row s="8328"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https://npa.gov-murman.ru/bitrix/components/b1team/govmurman.element.file/download.php?ID=537819&amp;FID=814581</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https://npa.gov-murman.ru/bitrix/components/b1team/govmurman.element.file/download.php?ID=537819&amp;FID=814581</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8328" customFormat="1" customHeight="1" ht="18.75" hidden="1">
      <c r="A38" s="1361"/>
      <c r="B38" s="1361"/>
      <c r="C38" s="1361"/>
      <c r="D38" s="1361"/>
      <c r="E38" s="1361"/>
      <c r="F38" s="1361"/>
      <c r="G38" s="1361"/>
      <c r="H38" s="1361"/>
      <c r="I38" s="1361"/>
      <c r="J38" s="1361"/>
      <c r="K38" s="1361"/>
      <c r="L38" s="1361"/>
      <c r="M38" s="1493"/>
      <c r="N38" s="1361"/>
      <c r="O38" s="1361"/>
      <c r="P38" s="1361"/>
      <c r="U38" s="2363" t="s">
        <v>577</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8328" customFormat="1" customHeight="1" ht="18.75" hidden="1">
      <c r="A39" s="1361"/>
      <c r="B39" s="1361"/>
      <c r="C39" s="1361"/>
      <c r="D39" s="1361"/>
      <c r="E39" s="1361"/>
      <c r="F39" s="1361"/>
      <c r="G39" s="1361"/>
      <c r="H39" s="1361"/>
      <c r="I39" s="1361"/>
      <c r="J39" s="1361"/>
      <c r="K39" s="1361"/>
      <c r="L39" s="1361"/>
      <c r="M39" s="1493"/>
      <c r="N39" s="1361"/>
      <c r="O39" s="1361"/>
      <c r="P39" s="1361"/>
      <c r="U39" s="2363" t="s">
        <v>578</v>
      </c>
      <c r="V39" s="2363"/>
      <c r="W39" s="1485"/>
      <c r="X39" s="2364" t="str">
        <f>IF(TITLE_NUMBER_PR_CHANGE="",IF(TITLE_NUMBER_PR="","",TITLE_NUMBER_PR),TITLE_NUMBER_PR_CHANGE)</f>
        <v>51/111</v>
      </c>
      <c r="Y39" s="2364"/>
      <c r="Z39" s="2364"/>
      <c r="AA39" s="2364"/>
      <c r="AB39" s="2364"/>
      <c r="AC39" s="2364"/>
      <c r="AD39" s="2364"/>
      <c r="AE39" s="2364"/>
      <c r="AF39" s="439"/>
      <c r="AG39" s="2364" t="str">
        <f>IF(TITLE_NUMBER_PR_CHANGE="",IF(TITLE_NUMBER_PR="","",TITLE_NUMBER_PR),TITLE_NUMBER_PR_CHANGE)</f>
        <v>51/111</v>
      </c>
      <c r="AH39" s="2364"/>
      <c r="AI39" s="2364"/>
      <c r="AJ39" s="2364"/>
      <c r="AK39" s="2364"/>
      <c r="AL39" s="2364"/>
      <c r="AM39" s="2364"/>
      <c r="AN39" s="2364"/>
      <c r="AO39" s="439"/>
      <c r="AP39" s="439"/>
      <c r="AQ39" s="393"/>
      <c r="AR39" s="481"/>
      <c r="AS39" s="481"/>
      <c r="AT39" s="481"/>
      <c r="AU39" s="481"/>
      <c r="AV39" s="481"/>
      <c r="AW39" s="531">
        <v>0</v>
      </c>
    </row>
    <row s="832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579</v>
      </c>
      <c r="AG40" s="439"/>
      <c r="AH40" s="439"/>
      <c r="AI40" s="439"/>
      <c r="AJ40" s="439"/>
      <c r="AK40" s="439"/>
      <c r="AL40" s="439"/>
      <c r="AM40" s="439"/>
      <c r="AN40" s="439"/>
      <c r="AO40" s="391" t="s">
        <v>579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455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456</v>
      </c>
      <c r="AW42" s="1268">
        <v>14</v>
      </c>
    </row>
    <row customHeight="1" ht="14.699999999999998">
      <c r="R43" s="489"/>
      <c r="S43" s="489"/>
      <c r="T43" s="489"/>
      <c r="U43" s="2386" t="s">
        <v>90</v>
      </c>
      <c r="V43" s="2322" t="s">
        <v>580</v>
      </c>
      <c r="W43" s="414"/>
      <c r="X43" s="2387" t="s">
        <v>581</v>
      </c>
      <c r="Y43" s="2404"/>
      <c r="Z43" s="2404"/>
      <c r="AA43" s="2404"/>
      <c r="AB43" s="2404"/>
      <c r="AC43" s="2388"/>
      <c r="AD43" s="2388"/>
      <c r="AE43" s="2389"/>
      <c r="AF43" s="2390" t="s">
        <v>582</v>
      </c>
      <c r="AG43" s="2387" t="s">
        <v>581</v>
      </c>
      <c r="AH43" s="2404"/>
      <c r="AI43" s="2404"/>
      <c r="AJ43" s="2404"/>
      <c r="AK43" s="2404"/>
      <c r="AL43" s="2388"/>
      <c r="AM43" s="2388"/>
      <c r="AN43" s="2389"/>
      <c r="AO43" s="2390" t="s">
        <v>583</v>
      </c>
      <c r="AP43" s="2393" t="s">
        <v>584</v>
      </c>
      <c r="AQ43" s="2240"/>
      <c r="AW43" s="1268">
        <v>14</v>
      </c>
    </row>
    <row customHeight="1" ht="35.699999999999996">
      <c r="R44" s="489"/>
      <c r="S44" s="489"/>
      <c r="T44" s="489"/>
      <c r="U44" s="2386"/>
      <c r="V44" s="2322"/>
      <c r="W44" s="1144"/>
      <c r="X44" s="2407" t="s">
        <v>609</v>
      </c>
      <c r="Y44" s="2425" t="s">
        <v>610</v>
      </c>
      <c r="Z44" s="2425"/>
      <c r="AA44" s="2425"/>
      <c r="AB44" s="2425"/>
      <c r="AC44" s="2407" t="s">
        <v>588</v>
      </c>
      <c r="AD44" s="2724"/>
      <c r="AE44" s="2427"/>
      <c r="AF44" s="2391"/>
      <c r="AG44" s="2407" t="s">
        <v>609</v>
      </c>
      <c r="AH44" s="2425" t="s">
        <v>610</v>
      </c>
      <c r="AI44" s="2425"/>
      <c r="AJ44" s="2425"/>
      <c r="AK44" s="2425"/>
      <c r="AL44" s="2407" t="s">
        <v>588</v>
      </c>
      <c r="AM44" s="2724"/>
      <c r="AN44" s="2427"/>
      <c r="AO44" s="2391"/>
      <c r="AP44" s="2394"/>
      <c r="AQ44" s="2240"/>
      <c r="AW44" s="1268">
        <v>34</v>
      </c>
    </row>
    <row customHeight="1" ht="14.699999999999998">
      <c r="R45" s="489"/>
      <c r="S45" s="489"/>
      <c r="T45" s="489"/>
      <c r="U45" s="2386"/>
      <c r="V45" s="2322"/>
      <c r="W45" s="1144"/>
      <c r="X45" s="2438"/>
      <c r="Y45" s="2430" t="s">
        <v>611</v>
      </c>
      <c r="Z45" s="2383" t="s">
        <v>612</v>
      </c>
      <c r="AA45" s="2433"/>
      <c r="AB45" s="2384"/>
      <c r="AC45" s="2408"/>
      <c r="AD45" s="2725"/>
      <c r="AE45" s="2429"/>
      <c r="AF45" s="2391"/>
      <c r="AG45" s="2438"/>
      <c r="AH45" s="2430" t="s">
        <v>611</v>
      </c>
      <c r="AI45" s="2383" t="s">
        <v>612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613</v>
      </c>
      <c r="AA46" s="2383" t="s">
        <v>614</v>
      </c>
      <c r="AB46" s="2384"/>
      <c r="AC46" s="2430" t="s">
        <v>598</v>
      </c>
      <c r="AD46" s="2434" t="s">
        <v>599</v>
      </c>
      <c r="AE46" s="2435"/>
      <c r="AF46" s="2391"/>
      <c r="AG46" s="2438"/>
      <c r="AH46" s="2431"/>
      <c r="AI46" s="2430" t="s">
        <v>613</v>
      </c>
      <c r="AJ46" s="2383" t="s">
        <v>614</v>
      </c>
      <c r="AK46" s="2384"/>
      <c r="AL46" s="2430" t="s">
        <v>598</v>
      </c>
      <c r="AM46" s="2434" t="s">
        <v>599</v>
      </c>
      <c r="AN46" s="2435"/>
      <c r="AO46" s="2391"/>
      <c r="AP46" s="2394"/>
      <c r="AQ46" s="2240"/>
      <c r="AW46" s="1268">
        <v>26</v>
      </c>
    </row>
    <row customHeight="1" ht="65.25">
      <c r="A47" s="1372"/>
      <c r="B47" s="1372" t="s">
        <v>212</v>
      </c>
      <c r="C47" s="1372" t="s">
        <v>213</v>
      </c>
      <c r="D47" s="1372" t="s">
        <v>214</v>
      </c>
      <c r="E47" s="1423" t="s">
        <v>589</v>
      </c>
      <c r="F47" s="1423" t="s">
        <v>590</v>
      </c>
      <c r="G47" s="1423" t="s">
        <v>591</v>
      </c>
      <c r="H47" s="1423" t="s">
        <v>592</v>
      </c>
      <c r="I47" s="1423" t="s">
        <v>593</v>
      </c>
      <c r="J47" s="1423" t="s">
        <v>594</v>
      </c>
      <c r="K47" s="1423" t="s">
        <v>595</v>
      </c>
      <c r="L47" s="1423" t="s">
        <v>615</v>
      </c>
      <c r="M47" s="1423" t="s">
        <v>570</v>
      </c>
      <c r="R47" s="489"/>
      <c r="S47" s="489"/>
      <c r="T47" s="489"/>
      <c r="U47" s="2386"/>
      <c r="V47" s="2322"/>
      <c r="W47" s="415"/>
      <c r="X47" s="2408"/>
      <c r="Y47" s="2432"/>
      <c r="Z47" s="2432"/>
      <c r="AA47" s="1335" t="s">
        <v>616</v>
      </c>
      <c r="AB47" s="1335" t="s">
        <v>617</v>
      </c>
      <c r="AC47" s="2432"/>
      <c r="AD47" s="2436"/>
      <c r="AE47" s="2437"/>
      <c r="AF47" s="2392"/>
      <c r="AG47" s="2408"/>
      <c r="AH47" s="2432"/>
      <c r="AI47" s="2432"/>
      <c r="AJ47" s="1335" t="s">
        <v>616</v>
      </c>
      <c r="AK47" s="1335" t="s">
        <v>617</v>
      </c>
      <c r="AL47" s="2432"/>
      <c r="AM47" s="2436"/>
      <c r="AN47" s="2437"/>
      <c r="AO47" s="2392"/>
      <c r="AP47" s="2395"/>
      <c r="AQ47" s="2240"/>
      <c r="AW47" s="1268">
        <v>62</v>
      </c>
    </row>
    <row s="880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155</v>
      </c>
      <c r="V48" s="1368" t="s">
        <v>105</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245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200</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245</v>
      </c>
      <c r="B50" s="1380" t="s">
        <v>246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552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553</v>
      </c>
      <c r="AS50" s="613"/>
      <c r="AT50" s="613" t="str">
        <f>IF(V50="","",V50)</f>
        <v>Территория действия тарифа</v>
      </c>
      <c r="AU50" s="613"/>
      <c r="AV50" s="613"/>
      <c r="AW50" s="1268">
        <v>21</v>
      </c>
    </row>
    <row customHeight="1" ht="24">
      <c r="A51" s="1380" t="s">
        <v>245</v>
      </c>
      <c r="B51" s="1380" t="s">
        <v>246</v>
      </c>
      <c r="C51" s="1380" t="s">
        <v>247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554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555</v>
      </c>
      <c r="AS51" s="613"/>
      <c r="AT51" s="613" t="str">
        <f>IF(V51="","",V51)</f>
        <v>Наименование системы теплоснабжения </v>
      </c>
      <c r="AU51" s="613"/>
      <c r="AV51" s="613"/>
      <c r="AW51" s="1268">
        <v>23</v>
      </c>
    </row>
    <row customHeight="1" ht="22.049999999999997">
      <c r="A52" s="1380" t="s">
        <v>245</v>
      </c>
      <c r="B52" s="1380" t="s">
        <v>246</v>
      </c>
      <c r="C52" s="1380" t="s">
        <v>247</v>
      </c>
      <c r="D52" s="1380" t="s">
        <v>248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556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557</v>
      </c>
      <c r="AS52" s="613"/>
      <c r="AT52" s="613" t="str">
        <f>IF(V52="","",V52)</f>
        <v>Источник тепловой энергии  </v>
      </c>
      <c r="AU52" s="613"/>
      <c r="AV52" s="613"/>
      <c r="AW52" s="1268">
        <v>21</v>
      </c>
    </row>
    <row s="8192" customFormat="1" customHeight="1" ht="0">
      <c r="A53" s="1488" t="s">
        <v>245</v>
      </c>
      <c r="B53" s="1488" t="s">
        <v>246</v>
      </c>
      <c r="C53" s="1488" t="s">
        <v>247</v>
      </c>
      <c r="D53" s="1488" t="s">
        <v>248</v>
      </c>
      <c r="E53" s="2403"/>
      <c r="F53" s="2403"/>
      <c r="G53" s="2403"/>
      <c r="H53" s="2424"/>
      <c r="I53" s="2240" t="str">
        <f>U52&amp;".1"</f>
        <v>....1</v>
      </c>
      <c r="J53" s="1488"/>
      <c r="K53" s="1488"/>
      <c r="L53" s="1488"/>
      <c r="M53" s="1494" t="s">
        <v>558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245</v>
      </c>
      <c r="B54" s="1380" t="s">
        <v>246</v>
      </c>
      <c r="C54" s="1380" t="s">
        <v>247</v>
      </c>
      <c r="D54" s="1380" t="s">
        <v>248</v>
      </c>
      <c r="E54" s="2403"/>
      <c r="F54" s="2403"/>
      <c r="G54" s="2403"/>
      <c r="H54" s="2424"/>
      <c r="I54" s="2214"/>
      <c r="J54" s="2240" t="str">
        <f>I53&amp;".1"</f>
        <v>....1.1</v>
      </c>
      <c r="K54" s="1380"/>
      <c r="L54" s="1380"/>
      <c r="M54" s="1423" t="s">
        <v>561</v>
      </c>
      <c r="Q54" s="2370"/>
      <c r="R54" s="2370">
        <v>1</v>
      </c>
      <c r="S54" s="631"/>
      <c r="T54" s="470"/>
      <c r="U54" s="1449" t="str">
        <f>$J54</f>
        <v>....1.1</v>
      </c>
      <c r="V54" s="399" t="s">
        <v>562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563</v>
      </c>
      <c r="AS54" s="613"/>
      <c r="AT54" s="613" t="str">
        <f>IF(V54="","",V54)</f>
        <v>Группа потребителей</v>
      </c>
      <c r="AU54" s="613"/>
      <c r="AV54" s="613"/>
      <c r="AW54" s="1268">
        <v>21</v>
      </c>
    </row>
    <row customHeight="1" ht="22.049999999999997">
      <c r="A55" s="1380" t="s">
        <v>245</v>
      </c>
      <c r="B55" s="1380" t="s">
        <v>246</v>
      </c>
      <c r="C55" s="1380" t="s">
        <v>247</v>
      </c>
      <c r="D55" s="1380" t="s">
        <v>248</v>
      </c>
      <c r="E55" s="2403"/>
      <c r="F55" s="2403"/>
      <c r="G55" s="2403"/>
      <c r="H55" s="2424"/>
      <c r="I55" s="2214"/>
      <c r="J55" s="2214"/>
      <c r="K55" s="2240" t="str">
        <f>J54&amp;".1"</f>
        <v>....1.1.1</v>
      </c>
      <c r="L55" s="252"/>
      <c r="M55" s="1423" t="s">
        <v>564</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606</v>
      </c>
      <c r="AR55" s="624">
        <f>STRCHECKDATE(X57:AP57)</f>
      </c>
      <c r="AS55" s="613"/>
      <c r="AT55" s="613" t="str">
        <f>IF(V55="","",V55)</f>
        <v/>
      </c>
      <c r="AU55" s="613"/>
      <c r="AV55" s="613"/>
      <c r="AW55" s="1268">
        <v>21</v>
      </c>
    </row>
    <row customHeight="1" ht="11.549999999999999">
      <c r="A56" s="1380" t="s">
        <v>245</v>
      </c>
      <c r="B56" s="1380" t="s">
        <v>246</v>
      </c>
      <c r="C56" s="1380" t="s">
        <v>247</v>
      </c>
      <c r="D56" s="1380" t="s">
        <v>248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607</v>
      </c>
      <c r="AR56" s="624">
        <f>STRCHECKDATE(X58:AP58)</f>
      </c>
      <c r="AS56" s="613"/>
      <c r="AT56" s="613" t="str">
        <f>IF(V56="","",V56)</f>
        <v/>
      </c>
      <c r="AU56" s="613"/>
      <c r="AV56" s="613"/>
      <c r="AW56" s="1268">
        <v>11</v>
      </c>
    </row>
    <row customHeight="1" ht="0">
      <c r="A57" s="1380" t="s">
        <v>245</v>
      </c>
      <c r="B57" s="1380" t="s">
        <v>246</v>
      </c>
      <c r="C57" s="1380" t="s">
        <v>247</v>
      </c>
      <c r="D57" s="1380" t="s">
        <v>248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245</v>
      </c>
      <c r="B58" s="1380" t="s">
        <v>246</v>
      </c>
      <c r="C58" s="1380" t="s">
        <v>247</v>
      </c>
      <c r="D58" s="1380" t="s">
        <v>248</v>
      </c>
      <c r="E58" s="2403"/>
      <c r="F58" s="2403"/>
      <c r="G58" s="2403"/>
      <c r="H58" s="2424"/>
      <c r="I58" s="2214"/>
      <c r="J58" s="2214"/>
      <c r="K58" s="2240"/>
      <c r="L58" s="1380"/>
      <c r="M58" s="1423"/>
      <c r="Q58" s="2370"/>
      <c r="R58" s="2370"/>
      <c r="S58" s="1444"/>
      <c r="T58" s="469"/>
      <c r="U58" s="1391"/>
      <c r="V58" s="401" t="s">
        <v>608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245</v>
      </c>
      <c r="B59" s="1380" t="s">
        <v>246</v>
      </c>
      <c r="C59" s="1380" t="s">
        <v>247</v>
      </c>
      <c r="D59" s="1380" t="s">
        <v>248</v>
      </c>
      <c r="E59" s="2403"/>
      <c r="F59" s="2403"/>
      <c r="G59" s="2403"/>
      <c r="H59" s="2424"/>
      <c r="I59" s="2214"/>
      <c r="J59" s="2240"/>
      <c r="K59" s="1380"/>
      <c r="L59" s="1380"/>
      <c r="M59" s="1423"/>
      <c r="Q59" s="2370"/>
      <c r="R59" s="2370"/>
      <c r="S59" s="1444"/>
      <c r="T59" s="469"/>
      <c r="U59" s="1391"/>
      <c r="V59" s="400" t="s">
        <v>566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245</v>
      </c>
      <c r="B60" s="1380" t="s">
        <v>246</v>
      </c>
      <c r="C60" s="1380" t="s">
        <v>247</v>
      </c>
      <c r="D60" s="1380" t="s">
        <v>248</v>
      </c>
      <c r="E60" s="2403"/>
      <c r="F60" s="2403"/>
      <c r="G60" s="2403"/>
      <c r="H60" s="2424"/>
      <c r="I60" s="2240"/>
      <c r="J60" s="1380"/>
      <c r="K60" s="1380"/>
      <c r="L60" s="1380"/>
      <c r="M60" s="1423"/>
      <c r="Q60" s="2370"/>
      <c r="R60" s="1444"/>
      <c r="S60" s="1444"/>
      <c r="T60" s="469"/>
      <c r="U60" s="1391"/>
      <c r="V60" s="478" t="s">
        <v>567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245</v>
      </c>
      <c r="B61" s="1380" t="s">
        <v>246</v>
      </c>
      <c r="C61" s="1380" t="s">
        <v>247</v>
      </c>
      <c r="D61" s="1380" t="s">
        <v>248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8192" customFormat="1" customHeight="1" ht="0">
      <c r="A62" s="1488" t="s">
        <v>245</v>
      </c>
      <c r="B62" s="1488" t="s">
        <v>246</v>
      </c>
      <c r="C62" s="1488" t="s">
        <v>247</v>
      </c>
      <c r="D62" s="1487"/>
      <c r="E62" s="2403"/>
      <c r="F62" s="2403"/>
      <c r="G62" s="2402"/>
      <c r="H62" s="1487"/>
      <c r="I62" s="1487"/>
      <c r="J62" s="1487"/>
      <c r="K62" s="1487"/>
      <c r="L62" s="1487"/>
      <c r="M62" s="1490"/>
      <c r="N62" s="1491"/>
      <c r="O62" s="1491"/>
      <c r="P62" s="464"/>
      <c r="Q62" s="1429"/>
      <c r="R62" s="1430"/>
      <c r="S62" s="1429"/>
      <c r="T62" s="1429"/>
      <c r="U62" s="1435"/>
      <c r="V62" s="1438" t="s">
        <v>273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8192" customFormat="1" customHeight="1" ht="0">
      <c r="A63" s="1488" t="s">
        <v>245</v>
      </c>
      <c r="B63" s="1488" t="s">
        <v>246</v>
      </c>
      <c r="C63" s="1487"/>
      <c r="D63" s="1487"/>
      <c r="E63" s="2403"/>
      <c r="F63" s="2402"/>
      <c r="G63" s="1487"/>
      <c r="H63" s="1487"/>
      <c r="I63" s="1487"/>
      <c r="J63" s="1487"/>
      <c r="K63" s="1487"/>
      <c r="L63" s="1487"/>
      <c r="M63" s="1490"/>
      <c r="N63" s="1492"/>
      <c r="O63" s="1492"/>
      <c r="P63" s="464"/>
      <c r="Q63" s="1429"/>
      <c r="R63" s="1430"/>
      <c r="S63" s="1429"/>
      <c r="T63" s="1429"/>
      <c r="U63" s="1435"/>
      <c r="V63" s="1438" t="s">
        <v>274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8192" customFormat="1" customHeight="1" ht="0">
      <c r="A64" s="1488" t="s">
        <v>245</v>
      </c>
      <c r="B64" s="1488"/>
      <c r="C64" s="1488"/>
      <c r="D64" s="1488"/>
      <c r="E64" s="2402"/>
      <c r="F64" s="1488"/>
      <c r="G64" s="1488"/>
      <c r="H64" s="1488"/>
      <c r="I64" s="1488"/>
      <c r="J64" s="1488"/>
      <c r="K64" s="1488"/>
      <c r="L64" s="1488"/>
      <c r="M64" s="1494"/>
      <c r="N64" s="1492"/>
      <c r="O64" s="1492"/>
      <c r="P64" s="464"/>
      <c r="Q64" s="493"/>
      <c r="R64" s="1457"/>
      <c r="S64" s="493"/>
      <c r="T64" s="493"/>
      <c r="U64" s="1435"/>
      <c r="V64" s="1438" t="s">
        <v>351</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819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352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B1FDD-918A-591A-8B5F-176A80FA600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4" width="3.00390625" customWidth="1"/>
    <col min="17" max="17" style="11886" width="3.00390625" customWidth="1"/>
    <col min="18" max="18" style="9046" width="3.00390625" customWidth="1"/>
    <col min="19" max="19" style="9047" width="12.00390625" customWidth="1"/>
    <col min="20" max="20" style="8113" width="31.00390625" customWidth="1"/>
    <col min="21" max="21" style="8113" width="0.140625" customWidth="1"/>
    <col min="22" max="23" style="8113" width="21.7109375" hidden="1" customWidth="1"/>
    <col min="24" max="24" style="8113" width="11.7109375" hidden="1" customWidth="1"/>
    <col min="25" max="25" style="8113" width="3.7109375" hidden="1" customWidth="1"/>
    <col min="26" max="26" style="8113" width="11.7109375" hidden="1" customWidth="1"/>
    <col min="27" max="27" style="8113" width="8.57421875" hidden="1" customWidth="1"/>
    <col min="28" max="28" style="8113" width="5.421875" customWidth="1"/>
    <col min="29" max="30" style="8113" width="3.00390625" customWidth="1"/>
    <col min="31" max="31" style="8113" width="24.00390625" customWidth="1"/>
    <col min="32" max="32" style="8113" width="3.7109375" customWidth="1"/>
    <col min="33" max="34" style="8113" width="3.00390625" customWidth="1"/>
    <col min="35" max="35" style="8113" width="24.00390625" customWidth="1"/>
    <col min="36" max="36" style="8113" width="3.7109375" customWidth="1"/>
    <col min="37" max="38" style="8113" width="3.00390625" customWidth="1"/>
    <col min="39" max="39" style="8113" width="18.00390625" customWidth="1"/>
    <col min="40" max="41" style="8113" width="21.00390625" customWidth="1"/>
    <col min="42" max="42" style="8113" width="11.00390625" customWidth="1"/>
    <col min="43" max="43" style="8113" width="3.7109375" customWidth="1"/>
    <col min="44" max="44" style="8113" width="11.00390625" customWidth="1"/>
    <col min="45" max="45" style="8113" width="8.57421875" hidden="1" customWidth="1"/>
    <col min="46" max="46" style="8113" width="4.00390625" customWidth="1"/>
    <col min="47" max="47" style="8113" width="115.00390625" customWidth="1"/>
    <col min="48" max="52" style="8192" width="10.00390625" customWidth="1"/>
    <col min="53" max="53" style="811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200</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551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552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553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554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555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556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557</v>
      </c>
      <c r="AW5" s="613"/>
      <c r="AX5" s="613" t="str">
        <f>IF(T5="","",T5)</f>
        <v>Источник тепловой энергии  </v>
      </c>
      <c r="AY5" s="613"/>
      <c r="AZ5" s="613"/>
      <c r="BA5" s="1268">
        <v>0</v>
      </c>
    </row>
    <row s="8192" customFormat="1" customHeight="1" ht="0.75" hidden="1">
      <c r="A6" s="1456"/>
      <c r="B6" s="1456"/>
      <c r="C6" s="1456"/>
      <c r="D6" s="1456"/>
      <c r="E6" s="2372"/>
      <c r="F6" s="2372"/>
      <c r="G6" s="2372"/>
      <c r="H6" s="2372"/>
      <c r="I6" s="2369">
        <f>S5&amp;".1"</f>
      </c>
      <c r="J6" s="1456"/>
      <c r="K6" s="1456"/>
      <c r="L6" s="1459" t="s">
        <v>558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819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618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619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620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621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622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819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819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819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819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274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819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351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569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11857" customFormat="1" customHeight="1" ht="14.25" hidden="1">
      <c r="M23" s="1621"/>
      <c r="N23" s="1621"/>
      <c r="O23" s="1622" t="s">
        <v>570</v>
      </c>
      <c r="P23" s="1621"/>
      <c r="Q23" s="1623"/>
      <c r="R23" s="1623"/>
      <c r="Y23" s="1620" t="s">
        <v>572</v>
      </c>
      <c r="AA23" s="1620" t="s">
        <v>573</v>
      </c>
      <c r="AB23" s="1620" t="s">
        <v>623</v>
      </c>
      <c r="AE23" s="1620" t="s">
        <v>624</v>
      </c>
      <c r="AF23" s="1620" t="s">
        <v>623</v>
      </c>
      <c r="AI23" s="1620" t="s">
        <v>625</v>
      </c>
      <c r="AJ23" s="1620" t="s">
        <v>623</v>
      </c>
      <c r="AM23" s="1620" t="s">
        <v>626</v>
      </c>
      <c r="AQ23" s="1620" t="s">
        <v>572</v>
      </c>
      <c r="AS23" s="1620" t="s">
        <v>573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8328"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8328" customFormat="1" customHeight="1" ht="18.75">
      <c r="A31" s="1481"/>
      <c r="B31" s="1481"/>
      <c r="C31" s="1481"/>
      <c r="D31" s="1481"/>
      <c r="E31" s="1481"/>
      <c r="F31" s="1481"/>
      <c r="G31" s="1481"/>
      <c r="H31" s="1481"/>
      <c r="I31" s="1481"/>
      <c r="J31" s="1481"/>
      <c r="K31" s="1481"/>
      <c r="L31" s="1482"/>
      <c r="M31" s="1481"/>
      <c r="N31" s="1481"/>
      <c r="O31" s="1481"/>
      <c r="P31" s="1481"/>
      <c r="Q31" s="1481"/>
      <c r="S31" s="2363" t="s">
        <v>575</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8328" customFormat="1" customHeight="1" ht="18.75">
      <c r="A32" s="1481"/>
      <c r="B32" s="1481"/>
      <c r="C32" s="1481"/>
      <c r="D32" s="1481"/>
      <c r="E32" s="1481"/>
      <c r="F32" s="1481"/>
      <c r="G32" s="1481"/>
      <c r="H32" s="1481"/>
      <c r="I32" s="1481"/>
      <c r="J32" s="1481"/>
      <c r="K32" s="1481"/>
      <c r="L32" s="1482"/>
      <c r="M32" s="1481"/>
      <c r="N32" s="1481"/>
      <c r="O32" s="1481"/>
      <c r="P32" s="1481"/>
      <c r="Q32" s="1481"/>
      <c r="S32" s="2363" t="s">
        <v>576</v>
      </c>
      <c r="T32" s="2363"/>
      <c r="U32" s="1485"/>
      <c r="V32" s="2364" t="str">
        <f>IF(TITLE_NUMBER_PR_CHANGE="",IF(TITLE_NUMBER_PR="","",TITLE_NUMBER_PR),TITLE_NUMBER_PR_CHANGE)</f>
        <v>51/111</v>
      </c>
      <c r="W32" s="2364"/>
      <c r="X32" s="2364"/>
      <c r="Y32" s="2364"/>
      <c r="Z32" s="2364"/>
      <c r="AA32" s="439"/>
      <c r="AB32" s="2364" t="str">
        <f>IF(TITLE_NUMBER_PR_CHANGE="",IF(TITLE_NUMBER_PR="","",TITLE_NUMBER_PR),TITLE_NUMBER_PR_CHANGE)</f>
        <v>51/111</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8328"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https://npa.gov-murman.ru/bitrix/components/b1team/govmurman.element.file/download.php?ID=537819&amp;FID=814581</v>
      </c>
      <c r="W33" s="2364"/>
      <c r="X33" s="2364"/>
      <c r="Y33" s="2364"/>
      <c r="Z33" s="2364"/>
      <c r="AA33" s="439"/>
      <c r="AB33" s="2364" t="str">
        <f>IF(TITLE_IST_PUB_CHANGE="",IF(TITLE_IST_PUB="","",TITLE_IST_PUB),TITLE_IST_PUB_CHANGE)</f>
        <v>https://npa.gov-murman.ru/bitrix/components/b1team/govmurman.element.file/download.php?ID=537819&amp;FID=814581</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832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575</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832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576</v>
      </c>
      <c r="T36" s="2363"/>
      <c r="U36" s="1485"/>
      <c r="V36" s="2364" t="str">
        <f>IF(TITLE_NUMBER_PR_CHANGE="",IF(TITLE_NUMBER_PR="","",TITLE_NUMBER_PR),TITLE_NUMBER_PR_CHANGE)</f>
        <v>51/111</v>
      </c>
      <c r="W36" s="2364"/>
      <c r="X36" s="2364"/>
      <c r="Y36" s="2364"/>
      <c r="Z36" s="2364"/>
      <c r="AA36" s="439"/>
      <c r="AB36" s="2364" t="str">
        <f>IF(TITLE_NUMBER_PR_CHANGE="",IF(TITLE_NUMBER_PR="","",TITLE_NUMBER_PR),TITLE_NUMBER_PR_CHANGE)</f>
        <v>51/111</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832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579</v>
      </c>
      <c r="AB37" s="439"/>
      <c r="AC37" s="439"/>
      <c r="AD37" s="439"/>
      <c r="AE37" s="439"/>
      <c r="AF37" s="439"/>
      <c r="AG37" s="439"/>
      <c r="AH37" s="439"/>
      <c r="AI37" s="439"/>
      <c r="AJ37" s="439"/>
      <c r="AK37" s="439"/>
      <c r="AL37" s="439"/>
      <c r="AM37" s="439"/>
      <c r="AN37" s="439"/>
      <c r="AO37" s="439"/>
      <c r="AP37" s="439"/>
      <c r="AQ37" s="439"/>
      <c r="AR37" s="439"/>
      <c r="AS37" s="391" t="s">
        <v>579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455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456</v>
      </c>
      <c r="BA39" s="1268">
        <v>14</v>
      </c>
    </row>
    <row customHeight="1" ht="14.699999999999998">
      <c r="Q40" s="404"/>
      <c r="R40" s="489"/>
      <c r="S40" s="2386" t="s">
        <v>90</v>
      </c>
      <c r="T40" s="2322" t="s">
        <v>627</v>
      </c>
      <c r="U40" s="414"/>
      <c r="V40" s="2388"/>
      <c r="W40" s="2388"/>
      <c r="X40" s="2388"/>
      <c r="Y40" s="2388"/>
      <c r="Z40" s="2389"/>
      <c r="AA40" s="2449" t="s">
        <v>582</v>
      </c>
      <c r="AB40" s="2441" t="s">
        <v>628</v>
      </c>
      <c r="AC40" s="2404"/>
      <c r="AD40" s="2404"/>
      <c r="AE40" s="2442"/>
      <c r="AF40" s="2404" t="s">
        <v>629</v>
      </c>
      <c r="AG40" s="2404"/>
      <c r="AH40" s="2404"/>
      <c r="AI40" s="2442"/>
      <c r="AJ40" s="2441" t="s">
        <v>630</v>
      </c>
      <c r="AK40" s="2404"/>
      <c r="AL40" s="2404"/>
      <c r="AM40" s="2442"/>
      <c r="AN40" s="2441" t="s">
        <v>581</v>
      </c>
      <c r="AO40" s="2404"/>
      <c r="AP40" s="2388"/>
      <c r="AQ40" s="2388"/>
      <c r="AR40" s="2389"/>
      <c r="AS40" s="2390" t="s">
        <v>582</v>
      </c>
      <c r="AT40" s="2393" t="s">
        <v>584</v>
      </c>
      <c r="AU40" s="2240"/>
      <c r="BA40" s="1268">
        <v>14</v>
      </c>
    </row>
    <row customHeight="1" ht="35.699999999999996">
      <c r="Q41" s="404"/>
      <c r="R41" s="489"/>
      <c r="S41" s="2386"/>
      <c r="T41" s="2322"/>
      <c r="U41" s="1144"/>
      <c r="V41" s="2240" t="s">
        <v>631</v>
      </c>
      <c r="W41" s="2240"/>
      <c r="X41" s="2407" t="s">
        <v>588</v>
      </c>
      <c r="Y41" s="2426"/>
      <c r="Z41" s="2427"/>
      <c r="AA41" s="2450"/>
      <c r="AB41" s="2443"/>
      <c r="AC41" s="2444"/>
      <c r="AD41" s="2444"/>
      <c r="AE41" s="2445"/>
      <c r="AF41" s="2444"/>
      <c r="AG41" s="2444"/>
      <c r="AH41" s="2444"/>
      <c r="AI41" s="2445"/>
      <c r="AJ41" s="2443"/>
      <c r="AK41" s="2444"/>
      <c r="AL41" s="2444"/>
      <c r="AM41" s="2444"/>
      <c r="AN41" s="2240" t="s">
        <v>631</v>
      </c>
      <c r="AO41" s="2240"/>
      <c r="AP41" s="2426" t="s">
        <v>588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212</v>
      </c>
      <c r="C43" s="1483" t="s">
        <v>213</v>
      </c>
      <c r="D43" s="1483" t="s">
        <v>214</v>
      </c>
      <c r="E43" s="1477" t="s">
        <v>589</v>
      </c>
      <c r="F43" s="1477" t="s">
        <v>590</v>
      </c>
      <c r="G43" s="1477" t="s">
        <v>591</v>
      </c>
      <c r="H43" s="1477" t="s">
        <v>592</v>
      </c>
      <c r="I43" s="1477" t="s">
        <v>593</v>
      </c>
      <c r="J43" s="1477" t="s">
        <v>594</v>
      </c>
      <c r="K43" s="1477" t="s">
        <v>595</v>
      </c>
      <c r="L43" s="1477" t="s">
        <v>570</v>
      </c>
      <c r="Q43" s="404"/>
      <c r="R43" s="489"/>
      <c r="S43" s="2386"/>
      <c r="T43" s="2322"/>
      <c r="U43" s="415"/>
      <c r="V43" s="1443" t="s">
        <v>632</v>
      </c>
      <c r="W43" s="1443" t="s">
        <v>633</v>
      </c>
      <c r="X43" s="1451" t="s">
        <v>598</v>
      </c>
      <c r="Y43" s="2383" t="s">
        <v>599</v>
      </c>
      <c r="Z43" s="2384"/>
      <c r="AA43" s="2451"/>
      <c r="AB43" s="2446"/>
      <c r="AC43" s="2447"/>
      <c r="AD43" s="2447"/>
      <c r="AE43" s="2448"/>
      <c r="AF43" s="2447"/>
      <c r="AG43" s="2447"/>
      <c r="AH43" s="2447"/>
      <c r="AI43" s="2448"/>
      <c r="AJ43" s="2446"/>
      <c r="AK43" s="2447"/>
      <c r="AL43" s="2447"/>
      <c r="AM43" s="2448"/>
      <c r="AN43" s="1973" t="s">
        <v>632</v>
      </c>
      <c r="AO43" s="1973" t="s">
        <v>633</v>
      </c>
      <c r="AP43" s="1451" t="s">
        <v>598</v>
      </c>
      <c r="AQ43" s="2383" t="s">
        <v>599</v>
      </c>
      <c r="AR43" s="2384"/>
      <c r="AS43" s="2392"/>
      <c r="AT43" s="2395"/>
      <c r="AU43" s="2240"/>
      <c r="BA43" s="1268">
        <v>14</v>
      </c>
    </row>
    <row s="880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155</v>
      </c>
      <c r="T44" s="1368" t="s">
        <v>105</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355</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200</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355</v>
      </c>
      <c r="B46" s="1476" t="s">
        <v>356</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552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553</v>
      </c>
      <c r="AW46" s="613"/>
      <c r="AX46" s="613" t="str">
        <f>IF(T46="","",T46)</f>
        <v>Территория действия тарифа</v>
      </c>
      <c r="AY46" s="613"/>
      <c r="AZ46" s="613"/>
      <c r="BA46" s="1268">
        <v>21</v>
      </c>
    </row>
    <row customHeight="1" ht="24">
      <c r="A47" s="1476" t="s">
        <v>355</v>
      </c>
      <c r="B47" s="1476" t="s">
        <v>356</v>
      </c>
      <c r="C47" s="1476" t="s">
        <v>357</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554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555</v>
      </c>
      <c r="AW47" s="613"/>
      <c r="AX47" s="613" t="str">
        <f>IF(T47="","",T47)</f>
        <v>Наименование системы теплоснабжения </v>
      </c>
      <c r="AY47" s="613"/>
      <c r="AZ47" s="613"/>
      <c r="BA47" s="1268">
        <v>23</v>
      </c>
    </row>
    <row customHeight="1" ht="21">
      <c r="A48" s="1476" t="s">
        <v>355</v>
      </c>
      <c r="B48" s="1476" t="s">
        <v>356</v>
      </c>
      <c r="C48" s="1476" t="s">
        <v>357</v>
      </c>
      <c r="D48" s="1476" t="s">
        <v>358</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556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557</v>
      </c>
      <c r="AW48" s="613"/>
      <c r="AX48" s="613" t="str">
        <f>IF(T48="","",T48)</f>
        <v>Источник тепловой энергии  </v>
      </c>
      <c r="AY48" s="613"/>
      <c r="AZ48" s="613"/>
      <c r="BA48" s="1268">
        <v>20</v>
      </c>
    </row>
    <row s="8192" customFormat="1" customHeight="1" ht="1.05">
      <c r="A49" s="1456" t="s">
        <v>355</v>
      </c>
      <c r="B49" s="1456" t="s">
        <v>356</v>
      </c>
      <c r="C49" s="1456" t="s">
        <v>357</v>
      </c>
      <c r="D49" s="1456" t="s">
        <v>358</v>
      </c>
      <c r="E49" s="2372"/>
      <c r="F49" s="2372"/>
      <c r="G49" s="2372"/>
      <c r="H49" s="2372"/>
      <c r="I49" s="2369" t="str">
        <f>S48&amp;".1"</f>
        <v>....1</v>
      </c>
      <c r="J49" s="1456"/>
      <c r="K49" s="1456"/>
      <c r="L49" s="1459" t="s">
        <v>558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8192" customFormat="1" customHeight="1" ht="1.05">
      <c r="A50" s="1456" t="s">
        <v>355</v>
      </c>
      <c r="B50" s="1456" t="s">
        <v>356</v>
      </c>
      <c r="C50" s="1456" t="s">
        <v>357</v>
      </c>
      <c r="D50" s="1456" t="s">
        <v>358</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355</v>
      </c>
      <c r="B51" s="1476" t="s">
        <v>356</v>
      </c>
      <c r="C51" s="1476" t="s">
        <v>357</v>
      </c>
      <c r="D51" s="1476" t="s">
        <v>358</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634</v>
      </c>
      <c r="AV51" s="624">
        <f>STRCHECKDATE(V54:AT54)</f>
      </c>
      <c r="AW51" s="613"/>
      <c r="AX51" s="613" t="str">
        <f>IF(T51="","",T51)</f>
        <v/>
      </c>
      <c r="AY51" s="613"/>
      <c r="AZ51" s="613"/>
      <c r="BA51" s="1268">
        <v>21</v>
      </c>
    </row>
    <row customHeight="1" ht="11.549999999999999">
      <c r="A52" s="1476" t="s">
        <v>355</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619</v>
      </c>
      <c r="AN52" s="1506"/>
      <c r="AO52" s="1609"/>
      <c r="AP52" s="1506"/>
      <c r="AQ52" s="1506"/>
      <c r="AR52" s="1506"/>
      <c r="AS52" s="1506"/>
      <c r="AT52" s="1503"/>
      <c r="AU52" s="2367"/>
      <c r="AW52" s="613"/>
      <c r="AX52" s="613"/>
      <c r="AY52" s="613"/>
      <c r="AZ52" s="613"/>
      <c r="BA52" s="1268">
        <v>11</v>
      </c>
    </row>
    <row customHeight="1" ht="11.549999999999999">
      <c r="A53" s="1476" t="s">
        <v>355</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620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355</v>
      </c>
      <c r="B54" s="1476" t="s">
        <v>356</v>
      </c>
      <c r="C54" s="1476" t="s">
        <v>357</v>
      </c>
      <c r="D54" s="1476" t="s">
        <v>358</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621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355</v>
      </c>
      <c r="B55" s="1476" t="s">
        <v>356</v>
      </c>
      <c r="C55" s="1476" t="s">
        <v>357</v>
      </c>
      <c r="D55" s="1476" t="s">
        <v>358</v>
      </c>
      <c r="E55" s="2372"/>
      <c r="F55" s="2372"/>
      <c r="G55" s="2372"/>
      <c r="H55" s="2372"/>
      <c r="I55" s="2399"/>
      <c r="J55" s="2369"/>
      <c r="K55" s="1476"/>
      <c r="L55" s="1477"/>
      <c r="P55" s="2370"/>
      <c r="Q55" s="2370"/>
      <c r="R55" s="469"/>
      <c r="S55" s="1391"/>
      <c r="T55" s="400" t="s">
        <v>622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8192" customFormat="1" customHeight="1" ht="1.05">
      <c r="A56" s="1456" t="s">
        <v>355</v>
      </c>
      <c r="B56" s="1456" t="s">
        <v>356</v>
      </c>
      <c r="C56" s="1456" t="s">
        <v>357</v>
      </c>
      <c r="D56" s="1456" t="s">
        <v>358</v>
      </c>
      <c r="E56" s="2372"/>
      <c r="F56" s="2372"/>
      <c r="G56" s="2372"/>
      <c r="H56" s="2372"/>
      <c r="I56" s="2369"/>
      <c r="J56" s="1456"/>
      <c r="K56" s="1456"/>
      <c r="L56" s="1459"/>
      <c r="M56" s="623"/>
      <c r="N56" s="623"/>
      <c r="O56" s="623"/>
      <c r="P56" s="2370"/>
      <c r="Q56" s="1444"/>
      <c r="R56" s="469"/>
      <c r="S56" s="1499"/>
      <c r="T56" s="1500" t="s">
        <v>567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8801" customFormat="1" customHeight="1" ht="1.05">
      <c r="A57" s="1456" t="s">
        <v>355</v>
      </c>
      <c r="B57" s="1456" t="s">
        <v>356</v>
      </c>
      <c r="C57" s="1456" t="s">
        <v>357</v>
      </c>
      <c r="D57" s="1456" t="s">
        <v>358</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8192" customFormat="1" customHeight="1" ht="1.05">
      <c r="A58" s="1456" t="s">
        <v>355</v>
      </c>
      <c r="B58" s="1456" t="s">
        <v>356</v>
      </c>
      <c r="C58" s="1456" t="s">
        <v>357</v>
      </c>
      <c r="D58" s="1427"/>
      <c r="E58" s="2372"/>
      <c r="F58" s="2372"/>
      <c r="G58" s="2371"/>
      <c r="H58" s="1427"/>
      <c r="I58" s="1427"/>
      <c r="J58" s="1427"/>
      <c r="K58" s="1427"/>
      <c r="L58" s="1452"/>
      <c r="M58" s="1428"/>
      <c r="N58" s="1428"/>
      <c r="P58" s="1429"/>
      <c r="Q58" s="1430"/>
      <c r="R58" s="1429"/>
      <c r="S58" s="1435"/>
      <c r="T58" s="1438" t="s">
        <v>273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8192" customFormat="1" customHeight="1" ht="1.05">
      <c r="A59" s="1456" t="s">
        <v>355</v>
      </c>
      <c r="B59" s="1456" t="s">
        <v>356</v>
      </c>
      <c r="C59" s="1427"/>
      <c r="D59" s="1427"/>
      <c r="E59" s="2372"/>
      <c r="F59" s="2371"/>
      <c r="G59" s="1427"/>
      <c r="H59" s="1427"/>
      <c r="I59" s="1427"/>
      <c r="J59" s="1427"/>
      <c r="K59" s="1427"/>
      <c r="L59" s="1452"/>
      <c r="M59" s="1434"/>
      <c r="N59" s="1434"/>
      <c r="P59" s="1429"/>
      <c r="Q59" s="1430"/>
      <c r="R59" s="1429"/>
      <c r="S59" s="1435"/>
      <c r="T59" s="1438" t="s">
        <v>274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8192" customFormat="1" customHeight="1" ht="1.05">
      <c r="A60" s="1456" t="s">
        <v>355</v>
      </c>
      <c r="B60" s="1456"/>
      <c r="C60" s="1456"/>
      <c r="D60" s="1456"/>
      <c r="E60" s="2372"/>
      <c r="F60" s="1456"/>
      <c r="G60" s="1456"/>
      <c r="H60" s="1456"/>
      <c r="I60" s="1456"/>
      <c r="J60" s="1456"/>
      <c r="K60" s="1456"/>
      <c r="L60" s="1459"/>
      <c r="M60" s="1434"/>
      <c r="N60" s="1434"/>
      <c r="O60" s="631"/>
      <c r="P60" s="493"/>
      <c r="Q60" s="1457"/>
      <c r="R60" s="493"/>
      <c r="S60" s="1435"/>
      <c r="T60" s="1438" t="s">
        <v>351</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8192" customFormat="1" customHeight="1" ht="1.05">
      <c r="A61" s="1456" t="s">
        <v>355</v>
      </c>
      <c r="B61" s="1456"/>
      <c r="C61" s="1456"/>
      <c r="D61" s="1456"/>
      <c r="E61" s="2371"/>
      <c r="F61" s="1456"/>
      <c r="G61" s="1456"/>
      <c r="H61" s="1456"/>
      <c r="I61" s="1456"/>
      <c r="J61" s="1456"/>
      <c r="K61" s="1456"/>
      <c r="L61" s="1459"/>
      <c r="M61" s="1434"/>
      <c r="N61" s="1434"/>
      <c r="O61" s="631"/>
      <c r="P61" s="493"/>
      <c r="Q61" s="1457"/>
      <c r="R61" s="493"/>
      <c r="S61" s="1435"/>
      <c r="T61" s="1438" t="s">
        <v>351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819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352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4379-CDFF-E527-9699-02A24EF775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635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636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538">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34"/>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34"/>
      <c r="M19" s="1475"/>
      <c r="N19" s="1475"/>
      <c r="O19" s="1475"/>
      <c r="P19" s="1475"/>
      <c r="Q19" s="1484"/>
      <c r="R19" s="1484"/>
      <c r="S19" s="842"/>
      <c r="AB19" s="1479"/>
      <c r="AI19" s="1479"/>
      <c r="AL19" s="624"/>
      <c r="AM19" s="624"/>
      <c r="AN19" s="624"/>
      <c r="AO19" s="624"/>
      <c r="AP19" s="624"/>
      <c r="AQ19" s="1273">
        <v>0</v>
      </c>
    </row>
    <row s="8191" customFormat="1" customHeight="1" ht="12" hidden="1">
      <c r="L20" s="1534"/>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465" t="s">
        <v>643</v>
      </c>
      <c r="W38" s="2375" t="s">
        <v>587</v>
      </c>
      <c r="X38" s="2376"/>
      <c r="Y38" s="2375" t="s">
        <v>588</v>
      </c>
      <c r="Z38" s="2382"/>
      <c r="AA38" s="2376"/>
      <c r="AB38" s="2391"/>
      <c r="AC38" s="1465" t="s">
        <v>643</v>
      </c>
      <c r="AD38" s="2375" t="s">
        <v>587</v>
      </c>
      <c r="AE38" s="2376"/>
      <c r="AF38" s="2375" t="s">
        <v>588</v>
      </c>
      <c r="AG38" s="2382"/>
      <c r="AH38" s="2376"/>
      <c r="AI38" s="2391"/>
      <c r="AJ38" s="2394"/>
      <c r="AK38" s="2240"/>
      <c r="AQ38" s="1268">
        <v>34</v>
      </c>
    </row>
    <row customHeight="1" ht="35.699999999999996">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465" t="s">
        <v>646</v>
      </c>
      <c r="W39" s="1335" t="s">
        <v>647</v>
      </c>
      <c r="X39" s="1335" t="s">
        <v>648</v>
      </c>
      <c r="Y39" s="1470" t="s">
        <v>598</v>
      </c>
      <c r="Z39" s="2383" t="s">
        <v>599</v>
      </c>
      <c r="AA39" s="2384"/>
      <c r="AB39" s="2392"/>
      <c r="AC39" s="1465" t="s">
        <v>646</v>
      </c>
      <c r="AD39" s="1335" t="s">
        <v>647</v>
      </c>
      <c r="AE39" s="1335" t="s">
        <v>648</v>
      </c>
      <c r="AF39" s="1470" t="s">
        <v>598</v>
      </c>
      <c r="AG39" s="2383" t="s">
        <v>599</v>
      </c>
      <c r="AH39" s="2384"/>
      <c r="AI39" s="2392"/>
      <c r="AJ39" s="2395"/>
      <c r="AK39" s="2240"/>
      <c r="AQ39" s="1268">
        <v>34</v>
      </c>
    </row>
    <row s="88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381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381</v>
      </c>
      <c r="B42" s="1476" t="s">
        <v>382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381</v>
      </c>
      <c r="B43" s="1476" t="s">
        <v>382</v>
      </c>
      <c r="C43" s="1476" t="s">
        <v>383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635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636</v>
      </c>
      <c r="AM43" s="613"/>
      <c r="AN43" s="613" t="str">
        <f>IF(T43="","",T43)</f>
        <v>Наименование централизованной системы холодного водоснабжения</v>
      </c>
      <c r="AO43" s="613"/>
      <c r="AP43" s="613"/>
      <c r="AQ43" s="1268">
        <v>23</v>
      </c>
    </row>
    <row customHeight="1" ht="24">
      <c r="A44" s="1476" t="s">
        <v>381</v>
      </c>
      <c r="B44" s="1476" t="s">
        <v>382</v>
      </c>
      <c r="C44" s="1476" t="s">
        <v>383</v>
      </c>
      <c r="D44" s="1476" t="s">
        <v>649</v>
      </c>
      <c r="E44" s="2372"/>
      <c r="F44" s="2372"/>
      <c r="G44" s="2372"/>
      <c r="H44" s="2372"/>
      <c r="I44" s="2369" t="str">
        <f>S43&amp;".1"</f>
        <v>...1</v>
      </c>
      <c r="J44" s="1476"/>
      <c r="K44" s="1476"/>
      <c r="L44" s="1477"/>
      <c r="P44" s="2370">
        <v>1</v>
      </c>
      <c r="Q44" s="1467"/>
      <c r="R44" s="469"/>
      <c r="S44" s="1471"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381</v>
      </c>
      <c r="B45" s="1476" t="s">
        <v>382</v>
      </c>
      <c r="C45" s="1476" t="s">
        <v>383</v>
      </c>
      <c r="D45" s="1476" t="s">
        <v>649</v>
      </c>
      <c r="E45" s="2372"/>
      <c r="F45" s="2372"/>
      <c r="G45" s="2372"/>
      <c r="H45" s="2372"/>
      <c r="I45" s="2399"/>
      <c r="J45" s="2369" t="str">
        <f>I44&amp;".1"</f>
        <v>...1.1</v>
      </c>
      <c r="K45" s="1476"/>
      <c r="L45" s="1477" t="s">
        <v>561</v>
      </c>
      <c r="P45" s="2370"/>
      <c r="Q45" s="2370">
        <v>1</v>
      </c>
      <c r="R45" s="470"/>
      <c r="S45" s="1471"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381</v>
      </c>
      <c r="B46" s="1476" t="s">
        <v>382</v>
      </c>
      <c r="C46" s="1476" t="s">
        <v>383</v>
      </c>
      <c r="D46" s="1476" t="s">
        <v>649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381</v>
      </c>
      <c r="B47" s="1476" t="s">
        <v>382</v>
      </c>
      <c r="C47" s="1476" t="s">
        <v>383</v>
      </c>
      <c r="D47" s="1476" t="s">
        <v>649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381</v>
      </c>
      <c r="B48" s="1476" t="s">
        <v>382</v>
      </c>
      <c r="C48" s="1476" t="s">
        <v>383</v>
      </c>
      <c r="D48" s="1476" t="s">
        <v>649</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381</v>
      </c>
      <c r="B49" s="1476" t="s">
        <v>382</v>
      </c>
      <c r="C49" s="1476" t="s">
        <v>383</v>
      </c>
      <c r="D49" s="1476" t="s">
        <v>649</v>
      </c>
      <c r="E49" s="2372"/>
      <c r="F49" s="2372"/>
      <c r="G49" s="2372"/>
      <c r="H49" s="2372"/>
      <c r="I49" s="2369"/>
      <c r="J49" s="1476"/>
      <c r="K49" s="1476"/>
      <c r="L49" s="1477"/>
      <c r="P49" s="2370"/>
      <c r="Q49" s="1467"/>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381</v>
      </c>
      <c r="B50" s="1476" t="s">
        <v>382</v>
      </c>
      <c r="C50" s="1476" t="s">
        <v>383</v>
      </c>
      <c r="D50" s="1476" t="s">
        <v>649</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381</v>
      </c>
      <c r="B51" s="1456" t="s">
        <v>382</v>
      </c>
      <c r="C51" s="1427"/>
      <c r="D51" s="1427"/>
      <c r="E51" s="2372"/>
      <c r="F51" s="2371"/>
      <c r="G51" s="1427"/>
      <c r="H51" s="1427"/>
      <c r="I51" s="1427"/>
      <c r="J51" s="1427"/>
      <c r="K51" s="1427"/>
      <c r="L51" s="1539"/>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381</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1010A-99FE-1E19-A634-B1C3513F7A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636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570">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60"/>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60"/>
      <c r="M19" s="1475"/>
      <c r="N19" s="1475"/>
      <c r="O19" s="1475"/>
      <c r="P19" s="1475"/>
      <c r="Q19" s="1484"/>
      <c r="R19" s="1484"/>
      <c r="S19" s="842"/>
      <c r="AB19" s="1479"/>
      <c r="AI19" s="1479"/>
      <c r="AL19" s="624"/>
      <c r="AM19" s="624"/>
      <c r="AN19" s="624"/>
      <c r="AO19" s="624"/>
      <c r="AP19" s="624"/>
      <c r="AQ19" s="1273">
        <v>0</v>
      </c>
    </row>
    <row s="8191" customFormat="1" customHeight="1" ht="12" hidden="1">
      <c r="L20" s="1560"/>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565" t="s">
        <v>643</v>
      </c>
      <c r="W38" s="2375" t="s">
        <v>587</v>
      </c>
      <c r="X38" s="2376"/>
      <c r="Y38" s="2375" t="s">
        <v>588</v>
      </c>
      <c r="Z38" s="2382"/>
      <c r="AA38" s="2376"/>
      <c r="AB38" s="2391"/>
      <c r="AC38" s="1565" t="s">
        <v>643</v>
      </c>
      <c r="AD38" s="2375" t="s">
        <v>587</v>
      </c>
      <c r="AE38" s="2376"/>
      <c r="AF38" s="2375" t="s">
        <v>588</v>
      </c>
      <c r="AG38" s="2382"/>
      <c r="AH38" s="2376"/>
      <c r="AI38" s="2391"/>
      <c r="AJ38" s="2394"/>
      <c r="AK38" s="2240"/>
      <c r="AQ38" s="1268">
        <v>34</v>
      </c>
    </row>
    <row customHeight="1" ht="35.699999999999996">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565" t="s">
        <v>646</v>
      </c>
      <c r="W39" s="1335" t="s">
        <v>647</v>
      </c>
      <c r="X39" s="1335" t="s">
        <v>648</v>
      </c>
      <c r="Y39" s="1568" t="s">
        <v>598</v>
      </c>
      <c r="Z39" s="2383" t="s">
        <v>599</v>
      </c>
      <c r="AA39" s="2384"/>
      <c r="AB39" s="2392"/>
      <c r="AC39" s="1565" t="s">
        <v>646</v>
      </c>
      <c r="AD39" s="1335" t="s">
        <v>647</v>
      </c>
      <c r="AE39" s="1335" t="s">
        <v>648</v>
      </c>
      <c r="AF39" s="1568" t="s">
        <v>598</v>
      </c>
      <c r="AG39" s="2383" t="s">
        <v>599</v>
      </c>
      <c r="AH39" s="2384"/>
      <c r="AI39" s="2392"/>
      <c r="AJ39" s="2395"/>
      <c r="AK39" s="2240"/>
      <c r="AQ39" s="1268">
        <v>34</v>
      </c>
    </row>
    <row s="88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386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386</v>
      </c>
      <c r="B42" s="1476" t="s">
        <v>387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386</v>
      </c>
      <c r="B43" s="1476" t="s">
        <v>387</v>
      </c>
      <c r="C43" s="1476" t="s">
        <v>388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636</v>
      </c>
      <c r="AM43" s="613"/>
      <c r="AN43" s="613" t="str">
        <f>IF(T43="","",T43)</f>
        <v>Наименование централизованной системы холодного водоснабжения</v>
      </c>
      <c r="AO43" s="613"/>
      <c r="AP43" s="613"/>
      <c r="AQ43" s="1268">
        <v>23</v>
      </c>
    </row>
    <row customHeight="1" ht="24">
      <c r="A44" s="1476" t="s">
        <v>386</v>
      </c>
      <c r="B44" s="1476" t="s">
        <v>387</v>
      </c>
      <c r="C44" s="1476" t="s">
        <v>388</v>
      </c>
      <c r="D44" s="1476" t="s">
        <v>650</v>
      </c>
      <c r="E44" s="2372"/>
      <c r="F44" s="2372"/>
      <c r="G44" s="2372"/>
      <c r="H44" s="2372"/>
      <c r="I44" s="2369" t="str">
        <f>S43&amp;".1"</f>
        <v>...1</v>
      </c>
      <c r="J44" s="1476"/>
      <c r="K44" s="1476"/>
      <c r="L44" s="1477"/>
      <c r="P44" s="2370">
        <v>1</v>
      </c>
      <c r="Q44" s="1563"/>
      <c r="R44" s="469"/>
      <c r="S44" s="1570"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386</v>
      </c>
      <c r="B45" s="1476" t="s">
        <v>387</v>
      </c>
      <c r="C45" s="1476" t="s">
        <v>388</v>
      </c>
      <c r="D45" s="1476" t="s">
        <v>650</v>
      </c>
      <c r="E45" s="2372"/>
      <c r="F45" s="2372"/>
      <c r="G45" s="2372"/>
      <c r="H45" s="2372"/>
      <c r="I45" s="2399"/>
      <c r="J45" s="2369" t="str">
        <f>I44&amp;".1"</f>
        <v>...1.1</v>
      </c>
      <c r="K45" s="1476"/>
      <c r="L45" s="1477" t="s">
        <v>561</v>
      </c>
      <c r="P45" s="2370"/>
      <c r="Q45" s="2370">
        <v>1</v>
      </c>
      <c r="R45" s="470"/>
      <c r="S45" s="1570"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386</v>
      </c>
      <c r="B46" s="1476" t="s">
        <v>387</v>
      </c>
      <c r="C46" s="1476" t="s">
        <v>388</v>
      </c>
      <c r="D46" s="1476" t="s">
        <v>650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386</v>
      </c>
      <c r="B47" s="1476" t="s">
        <v>387</v>
      </c>
      <c r="C47" s="1476" t="s">
        <v>388</v>
      </c>
      <c r="D47" s="1476" t="s">
        <v>650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386</v>
      </c>
      <c r="B48" s="1476" t="s">
        <v>387</v>
      </c>
      <c r="C48" s="1476" t="s">
        <v>388</v>
      </c>
      <c r="D48" s="1476" t="s">
        <v>650</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386</v>
      </c>
      <c r="B49" s="1476" t="s">
        <v>387</v>
      </c>
      <c r="C49" s="1476" t="s">
        <v>388</v>
      </c>
      <c r="D49" s="1476" t="s">
        <v>650</v>
      </c>
      <c r="E49" s="2372"/>
      <c r="F49" s="2372"/>
      <c r="G49" s="2372"/>
      <c r="H49" s="2372"/>
      <c r="I49" s="2369"/>
      <c r="J49" s="1476"/>
      <c r="K49" s="1476"/>
      <c r="L49" s="1477"/>
      <c r="P49" s="2370"/>
      <c r="Q49" s="1563"/>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386</v>
      </c>
      <c r="B50" s="1476" t="s">
        <v>387</v>
      </c>
      <c r="C50" s="1476" t="s">
        <v>388</v>
      </c>
      <c r="D50" s="1476" t="s">
        <v>650</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386</v>
      </c>
      <c r="B51" s="1456" t="s">
        <v>387</v>
      </c>
      <c r="C51" s="1427"/>
      <c r="D51" s="1427"/>
      <c r="E51" s="2372"/>
      <c r="F51" s="2371"/>
      <c r="G51" s="1427"/>
      <c r="H51" s="1427"/>
      <c r="I51" s="1427"/>
      <c r="J51" s="1427"/>
      <c r="K51" s="1427"/>
      <c r="L51" s="1571"/>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386</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1BD7-16AC-51AF-CF9D-EA5C34ECC7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636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570">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60"/>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60"/>
      <c r="M19" s="1475"/>
      <c r="N19" s="1475"/>
      <c r="O19" s="1475"/>
      <c r="P19" s="1475"/>
      <c r="Q19" s="1484"/>
      <c r="R19" s="1484"/>
      <c r="S19" s="842"/>
      <c r="AB19" s="1479"/>
      <c r="AI19" s="1479"/>
      <c r="AL19" s="624"/>
      <c r="AM19" s="624"/>
      <c r="AN19" s="624"/>
      <c r="AO19" s="624"/>
      <c r="AP19" s="624"/>
      <c r="AQ19" s="1273">
        <v>0</v>
      </c>
    </row>
    <row s="8191" customFormat="1" customHeight="1" ht="12" hidden="1">
      <c r="L20" s="1560"/>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565" t="s">
        <v>643</v>
      </c>
      <c r="W38" s="2375" t="s">
        <v>587</v>
      </c>
      <c r="X38" s="2376"/>
      <c r="Y38" s="2375" t="s">
        <v>588</v>
      </c>
      <c r="Z38" s="2382"/>
      <c r="AA38" s="2376"/>
      <c r="AB38" s="2391"/>
      <c r="AC38" s="1565" t="s">
        <v>643</v>
      </c>
      <c r="AD38" s="2375" t="s">
        <v>587</v>
      </c>
      <c r="AE38" s="2376"/>
      <c r="AF38" s="2375" t="s">
        <v>588</v>
      </c>
      <c r="AG38" s="2382"/>
      <c r="AH38" s="2376"/>
      <c r="AI38" s="2391"/>
      <c r="AJ38" s="2394"/>
      <c r="AK38" s="2240"/>
      <c r="AQ38" s="1268">
        <v>34</v>
      </c>
    </row>
    <row customHeight="1" ht="35.699999999999996">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565" t="s">
        <v>646</v>
      </c>
      <c r="W39" s="1335" t="s">
        <v>647</v>
      </c>
      <c r="X39" s="1335" t="s">
        <v>648</v>
      </c>
      <c r="Y39" s="1568" t="s">
        <v>598</v>
      </c>
      <c r="Z39" s="2383" t="s">
        <v>599</v>
      </c>
      <c r="AA39" s="2384"/>
      <c r="AB39" s="2392"/>
      <c r="AC39" s="1565" t="s">
        <v>646</v>
      </c>
      <c r="AD39" s="1335" t="s">
        <v>647</v>
      </c>
      <c r="AE39" s="1335" t="s">
        <v>648</v>
      </c>
      <c r="AF39" s="1568" t="s">
        <v>598</v>
      </c>
      <c r="AG39" s="2383" t="s">
        <v>599</v>
      </c>
      <c r="AH39" s="2384"/>
      <c r="AI39" s="2392"/>
      <c r="AJ39" s="2395"/>
      <c r="AK39" s="2240"/>
      <c r="AQ39" s="1268">
        <v>34</v>
      </c>
    </row>
    <row s="88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391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391</v>
      </c>
      <c r="B42" s="1476" t="s">
        <v>392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391</v>
      </c>
      <c r="B43" s="1476" t="s">
        <v>392</v>
      </c>
      <c r="C43" s="1476" t="s">
        <v>393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636</v>
      </c>
      <c r="AM43" s="613"/>
      <c r="AN43" s="613" t="str">
        <f>IF(T43="","",T43)</f>
        <v>Наименование централизованной системы холодного водоснабжения</v>
      </c>
      <c r="AO43" s="613"/>
      <c r="AP43" s="613"/>
      <c r="AQ43" s="1268">
        <v>23</v>
      </c>
    </row>
    <row customHeight="1" ht="24">
      <c r="A44" s="1476" t="s">
        <v>391</v>
      </c>
      <c r="B44" s="1476" t="s">
        <v>392</v>
      </c>
      <c r="C44" s="1476" t="s">
        <v>393</v>
      </c>
      <c r="D44" s="1476" t="s">
        <v>651</v>
      </c>
      <c r="E44" s="2372"/>
      <c r="F44" s="2372"/>
      <c r="G44" s="2372"/>
      <c r="H44" s="2372"/>
      <c r="I44" s="2369" t="str">
        <f>S43&amp;".1"</f>
        <v>...1</v>
      </c>
      <c r="J44" s="1476"/>
      <c r="K44" s="1476"/>
      <c r="L44" s="1477"/>
      <c r="P44" s="2370">
        <v>1</v>
      </c>
      <c r="Q44" s="1563"/>
      <c r="R44" s="469"/>
      <c r="S44" s="1570"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391</v>
      </c>
      <c r="B45" s="1476" t="s">
        <v>392</v>
      </c>
      <c r="C45" s="1476" t="s">
        <v>393</v>
      </c>
      <c r="D45" s="1476" t="s">
        <v>651</v>
      </c>
      <c r="E45" s="2372"/>
      <c r="F45" s="2372"/>
      <c r="G45" s="2372"/>
      <c r="H45" s="2372"/>
      <c r="I45" s="2399"/>
      <c r="J45" s="2369" t="str">
        <f>I44&amp;".1"</f>
        <v>...1.1</v>
      </c>
      <c r="K45" s="1476"/>
      <c r="L45" s="1477" t="s">
        <v>561</v>
      </c>
      <c r="P45" s="2370"/>
      <c r="Q45" s="2370">
        <v>1</v>
      </c>
      <c r="R45" s="470"/>
      <c r="S45" s="1570"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391</v>
      </c>
      <c r="B46" s="1476" t="s">
        <v>392</v>
      </c>
      <c r="C46" s="1476" t="s">
        <v>393</v>
      </c>
      <c r="D46" s="1476" t="s">
        <v>651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391</v>
      </c>
      <c r="B47" s="1476" t="s">
        <v>392</v>
      </c>
      <c r="C47" s="1476" t="s">
        <v>393</v>
      </c>
      <c r="D47" s="1476" t="s">
        <v>651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391</v>
      </c>
      <c r="B48" s="1476" t="s">
        <v>392</v>
      </c>
      <c r="C48" s="1476" t="s">
        <v>393</v>
      </c>
      <c r="D48" s="1476" t="s">
        <v>651</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391</v>
      </c>
      <c r="B49" s="1476" t="s">
        <v>392</v>
      </c>
      <c r="C49" s="1476" t="s">
        <v>393</v>
      </c>
      <c r="D49" s="1476" t="s">
        <v>651</v>
      </c>
      <c r="E49" s="2372"/>
      <c r="F49" s="2372"/>
      <c r="G49" s="2372"/>
      <c r="H49" s="2372"/>
      <c r="I49" s="2369"/>
      <c r="J49" s="1476"/>
      <c r="K49" s="1476"/>
      <c r="L49" s="1477"/>
      <c r="P49" s="2370"/>
      <c r="Q49" s="1563"/>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391</v>
      </c>
      <c r="B50" s="1476" t="s">
        <v>392</v>
      </c>
      <c r="C50" s="1476" t="s">
        <v>393</v>
      </c>
      <c r="D50" s="1476" t="s">
        <v>651</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391</v>
      </c>
      <c r="B51" s="1456" t="s">
        <v>392</v>
      </c>
      <c r="C51" s="1427"/>
      <c r="D51" s="1427"/>
      <c r="E51" s="2372"/>
      <c r="F51" s="2371"/>
      <c r="G51" s="1427"/>
      <c r="H51" s="1427"/>
      <c r="I51" s="1427"/>
      <c r="J51" s="1427"/>
      <c r="K51" s="1427"/>
      <c r="L51" s="1571"/>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391</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FABD3-4594-7D3A-AF68-17D6689540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635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636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570">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60"/>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60"/>
      <c r="M19" s="1475"/>
      <c r="N19" s="1475"/>
      <c r="O19" s="1475"/>
      <c r="P19" s="1475"/>
      <c r="Q19" s="1484"/>
      <c r="R19" s="1484"/>
      <c r="S19" s="842"/>
      <c r="AB19" s="1479"/>
      <c r="AI19" s="1479"/>
      <c r="AL19" s="624"/>
      <c r="AM19" s="624"/>
      <c r="AN19" s="624"/>
      <c r="AO19" s="624"/>
      <c r="AP19" s="624"/>
      <c r="AQ19" s="1273">
        <v>0</v>
      </c>
    </row>
    <row s="8191" customFormat="1" customHeight="1" ht="12" hidden="1">
      <c r="L20" s="1560"/>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565" t="s">
        <v>643</v>
      </c>
      <c r="W38" s="2375" t="s">
        <v>587</v>
      </c>
      <c r="X38" s="2376"/>
      <c r="Y38" s="2375" t="s">
        <v>588</v>
      </c>
      <c r="Z38" s="2382"/>
      <c r="AA38" s="2376"/>
      <c r="AB38" s="2391"/>
      <c r="AC38" s="1565" t="s">
        <v>643</v>
      </c>
      <c r="AD38" s="2375" t="s">
        <v>587</v>
      </c>
      <c r="AE38" s="2376"/>
      <c r="AF38" s="2375" t="s">
        <v>588</v>
      </c>
      <c r="AG38" s="2382"/>
      <c r="AH38" s="2376"/>
      <c r="AI38" s="2391"/>
      <c r="AJ38" s="2394"/>
      <c r="AK38" s="2240"/>
      <c r="AQ38" s="1268">
        <v>34</v>
      </c>
    </row>
    <row customHeight="1" ht="35.699999999999996">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565" t="s">
        <v>646</v>
      </c>
      <c r="W39" s="1335" t="s">
        <v>647</v>
      </c>
      <c r="X39" s="1335" t="s">
        <v>648</v>
      </c>
      <c r="Y39" s="1568" t="s">
        <v>598</v>
      </c>
      <c r="Z39" s="2383" t="s">
        <v>599</v>
      </c>
      <c r="AA39" s="2384"/>
      <c r="AB39" s="2392"/>
      <c r="AC39" s="1565" t="s">
        <v>646</v>
      </c>
      <c r="AD39" s="1335" t="s">
        <v>647</v>
      </c>
      <c r="AE39" s="1335" t="s">
        <v>648</v>
      </c>
      <c r="AF39" s="1568" t="s">
        <v>598</v>
      </c>
      <c r="AG39" s="2383" t="s">
        <v>599</v>
      </c>
      <c r="AH39" s="2384"/>
      <c r="AI39" s="2392"/>
      <c r="AJ39" s="2395"/>
      <c r="AK39" s="2240"/>
      <c r="AQ39" s="1268">
        <v>34</v>
      </c>
    </row>
    <row s="88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396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396</v>
      </c>
      <c r="B42" s="1476" t="s">
        <v>397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396</v>
      </c>
      <c r="B43" s="1476" t="s">
        <v>397</v>
      </c>
      <c r="C43" s="1476" t="s">
        <v>398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635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636</v>
      </c>
      <c r="AM43" s="613"/>
      <c r="AN43" s="613" t="str">
        <f>IF(T43="","",T43)</f>
        <v>Наименование централизованной системы холодного водоснабжения</v>
      </c>
      <c r="AO43" s="613"/>
      <c r="AP43" s="613"/>
      <c r="AQ43" s="1268">
        <v>23</v>
      </c>
    </row>
    <row customHeight="1" ht="24">
      <c r="A44" s="1476" t="s">
        <v>396</v>
      </c>
      <c r="B44" s="1476" t="s">
        <v>397</v>
      </c>
      <c r="C44" s="1476" t="s">
        <v>398</v>
      </c>
      <c r="D44" s="1476" t="s">
        <v>652</v>
      </c>
      <c r="E44" s="2372"/>
      <c r="F44" s="2372"/>
      <c r="G44" s="2372"/>
      <c r="H44" s="2372"/>
      <c r="I44" s="2369" t="str">
        <f>S43&amp;".1"</f>
        <v>...1</v>
      </c>
      <c r="J44" s="1476"/>
      <c r="K44" s="1476"/>
      <c r="L44" s="1477"/>
      <c r="P44" s="2370">
        <v>1</v>
      </c>
      <c r="Q44" s="1563"/>
      <c r="R44" s="469"/>
      <c r="S44" s="1570"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396</v>
      </c>
      <c r="B45" s="1476" t="s">
        <v>397</v>
      </c>
      <c r="C45" s="1476" t="s">
        <v>398</v>
      </c>
      <c r="D45" s="1476" t="s">
        <v>652</v>
      </c>
      <c r="E45" s="2372"/>
      <c r="F45" s="2372"/>
      <c r="G45" s="2372"/>
      <c r="H45" s="2372"/>
      <c r="I45" s="2399"/>
      <c r="J45" s="2369" t="str">
        <f>I44&amp;".1"</f>
        <v>...1.1</v>
      </c>
      <c r="K45" s="1476"/>
      <c r="L45" s="1477" t="s">
        <v>561</v>
      </c>
      <c r="P45" s="2370"/>
      <c r="Q45" s="2370">
        <v>1</v>
      </c>
      <c r="R45" s="470"/>
      <c r="S45" s="1570"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396</v>
      </c>
      <c r="B46" s="1476" t="s">
        <v>397</v>
      </c>
      <c r="C46" s="1476" t="s">
        <v>398</v>
      </c>
      <c r="D46" s="1476" t="s">
        <v>652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396</v>
      </c>
      <c r="B47" s="1476" t="s">
        <v>397</v>
      </c>
      <c r="C47" s="1476" t="s">
        <v>398</v>
      </c>
      <c r="D47" s="1476" t="s">
        <v>652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396</v>
      </c>
      <c r="B48" s="1476" t="s">
        <v>397</v>
      </c>
      <c r="C48" s="1476" t="s">
        <v>398</v>
      </c>
      <c r="D48" s="1476" t="s">
        <v>652</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396</v>
      </c>
      <c r="B49" s="1476" t="s">
        <v>397</v>
      </c>
      <c r="C49" s="1476" t="s">
        <v>398</v>
      </c>
      <c r="D49" s="1476" t="s">
        <v>652</v>
      </c>
      <c r="E49" s="2372"/>
      <c r="F49" s="2372"/>
      <c r="G49" s="2372"/>
      <c r="H49" s="2372"/>
      <c r="I49" s="2369"/>
      <c r="J49" s="1476"/>
      <c r="K49" s="1476"/>
      <c r="L49" s="1477"/>
      <c r="P49" s="2370"/>
      <c r="Q49" s="1563"/>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396</v>
      </c>
      <c r="B50" s="1476" t="s">
        <v>397</v>
      </c>
      <c r="C50" s="1476" t="s">
        <v>398</v>
      </c>
      <c r="D50" s="1476" t="s">
        <v>652</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396</v>
      </c>
      <c r="B51" s="1456" t="s">
        <v>397</v>
      </c>
      <c r="C51" s="1427"/>
      <c r="D51" s="1427"/>
      <c r="E51" s="2372"/>
      <c r="F51" s="2371"/>
      <c r="G51" s="1427"/>
      <c r="H51" s="1427"/>
      <c r="I51" s="1427"/>
      <c r="J51" s="1427"/>
      <c r="K51" s="1427"/>
      <c r="L51" s="1571"/>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396</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6364B-9886-DADB-7E8F-2E3C9FF5C32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113" width="10.140625" hidden="1" customWidth="1"/>
    <col min="4" max="4" style="8113" width="11.8515625" hidden="1" customWidth="1"/>
    <col min="5" max="11" style="8113" width="10.140625" hidden="1" customWidth="1"/>
    <col min="12" max="12" style="8189" width="10.140625" hidden="1" customWidth="1"/>
    <col min="13" max="15" style="9045" width="10.140625" hidden="1" customWidth="1"/>
    <col min="16" max="16" style="9044" width="3.00390625" customWidth="1"/>
    <col min="17" max="17" style="11886" width="3.00390625" customWidth="1"/>
    <col min="18" max="18" style="9046" width="3.00390625" customWidth="1"/>
    <col min="19" max="19" style="9047" width="12.00390625" customWidth="1"/>
    <col min="20" max="20" style="8113" width="31.00390625" customWidth="1"/>
    <col min="21" max="21" style="8113" width="0.140625" customWidth="1"/>
    <col min="22" max="23" style="8113" width="21.7109375" hidden="1" customWidth="1"/>
    <col min="24" max="24" style="8113" width="11.7109375" hidden="1" customWidth="1"/>
    <col min="25" max="25" style="8113" width="3.7109375" hidden="1" customWidth="1"/>
    <col min="26" max="26" style="8113" width="11.7109375" hidden="1" customWidth="1"/>
    <col min="27" max="27" style="8113" width="8.57421875" hidden="1" customWidth="1"/>
    <col min="28" max="28" style="8113" width="27.00390625" customWidth="1"/>
    <col min="29" max="29" style="8113" width="24.57421875" customWidth="1"/>
    <col min="30" max="31" style="8113" width="21.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200</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551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552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553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554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555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556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557</v>
      </c>
      <c r="AM5" s="1737"/>
      <c r="AN5" s="1737" t="str">
        <f>IF(T5="","",T5)</f>
        <v>Источник тепловой энергии  </v>
      </c>
      <c r="AO5" s="1737"/>
      <c r="AP5" s="1737"/>
      <c r="AQ5" s="1744">
        <v>0</v>
      </c>
    </row>
    <row s="8192" customFormat="1" customHeight="1" ht="0.75" hidden="1">
      <c r="A6" s="1488"/>
      <c r="B6" s="1488"/>
      <c r="C6" s="1488"/>
      <c r="D6" s="1488"/>
      <c r="E6" s="2403"/>
      <c r="F6" s="2403"/>
      <c r="G6" s="2403"/>
      <c r="H6" s="2403"/>
      <c r="I6" s="2240">
        <f>S5&amp;".1"</f>
      </c>
      <c r="J6" s="1488"/>
      <c r="K6" s="1488"/>
      <c r="L6" s="1494" t="s">
        <v>558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819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618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622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819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819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819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273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819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274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819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351</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569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11857" customFormat="1" customHeight="1" ht="14.25" hidden="1">
      <c r="A20" s="2084"/>
      <c r="B20" s="2084"/>
      <c r="C20" s="2084"/>
      <c r="D20" s="2084"/>
      <c r="E20" s="2084"/>
      <c r="F20" s="2084"/>
      <c r="G20" s="2084"/>
      <c r="H20" s="2084"/>
      <c r="I20" s="2084"/>
      <c r="J20" s="2084"/>
      <c r="K20" s="2084"/>
      <c r="L20" s="2084"/>
      <c r="M20" s="2085"/>
      <c r="N20" s="2085"/>
      <c r="O20" s="2086" t="s">
        <v>570</v>
      </c>
      <c r="P20" s="1621"/>
      <c r="Q20" s="1623"/>
      <c r="R20" s="1623"/>
      <c r="Y20" s="1620" t="s">
        <v>572</v>
      </c>
      <c r="AA20" s="1620" t="s">
        <v>573</v>
      </c>
      <c r="AC20" s="1620" t="s">
        <v>624</v>
      </c>
      <c r="AG20" s="1620" t="s">
        <v>572</v>
      </c>
      <c r="AI20" s="1620" t="s">
        <v>573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832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832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575</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832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576</v>
      </c>
      <c r="T29" s="2363"/>
      <c r="U29" s="1485"/>
      <c r="V29" s="2364" t="str">
        <f>IF(TITLE_NUMBER_PR_CHANGE="",IF(TITLE_NUMBER_PR="","",TITLE_NUMBER_PR),TITLE_NUMBER_PR_CHANGE)</f>
        <v>51/111</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832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832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575</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832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576</v>
      </c>
      <c r="T33" s="2363"/>
      <c r="U33" s="1485"/>
      <c r="V33" s="2364" t="str">
        <f>IF(TITLE_NUMBER_PR_CHANGE="",IF(TITLE_NUMBER_PR="","",TITLE_NUMBER_PR),TITLE_NUMBER_PR_CHANGE)</f>
        <v>51/111</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832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579</v>
      </c>
      <c r="AB34" s="1755"/>
      <c r="AC34" s="1748"/>
      <c r="AD34" s="1748"/>
      <c r="AE34" s="1748"/>
      <c r="AF34" s="1748"/>
      <c r="AG34" s="1748"/>
      <c r="AH34" s="1748"/>
      <c r="AI34" s="1755" t="s">
        <v>579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455</v>
      </c>
      <c r="T36" s="2240"/>
      <c r="U36" s="2240"/>
      <c r="V36" s="2240"/>
      <c r="W36" s="2240"/>
      <c r="X36" s="2240"/>
      <c r="Y36" s="2240"/>
      <c r="Z36" s="2240"/>
      <c r="AA36" s="2288"/>
      <c r="AB36" s="2288"/>
      <c r="AC36" s="2288"/>
      <c r="AD36" s="2240"/>
      <c r="AE36" s="2240"/>
      <c r="AF36" s="2240"/>
      <c r="AG36" s="2240"/>
      <c r="AH36" s="2240"/>
      <c r="AI36" s="2240"/>
      <c r="AJ36" s="2240"/>
      <c r="AK36" s="2240" t="s">
        <v>456</v>
      </c>
      <c r="AQ36" s="1744">
        <v>14</v>
      </c>
    </row>
    <row customHeight="1" ht="14.699999999999998">
      <c r="Q37" s="404"/>
      <c r="R37" s="489"/>
      <c r="S37" s="2386" t="s">
        <v>90</v>
      </c>
      <c r="T37" s="2322" t="s">
        <v>653</v>
      </c>
      <c r="U37" s="450"/>
      <c r="V37" s="2388"/>
      <c r="W37" s="2388"/>
      <c r="X37" s="2388"/>
      <c r="Y37" s="2388"/>
      <c r="Z37" s="2388"/>
      <c r="AA37" s="2322" t="s">
        <v>582</v>
      </c>
      <c r="AB37" s="2321" t="s">
        <v>654</v>
      </c>
      <c r="AC37" s="2321" t="s">
        <v>628</v>
      </c>
      <c r="AD37" s="2404" t="s">
        <v>581</v>
      </c>
      <c r="AE37" s="2404"/>
      <c r="AF37" s="2388"/>
      <c r="AG37" s="2388"/>
      <c r="AH37" s="2389"/>
      <c r="AI37" s="2390" t="s">
        <v>582</v>
      </c>
      <c r="AJ37" s="2393" t="s">
        <v>584</v>
      </c>
      <c r="AK37" s="2240"/>
      <c r="AQ37" s="1744">
        <v>14</v>
      </c>
    </row>
    <row customHeight="1" ht="35.699999999999996">
      <c r="Q38" s="404"/>
      <c r="R38" s="489"/>
      <c r="S38" s="2386"/>
      <c r="T38" s="2322"/>
      <c r="U38" s="1144"/>
      <c r="V38" s="2216" t="s">
        <v>631</v>
      </c>
      <c r="W38" s="2240"/>
      <c r="X38" s="2407" t="s">
        <v>588</v>
      </c>
      <c r="Y38" s="2426"/>
      <c r="Z38" s="2426"/>
      <c r="AA38" s="2322"/>
      <c r="AB38" s="2321"/>
      <c r="AC38" s="2321"/>
      <c r="AD38" s="2216" t="s">
        <v>631</v>
      </c>
      <c r="AE38" s="2240"/>
      <c r="AF38" s="2426" t="s">
        <v>588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212</v>
      </c>
      <c r="C40" s="1379" t="s">
        <v>213</v>
      </c>
      <c r="D40" s="1379" t="s">
        <v>214</v>
      </c>
      <c r="E40" s="1423" t="s">
        <v>589</v>
      </c>
      <c r="F40" s="1423" t="s">
        <v>590</v>
      </c>
      <c r="G40" s="1423" t="s">
        <v>591</v>
      </c>
      <c r="H40" s="1423" t="s">
        <v>592</v>
      </c>
      <c r="I40" s="1423" t="s">
        <v>593</v>
      </c>
      <c r="J40" s="1423" t="s">
        <v>594</v>
      </c>
      <c r="K40" s="1423" t="s">
        <v>595</v>
      </c>
      <c r="L40" s="1423" t="s">
        <v>570</v>
      </c>
      <c r="Q40" s="404"/>
      <c r="R40" s="489"/>
      <c r="S40" s="2386"/>
      <c r="T40" s="2322"/>
      <c r="U40" s="415"/>
      <c r="V40" s="2063" t="s">
        <v>632</v>
      </c>
      <c r="W40" s="2063" t="s">
        <v>633</v>
      </c>
      <c r="X40" s="2051" t="s">
        <v>598</v>
      </c>
      <c r="Y40" s="2383" t="s">
        <v>599</v>
      </c>
      <c r="Z40" s="2433"/>
      <c r="AA40" s="2322"/>
      <c r="AB40" s="2321"/>
      <c r="AC40" s="2321"/>
      <c r="AD40" s="2081" t="s">
        <v>632</v>
      </c>
      <c r="AE40" s="2072" t="s">
        <v>633</v>
      </c>
      <c r="AF40" s="2051" t="s">
        <v>598</v>
      </c>
      <c r="AG40" s="2383" t="s">
        <v>599</v>
      </c>
      <c r="AH40" s="2384"/>
      <c r="AI40" s="2392"/>
      <c r="AJ40" s="2395"/>
      <c r="AK40" s="2240"/>
      <c r="AQ40" s="1744">
        <v>14</v>
      </c>
    </row>
    <row s="880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155</v>
      </c>
      <c r="T41" s="1368" t="s">
        <v>105</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361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200</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361</v>
      </c>
      <c r="B43" s="1380" t="s">
        <v>362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552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553</v>
      </c>
      <c r="AM43" s="1737"/>
      <c r="AN43" s="1737" t="str">
        <f>IF(T43="","",T43)</f>
        <v>Территория действия тарифа</v>
      </c>
      <c r="AO43" s="1737"/>
      <c r="AP43" s="1737"/>
      <c r="AQ43" s="1744">
        <v>21</v>
      </c>
    </row>
    <row customHeight="1" ht="24">
      <c r="A44" s="1380" t="s">
        <v>361</v>
      </c>
      <c r="B44" s="1380" t="s">
        <v>362</v>
      </c>
      <c r="C44" s="1380" t="s">
        <v>363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554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555</v>
      </c>
      <c r="AM44" s="1737"/>
      <c r="AN44" s="1737" t="str">
        <f>IF(T44="","",T44)</f>
        <v>Наименование системы теплоснабжения </v>
      </c>
      <c r="AO44" s="1737"/>
      <c r="AP44" s="1737"/>
      <c r="AQ44" s="1744">
        <v>23</v>
      </c>
    </row>
    <row customHeight="1" ht="22.049999999999997">
      <c r="A45" s="1380" t="s">
        <v>361</v>
      </c>
      <c r="B45" s="1380" t="s">
        <v>362</v>
      </c>
      <c r="C45" s="1380" t="s">
        <v>363</v>
      </c>
      <c r="D45" s="1380" t="s">
        <v>364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556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557</v>
      </c>
      <c r="AM45" s="1737"/>
      <c r="AN45" s="1737" t="str">
        <f>IF(T45="","",T45)</f>
        <v>Источник тепловой энергии  </v>
      </c>
      <c r="AO45" s="1737"/>
      <c r="AP45" s="1737"/>
      <c r="AQ45" s="1744">
        <v>21</v>
      </c>
    </row>
    <row s="8192" customFormat="1" customHeight="1" ht="0">
      <c r="A46" s="1488" t="s">
        <v>361</v>
      </c>
      <c r="B46" s="1488" t="s">
        <v>362</v>
      </c>
      <c r="C46" s="1488" t="s">
        <v>363</v>
      </c>
      <c r="D46" s="1488" t="s">
        <v>364</v>
      </c>
      <c r="E46" s="2403"/>
      <c r="F46" s="2403"/>
      <c r="G46" s="2403"/>
      <c r="H46" s="2403"/>
      <c r="I46" s="2240" t="str">
        <f>S45&amp;".1"</f>
        <v>....1</v>
      </c>
      <c r="J46" s="1488"/>
      <c r="K46" s="1488"/>
      <c r="L46" s="1494" t="s">
        <v>558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8192" customFormat="1" customHeight="1" ht="0">
      <c r="A47" s="1488" t="s">
        <v>361</v>
      </c>
      <c r="B47" s="1488" t="s">
        <v>362</v>
      </c>
      <c r="C47" s="1488" t="s">
        <v>363</v>
      </c>
      <c r="D47" s="1488" t="s">
        <v>364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361</v>
      </c>
      <c r="B48" s="1380" t="s">
        <v>362</v>
      </c>
      <c r="C48" s="1380" t="s">
        <v>363</v>
      </c>
      <c r="D48" s="1380" t="s">
        <v>364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63</v>
      </c>
      <c r="Z48" s="2068"/>
      <c r="AA48" s="2055" t="s">
        <v>63</v>
      </c>
      <c r="AB48" s="2077"/>
      <c r="AC48" s="2076" t="s">
        <v>28</v>
      </c>
      <c r="AD48" s="864"/>
      <c r="AE48" s="1370"/>
      <c r="AF48" s="2068"/>
      <c r="AG48" s="2055" t="s">
        <v>63</v>
      </c>
      <c r="AH48" s="2068"/>
      <c r="AI48" s="2055" t="s">
        <v>63</v>
      </c>
      <c r="AJ48" s="1461"/>
      <c r="AK48" s="2366" t="s">
        <v>634</v>
      </c>
      <c r="AL48" s="1749">
        <f>STRCHECKDATE(#REF!)</f>
      </c>
      <c r="AM48" s="1737"/>
      <c r="AN48" s="1737" t="str">
        <f>IF(T48="","",T48)</f>
        <v/>
      </c>
      <c r="AO48" s="1737"/>
      <c r="AP48" s="1737"/>
      <c r="AQ48" s="1744">
        <v>21</v>
      </c>
    </row>
    <row customHeight="1" ht="11.549999999999999">
      <c r="A49" s="1380" t="s">
        <v>361</v>
      </c>
      <c r="B49" s="1380" t="s">
        <v>362</v>
      </c>
      <c r="C49" s="1380" t="s">
        <v>363</v>
      </c>
      <c r="D49" s="1380" t="s">
        <v>364</v>
      </c>
      <c r="E49" s="2403"/>
      <c r="F49" s="2403"/>
      <c r="G49" s="2403"/>
      <c r="H49" s="2403"/>
      <c r="I49" s="2214"/>
      <c r="J49" s="2240"/>
      <c r="K49" s="1380"/>
      <c r="L49" s="1423"/>
      <c r="P49" s="2370"/>
      <c r="Q49" s="2370"/>
      <c r="R49" s="469"/>
      <c r="S49" s="1391"/>
      <c r="T49" s="400" t="s">
        <v>622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8192" customFormat="1" customHeight="1" ht="1.05">
      <c r="A50" s="1488" t="s">
        <v>361</v>
      </c>
      <c r="B50" s="1488" t="s">
        <v>362</v>
      </c>
      <c r="C50" s="1488" t="s">
        <v>363</v>
      </c>
      <c r="D50" s="1488" t="s">
        <v>364</v>
      </c>
      <c r="E50" s="2403"/>
      <c r="F50" s="2403"/>
      <c r="G50" s="2403"/>
      <c r="H50" s="2403"/>
      <c r="I50" s="2240"/>
      <c r="J50" s="1488"/>
      <c r="K50" s="1488"/>
      <c r="L50" s="1494"/>
      <c r="M50" s="1359"/>
      <c r="N50" s="1359"/>
      <c r="O50" s="1359"/>
      <c r="P50" s="2370"/>
      <c r="Q50" s="2067"/>
      <c r="R50" s="469"/>
      <c r="S50" s="1499"/>
      <c r="T50" s="1500" t="s">
        <v>567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8801" customFormat="1" customHeight="1" ht="1.05">
      <c r="A51" s="1488" t="s">
        <v>361</v>
      </c>
      <c r="B51" s="1488" t="s">
        <v>362</v>
      </c>
      <c r="C51" s="1488" t="s">
        <v>363</v>
      </c>
      <c r="D51" s="1488" t="s">
        <v>364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8192" customFormat="1" customHeight="1" ht="1.05">
      <c r="A52" s="1488" t="s">
        <v>361</v>
      </c>
      <c r="B52" s="1488" t="s">
        <v>362</v>
      </c>
      <c r="C52" s="1488" t="s">
        <v>363</v>
      </c>
      <c r="D52" s="1487"/>
      <c r="E52" s="2403"/>
      <c r="F52" s="2403"/>
      <c r="G52" s="2402"/>
      <c r="H52" s="1487"/>
      <c r="I52" s="1487"/>
      <c r="J52" s="1487"/>
      <c r="K52" s="1487"/>
      <c r="L52" s="1490"/>
      <c r="M52" s="1491"/>
      <c r="N52" s="1491"/>
      <c r="O52" s="464"/>
      <c r="P52" s="1429"/>
      <c r="Q52" s="1430"/>
      <c r="R52" s="1429"/>
      <c r="S52" s="1435"/>
      <c r="T52" s="1438" t="s">
        <v>273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8192" customFormat="1" customHeight="1" ht="1.05">
      <c r="A53" s="1488" t="s">
        <v>361</v>
      </c>
      <c r="B53" s="1488" t="s">
        <v>362</v>
      </c>
      <c r="C53" s="1487"/>
      <c r="D53" s="1487"/>
      <c r="E53" s="2403"/>
      <c r="F53" s="2402"/>
      <c r="G53" s="1487"/>
      <c r="H53" s="1487"/>
      <c r="I53" s="1487"/>
      <c r="J53" s="1487"/>
      <c r="K53" s="1487"/>
      <c r="L53" s="1490"/>
      <c r="M53" s="1492"/>
      <c r="N53" s="1492"/>
      <c r="O53" s="464"/>
      <c r="P53" s="1429"/>
      <c r="Q53" s="1430"/>
      <c r="R53" s="1429"/>
      <c r="S53" s="1435"/>
      <c r="T53" s="1438" t="s">
        <v>274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8192" customFormat="1" customHeight="1" ht="1.05">
      <c r="A54" s="1488" t="s">
        <v>361</v>
      </c>
      <c r="B54" s="1488"/>
      <c r="C54" s="1488"/>
      <c r="D54" s="1488"/>
      <c r="E54" s="2403"/>
      <c r="F54" s="1488"/>
      <c r="G54" s="1488"/>
      <c r="H54" s="1488"/>
      <c r="I54" s="1488"/>
      <c r="J54" s="1488"/>
      <c r="K54" s="1488"/>
      <c r="L54" s="1494"/>
      <c r="M54" s="1492"/>
      <c r="N54" s="1492"/>
      <c r="O54" s="464"/>
      <c r="P54" s="493"/>
      <c r="Q54" s="1457"/>
      <c r="R54" s="493"/>
      <c r="S54" s="1435"/>
      <c r="T54" s="1438" t="s">
        <v>351</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8192" customFormat="1" customHeight="1" ht="1.05">
      <c r="A55" s="1488" t="s">
        <v>361</v>
      </c>
      <c r="B55" s="1488"/>
      <c r="C55" s="1488"/>
      <c r="D55" s="1488"/>
      <c r="E55" s="2402"/>
      <c r="F55" s="1488"/>
      <c r="G55" s="1488"/>
      <c r="H55" s="1488"/>
      <c r="I55" s="1488"/>
      <c r="J55" s="1488"/>
      <c r="K55" s="1488"/>
      <c r="L55" s="1494"/>
      <c r="M55" s="1492"/>
      <c r="N55" s="1492"/>
      <c r="O55" s="464"/>
      <c r="P55" s="493"/>
      <c r="Q55" s="1457"/>
      <c r="R55" s="493"/>
      <c r="S55" s="1435"/>
      <c r="T55" s="1438" t="s">
        <v>351</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819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352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3261C-67EA-4D44-C2B8-0DE8B0960D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91" width="11.57421875" hidden="1" customWidth="1"/>
    <col min="2" max="2" style="8191" width="11.00390625" hidden="1" customWidth="1"/>
    <col min="3" max="3" style="8191" width="10.57421875" hidden="1"/>
    <col min="4" max="4" style="8191" width="12.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4" width="3.7109375" hidden="1" customWidth="1"/>
    <col min="17" max="17" style="11886" width="3.7109375" hidden="1" customWidth="1"/>
    <col min="18" max="18" style="9046" width="3.00390625" customWidth="1"/>
    <col min="19" max="19" style="9047" width="12.00390625" customWidth="1"/>
    <col min="20" max="20" style="8113" width="31.00390625" customWidth="1"/>
    <col min="21" max="21" style="8113" width="0.140625" customWidth="1"/>
    <col min="22" max="25" style="8113" width="21.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3.7109375" customWidth="1"/>
    <col min="31" max="32" style="8113" width="3.00390625" customWidth="1"/>
    <col min="33" max="33" style="8113" width="24.00390625" customWidth="1"/>
    <col min="34" max="34" style="8113" width="3.7109375" customWidth="1"/>
    <col min="35" max="36" style="8113" width="3.00390625" customWidth="1"/>
    <col min="37" max="37" style="8113" width="24.00390625" customWidth="1"/>
    <col min="38" max="38" style="8113" width="3.7109375" customWidth="1"/>
    <col min="39" max="40" style="8113" width="3.00390625" customWidth="1"/>
    <col min="41" max="41" style="8113" width="18.00390625" customWidth="1"/>
    <col min="42" max="42" style="8113" width="3.7109375" customWidth="1"/>
    <col min="43" max="44" style="8113" width="3.00390625" customWidth="1"/>
    <col min="45" max="45" style="8113" width="18.00390625" customWidth="1"/>
    <col min="46" max="49" style="8113" width="21.00390625" customWidth="1"/>
    <col min="50" max="50" style="8113" width="11.00390625" customWidth="1"/>
    <col min="51" max="51" style="8113" width="3.7109375" customWidth="1"/>
    <col min="52" max="52" style="8113" width="11.00390625" customWidth="1"/>
    <col min="53" max="53" style="8113" width="8.57421875" hidden="1" customWidth="1"/>
    <col min="54" max="54" style="8113" width="4.00390625" customWidth="1"/>
    <col min="55" max="55" style="8113" width="115.00390625" customWidth="1"/>
    <col min="56" max="60" style="8192" width="10.00390625" customWidth="1"/>
    <col min="61" max="61" style="81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200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552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553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635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636</v>
      </c>
      <c r="BE4" s="613"/>
      <c r="BF4" s="613" t="str">
        <f>IF(T4="","",T4)</f>
        <v>Наименование централизованной системы холодного водоснабжения</v>
      </c>
      <c r="BG4" s="613"/>
      <c r="BH4" s="613"/>
      <c r="BI4" s="1268">
        <v>0</v>
      </c>
    </row>
    <row s="819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557</v>
      </c>
      <c r="BE5" s="613"/>
      <c r="BF5" s="613" t="str">
        <f>IF(T5="","",T5)</f>
        <v/>
      </c>
      <c r="BG5" s="613"/>
      <c r="BH5" s="613"/>
      <c r="BI5" s="624">
        <v>0</v>
      </c>
    </row>
    <row s="8192" customFormat="1" customHeight="1" ht="14.25" hidden="1">
      <c r="A6" s="1456"/>
      <c r="B6" s="1456"/>
      <c r="C6" s="1456"/>
      <c r="D6" s="1456"/>
      <c r="E6" s="2372"/>
      <c r="F6" s="2372"/>
      <c r="G6" s="2372"/>
      <c r="H6" s="2372"/>
      <c r="I6" s="2369" t="str">
        <f>S5&amp;".1"</f>
        <v>.1</v>
      </c>
      <c r="J6" s="1456"/>
      <c r="K6" s="1456"/>
      <c r="L6" s="1459" t="s">
        <v>558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19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655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656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657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658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659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622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19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19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19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19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274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19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569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857" customFormat="1" customHeight="1" ht="14.25" hidden="1">
      <c r="M24" s="1621"/>
      <c r="N24" s="1621"/>
      <c r="O24" s="1622" t="s">
        <v>570</v>
      </c>
      <c r="P24" s="1621"/>
      <c r="Q24" s="1623"/>
      <c r="R24" s="1623"/>
      <c r="AA24" s="1620" t="s">
        <v>572</v>
      </c>
      <c r="AC24" s="1620" t="s">
        <v>573</v>
      </c>
      <c r="AD24" s="1620" t="s">
        <v>623</v>
      </c>
      <c r="AH24" s="1620" t="s">
        <v>623</v>
      </c>
      <c r="AK24" s="1620" t="s">
        <v>660</v>
      </c>
      <c r="AL24" s="1620" t="s">
        <v>623</v>
      </c>
      <c r="AP24" s="1620" t="s">
        <v>623</v>
      </c>
      <c r="AY24" s="1620" t="s">
        <v>572</v>
      </c>
      <c r="BA24" s="1620" t="s">
        <v>573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32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328" customFormat="1" customHeight="1" ht="18.75">
      <c r="A32" s="1481"/>
      <c r="B32" s="1481"/>
      <c r="C32" s="1481"/>
      <c r="D32" s="1481"/>
      <c r="E32" s="1481"/>
      <c r="F32" s="1481"/>
      <c r="G32" s="1481"/>
      <c r="H32" s="1481"/>
      <c r="I32" s="1481"/>
      <c r="J32" s="1481"/>
      <c r="K32" s="1481"/>
      <c r="L32" s="1482"/>
      <c r="M32" s="1481"/>
      <c r="N32" s="1481"/>
      <c r="O32" s="1481"/>
      <c r="P32" s="1481"/>
      <c r="Q32" s="1481"/>
      <c r="S32" s="2363" t="s">
        <v>575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328" customFormat="1" customHeight="1" ht="18.75">
      <c r="A33" s="1481"/>
      <c r="B33" s="1481"/>
      <c r="C33" s="1481"/>
      <c r="D33" s="1481"/>
      <c r="E33" s="1481"/>
      <c r="F33" s="1481"/>
      <c r="G33" s="1481"/>
      <c r="H33" s="1481"/>
      <c r="I33" s="1481"/>
      <c r="J33" s="1481"/>
      <c r="K33" s="1481"/>
      <c r="L33" s="1482"/>
      <c r="M33" s="1481"/>
      <c r="N33" s="1481"/>
      <c r="O33" s="1481"/>
      <c r="P33" s="1481"/>
      <c r="Q33" s="1481"/>
      <c r="S33" s="2363" t="s">
        <v>576</v>
      </c>
      <c r="T33" s="2363"/>
      <c r="U33" s="1485"/>
      <c r="V33" s="2364" t="str">
        <f>IF(TITLE_NUMBER_PR_CHANGE="",IF(TITLE_NUMBER_PR="","",TITLE_NUMBER_PR),TITLE_NUMBER_PR_CHANGE)</f>
        <v>51/111</v>
      </c>
      <c r="W33" s="2364"/>
      <c r="X33" s="2364"/>
      <c r="Y33" s="2364"/>
      <c r="Z33" s="2364"/>
      <c r="AA33" s="2364"/>
      <c r="AB33" s="2364"/>
      <c r="AC33" s="439"/>
      <c r="AD33" s="2364" t="str">
        <f>IF(TITLE_NUMBER_PR_CHANGE="",IF(TITLE_NUMBER_PR="","",TITLE_NUMBER_PR),TITLE_NUMBER_PR_CHANGE)</f>
        <v>51/111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32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https://npa.gov-murman.ru/bitrix/components/b1team/govmurman.element.file/download.php?ID=537819&amp;FID=814581</v>
      </c>
      <c r="W34" s="2364"/>
      <c r="X34" s="2364"/>
      <c r="Y34" s="2364"/>
      <c r="Z34" s="2364"/>
      <c r="AA34" s="2364"/>
      <c r="AB34" s="2364"/>
      <c r="AC34" s="439"/>
      <c r="AD34" s="2364" t="str">
        <f>IF(TITLE_IST_PUB_CHANGE="",IF(TITLE_IST_PUB="","",TITLE_IST_PUB),TITLE_IST_PUB_CHANGE)</f>
        <v>https://npa.gov-murman.ru/bitrix/components/b1team/govmurman.element.file/download.php?ID=537819&amp;FID=814581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32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575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32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576</v>
      </c>
      <c r="T37" s="2363"/>
      <c r="U37" s="1485"/>
      <c r="V37" s="2364" t="str">
        <f>IF(TITLE_NUMBER_PR_CHANGE="",IF(TITLE_NUMBER_PR="","",TITLE_NUMBER_PR),TITLE_NUMBER_PR_CHANGE)</f>
        <v>51/111</v>
      </c>
      <c r="W37" s="2364"/>
      <c r="X37" s="2364"/>
      <c r="Y37" s="2364"/>
      <c r="Z37" s="2364"/>
      <c r="AA37" s="2364"/>
      <c r="AB37" s="2364"/>
      <c r="AC37" s="439"/>
      <c r="AD37" s="2364" t="str">
        <f>IF(TITLE_NUMBER_PR_CHANGE="",IF(TITLE_NUMBER_PR="","",TITLE_NUMBER_PR),TITLE_NUMBER_PR_CHANGE)</f>
        <v>51/111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32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579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579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455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456</v>
      </c>
      <c r="BI40" s="1268">
        <v>14</v>
      </c>
    </row>
    <row customHeight="1" ht="14.699999999999998">
      <c r="Q41" s="404"/>
      <c r="R41" s="489"/>
      <c r="S41" s="2386" t="s">
        <v>90</v>
      </c>
      <c r="T41" s="2322" t="s">
        <v>661</v>
      </c>
      <c r="U41" s="414"/>
      <c r="V41" s="2387" t="s">
        <v>581</v>
      </c>
      <c r="W41" s="2388"/>
      <c r="X41" s="2388"/>
      <c r="Y41" s="2388"/>
      <c r="Z41" s="2388"/>
      <c r="AA41" s="2388"/>
      <c r="AB41" s="2389"/>
      <c r="AC41" s="2390" t="s">
        <v>582</v>
      </c>
      <c r="AD41" s="2441" t="s">
        <v>662</v>
      </c>
      <c r="AE41" s="2404"/>
      <c r="AF41" s="2404"/>
      <c r="AG41" s="2442"/>
      <c r="AH41" s="2441" t="s">
        <v>663</v>
      </c>
      <c r="AI41" s="2404"/>
      <c r="AJ41" s="2404"/>
      <c r="AK41" s="2442"/>
      <c r="AL41" s="2441" t="s">
        <v>664</v>
      </c>
      <c r="AM41" s="2404"/>
      <c r="AN41" s="2404"/>
      <c r="AO41" s="2442"/>
      <c r="AP41" s="2441" t="s">
        <v>665</v>
      </c>
      <c r="AQ41" s="2404"/>
      <c r="AR41" s="2404"/>
      <c r="AS41" s="2442"/>
      <c r="AT41" s="2387" t="s">
        <v>581</v>
      </c>
      <c r="AU41" s="2388"/>
      <c r="AV41" s="2388"/>
      <c r="AW41" s="2388"/>
      <c r="AX41" s="2388"/>
      <c r="AY41" s="2388"/>
      <c r="AZ41" s="2389"/>
      <c r="BA41" s="2390" t="s">
        <v>582</v>
      </c>
      <c r="BB41" s="2393" t="s">
        <v>584</v>
      </c>
      <c r="BC41" s="2240"/>
      <c r="BI41" s="1268">
        <v>14</v>
      </c>
    </row>
    <row customHeight="1" ht="35.699999999999996">
      <c r="Q42" s="404"/>
      <c r="R42" s="489"/>
      <c r="S42" s="2386"/>
      <c r="T42" s="2322"/>
      <c r="U42" s="1144"/>
      <c r="V42" s="2305" t="s">
        <v>666</v>
      </c>
      <c r="W42" s="2306"/>
      <c r="X42" s="2305" t="s">
        <v>667</v>
      </c>
      <c r="Y42" s="2306"/>
      <c r="Z42" s="2407" t="s">
        <v>668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666</v>
      </c>
      <c r="AU42" s="2306"/>
      <c r="AV42" s="2305" t="s">
        <v>667</v>
      </c>
      <c r="AW42" s="2306"/>
      <c r="AX42" s="2407" t="s">
        <v>668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212</v>
      </c>
      <c r="C44" s="1483" t="s">
        <v>213</v>
      </c>
      <c r="D44" s="1483" t="s">
        <v>214</v>
      </c>
      <c r="E44" s="1477" t="s">
        <v>589</v>
      </c>
      <c r="F44" s="1477" t="s">
        <v>590</v>
      </c>
      <c r="G44" s="1477" t="s">
        <v>591</v>
      </c>
      <c r="H44" s="1477" t="s">
        <v>592</v>
      </c>
      <c r="I44" s="1477" t="s">
        <v>593</v>
      </c>
      <c r="J44" s="1477" t="s">
        <v>594</v>
      </c>
      <c r="K44" s="1477" t="s">
        <v>595</v>
      </c>
      <c r="L44" s="1477" t="s">
        <v>570</v>
      </c>
      <c r="Q44" s="404"/>
      <c r="R44" s="489"/>
      <c r="S44" s="2386"/>
      <c r="T44" s="2322"/>
      <c r="U44" s="415"/>
      <c r="V44" s="1561" t="s">
        <v>632</v>
      </c>
      <c r="W44" s="1561" t="s">
        <v>633</v>
      </c>
      <c r="X44" s="1561" t="s">
        <v>632</v>
      </c>
      <c r="Y44" s="1561" t="s">
        <v>633</v>
      </c>
      <c r="Z44" s="1568" t="s">
        <v>598</v>
      </c>
      <c r="AA44" s="2383" t="s">
        <v>599</v>
      </c>
      <c r="AB44" s="2384"/>
      <c r="AC44" s="2392"/>
      <c r="AD44" s="2446"/>
      <c r="AE44" s="2447"/>
      <c r="AF44" s="2447"/>
      <c r="AG44" s="2448"/>
      <c r="AH44" s="2446"/>
      <c r="AI44" s="2447"/>
      <c r="AJ44" s="2447"/>
      <c r="AK44" s="2448"/>
      <c r="AL44" s="2446"/>
      <c r="AM44" s="2447"/>
      <c r="AN44" s="2447"/>
      <c r="AO44" s="2448"/>
      <c r="AP44" s="2446"/>
      <c r="AQ44" s="2447"/>
      <c r="AR44" s="2447"/>
      <c r="AS44" s="2448"/>
      <c r="AT44" s="1561" t="s">
        <v>632</v>
      </c>
      <c r="AU44" s="1561" t="s">
        <v>633</v>
      </c>
      <c r="AV44" s="1561" t="s">
        <v>632</v>
      </c>
      <c r="AW44" s="1561" t="s">
        <v>633</v>
      </c>
      <c r="AX44" s="1568" t="s">
        <v>598</v>
      </c>
      <c r="AY44" s="2383" t="s">
        <v>599</v>
      </c>
      <c r="AZ44" s="2384"/>
      <c r="BA44" s="2392"/>
      <c r="BB44" s="2395"/>
      <c r="BC44" s="2240"/>
      <c r="BI44" s="1268">
        <v>14</v>
      </c>
    </row>
    <row s="88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155</v>
      </c>
      <c r="T45" s="1368" t="s">
        <v>105</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401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200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401</v>
      </c>
      <c r="B47" s="1476" t="s">
        <v>402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552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553</v>
      </c>
      <c r="BE47" s="613"/>
      <c r="BF47" s="613" t="str">
        <f>IF(T47="","",T47)</f>
        <v>Территория действия тарифа</v>
      </c>
      <c r="BG47" s="613"/>
      <c r="BH47" s="613"/>
      <c r="BI47" s="1268">
        <v>21</v>
      </c>
    </row>
    <row customHeight="1" ht="43.050000000000004">
      <c r="A48" s="1476" t="s">
        <v>401</v>
      </c>
      <c r="B48" s="1476" t="s">
        <v>402</v>
      </c>
      <c r="C48" s="1476" t="s">
        <v>403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635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636</v>
      </c>
      <c r="BE48" s="613"/>
      <c r="BF48" s="613" t="str">
        <f>IF(T48="","",T48)</f>
        <v>Наименование централизованной системы холодного водоснабжения</v>
      </c>
      <c r="BG48" s="613"/>
      <c r="BH48" s="613"/>
      <c r="BI48" s="1268">
        <v>41</v>
      </c>
    </row>
    <row s="8192" customFormat="1" customHeight="1" ht="0">
      <c r="A49" s="1456" t="s">
        <v>401</v>
      </c>
      <c r="B49" s="1456" t="s">
        <v>402</v>
      </c>
      <c r="C49" s="1456" t="s">
        <v>403</v>
      </c>
      <c r="D49" s="1456" t="s">
        <v>669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557</v>
      </c>
      <c r="BE49" s="613"/>
      <c r="BF49" s="613" t="str">
        <f>IF(T49="","",T49)</f>
        <v/>
      </c>
      <c r="BG49" s="613"/>
      <c r="BH49" s="613"/>
      <c r="BI49" s="624">
        <v>0</v>
      </c>
    </row>
    <row s="8192" customFormat="1" customHeight="1" ht="0">
      <c r="A50" s="1456" t="s">
        <v>401</v>
      </c>
      <c r="B50" s="1456" t="s">
        <v>402</v>
      </c>
      <c r="C50" s="1456" t="s">
        <v>403</v>
      </c>
      <c r="D50" s="1456" t="s">
        <v>669</v>
      </c>
      <c r="E50" s="2372"/>
      <c r="F50" s="2372"/>
      <c r="G50" s="2372"/>
      <c r="H50" s="2372"/>
      <c r="I50" s="2369" t="str">
        <f>S49&amp;".1"</f>
        <v>.1</v>
      </c>
      <c r="J50" s="1456"/>
      <c r="K50" s="1456"/>
      <c r="L50" s="1459" t="s">
        <v>558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192" customFormat="1" customHeight="1" ht="0">
      <c r="A51" s="1456" t="s">
        <v>401</v>
      </c>
      <c r="B51" s="1456" t="s">
        <v>402</v>
      </c>
      <c r="C51" s="1456" t="s">
        <v>403</v>
      </c>
      <c r="D51" s="1456" t="s">
        <v>669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401</v>
      </c>
      <c r="B52" s="1476" t="s">
        <v>402</v>
      </c>
      <c r="C52" s="1476" t="s">
        <v>403</v>
      </c>
      <c r="D52" s="1476" t="s">
        <v>669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655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656</v>
      </c>
      <c r="AT53" s="1506"/>
      <c r="AU53" s="1609"/>
      <c r="AV53" s="1506"/>
      <c r="AW53" s="1609"/>
      <c r="AX53" s="1506"/>
      <c r="AY53" s="1506"/>
      <c r="AZ53" s="1506"/>
      <c r="BA53" s="1506"/>
      <c r="BB53" s="1510"/>
      <c r="BC53" s="2367"/>
      <c r="BE53" s="613"/>
      <c r="BF53" s="613"/>
      <c r="BG53" s="613"/>
      <c r="BH53" s="613"/>
      <c r="BI53" s="1268">
        <v>11</v>
      </c>
    </row>
    <row customHeight="1" ht="11.549999999999999">
      <c r="A54" s="1476" t="s">
        <v>401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657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401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658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401</v>
      </c>
      <c r="B56" s="1476" t="s">
        <v>402</v>
      </c>
      <c r="C56" s="1476" t="s">
        <v>403</v>
      </c>
      <c r="D56" s="1476" t="s">
        <v>669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659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401</v>
      </c>
      <c r="B57" s="1476" t="s">
        <v>402</v>
      </c>
      <c r="C57" s="1476" t="s">
        <v>403</v>
      </c>
      <c r="D57" s="1476" t="s">
        <v>669</v>
      </c>
      <c r="E57" s="2372"/>
      <c r="F57" s="2372"/>
      <c r="G57" s="2372"/>
      <c r="H57" s="2372"/>
      <c r="I57" s="2399"/>
      <c r="J57" s="2369"/>
      <c r="K57" s="1476"/>
      <c r="L57" s="1477"/>
      <c r="P57" s="2370"/>
      <c r="Q57" s="2370"/>
      <c r="R57" s="469"/>
      <c r="S57" s="1391"/>
      <c r="T57" s="400" t="s">
        <v>622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192" customFormat="1" customHeight="1" ht="0">
      <c r="A58" s="1456" t="s">
        <v>401</v>
      </c>
      <c r="B58" s="1456" t="s">
        <v>402</v>
      </c>
      <c r="C58" s="1456" t="s">
        <v>403</v>
      </c>
      <c r="D58" s="1456" t="s">
        <v>669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192" customFormat="1" customHeight="1" ht="0">
      <c r="A59" s="1456" t="s">
        <v>401</v>
      </c>
      <c r="B59" s="1456" t="s">
        <v>402</v>
      </c>
      <c r="C59" s="1456" t="s">
        <v>403</v>
      </c>
      <c r="D59" s="1456" t="s">
        <v>669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192" customFormat="1" customHeight="1" ht="0">
      <c r="A60" s="1456" t="s">
        <v>401</v>
      </c>
      <c r="B60" s="1456" t="s">
        <v>402</v>
      </c>
      <c r="C60" s="1456" t="s">
        <v>403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192" customFormat="1" customHeight="1" ht="0">
      <c r="A61" s="1456" t="s">
        <v>401</v>
      </c>
      <c r="B61" s="1456" t="s">
        <v>402</v>
      </c>
      <c r="C61" s="1427"/>
      <c r="D61" s="1427"/>
      <c r="E61" s="2372"/>
      <c r="F61" s="2371"/>
      <c r="G61" s="1427"/>
      <c r="H61" s="1427"/>
      <c r="I61" s="1427"/>
      <c r="J61" s="1427"/>
      <c r="K61" s="1427"/>
      <c r="L61" s="1577"/>
      <c r="M61" s="1434"/>
      <c r="N61" s="1434"/>
      <c r="P61" s="1429"/>
      <c r="Q61" s="1430"/>
      <c r="R61" s="1429"/>
      <c r="S61" s="1435"/>
      <c r="T61" s="1438" t="s">
        <v>274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192" customFormat="1" customHeight="1" ht="0">
      <c r="A62" s="1456" t="s">
        <v>401</v>
      </c>
      <c r="B62" s="1456"/>
      <c r="C62" s="1456"/>
      <c r="D62" s="1456"/>
      <c r="E62" s="2371"/>
      <c r="F62" s="1456"/>
      <c r="G62" s="1456"/>
      <c r="H62" s="1456"/>
      <c r="I62" s="1456"/>
      <c r="J62" s="1456"/>
      <c r="K62" s="1456"/>
      <c r="L62" s="1459"/>
      <c r="M62" s="1434"/>
      <c r="N62" s="1434"/>
      <c r="O62" s="631"/>
      <c r="P62" s="493"/>
      <c r="Q62" s="1457"/>
      <c r="R62" s="493"/>
      <c r="S62" s="1435"/>
      <c r="T62" s="1438" t="s">
        <v>351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19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352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F4E1D-B52A-6148-2B42-5ED85ED7EC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670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671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606">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91"/>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91"/>
      <c r="M19" s="1475"/>
      <c r="N19" s="1475"/>
      <c r="O19" s="1475"/>
      <c r="P19" s="1475"/>
      <c r="Q19" s="1484"/>
      <c r="R19" s="1484"/>
      <c r="S19" s="842"/>
      <c r="AB19" s="1479"/>
      <c r="AI19" s="1479"/>
      <c r="AL19" s="624"/>
      <c r="AM19" s="624"/>
      <c r="AN19" s="624"/>
      <c r="AO19" s="624"/>
      <c r="AP19" s="624"/>
      <c r="AQ19" s="1273">
        <v>0</v>
      </c>
    </row>
    <row s="8191" customFormat="1" customHeight="1" ht="12" hidden="1">
      <c r="L20" s="1591"/>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596" t="s">
        <v>643</v>
      </c>
      <c r="W38" s="2375" t="s">
        <v>587</v>
      </c>
      <c r="X38" s="2376"/>
      <c r="Y38" s="2375" t="s">
        <v>588</v>
      </c>
      <c r="Z38" s="2382"/>
      <c r="AA38" s="2376"/>
      <c r="AB38" s="2391"/>
      <c r="AC38" s="1596" t="s">
        <v>643</v>
      </c>
      <c r="AD38" s="2375" t="s">
        <v>587</v>
      </c>
      <c r="AE38" s="2376"/>
      <c r="AF38" s="2375" t="s">
        <v>588</v>
      </c>
      <c r="AG38" s="2382"/>
      <c r="AH38" s="2376"/>
      <c r="AI38" s="2391"/>
      <c r="AJ38" s="2394"/>
      <c r="AK38" s="2240"/>
      <c r="AQ38" s="1268">
        <v>34</v>
      </c>
    </row>
    <row customHeight="1" ht="90.3">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596" t="s">
        <v>672</v>
      </c>
      <c r="W39" s="1335" t="s">
        <v>673</v>
      </c>
      <c r="X39" s="1335" t="s">
        <v>648</v>
      </c>
      <c r="Y39" s="1602" t="s">
        <v>598</v>
      </c>
      <c r="Z39" s="2383" t="s">
        <v>599</v>
      </c>
      <c r="AA39" s="2384"/>
      <c r="AB39" s="2392"/>
      <c r="AC39" s="1596" t="s">
        <v>672</v>
      </c>
      <c r="AD39" s="1335" t="s">
        <v>673</v>
      </c>
      <c r="AE39" s="1335" t="s">
        <v>648</v>
      </c>
      <c r="AF39" s="1602" t="s">
        <v>598</v>
      </c>
      <c r="AG39" s="2383" t="s">
        <v>599</v>
      </c>
      <c r="AH39" s="2384"/>
      <c r="AI39" s="2392"/>
      <c r="AJ39" s="2395"/>
      <c r="AK39" s="2240"/>
      <c r="AQ39" s="1268">
        <v>86</v>
      </c>
    </row>
    <row s="880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421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421</v>
      </c>
      <c r="B42" s="1476" t="s">
        <v>422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421</v>
      </c>
      <c r="B43" s="1476" t="s">
        <v>422</v>
      </c>
      <c r="C43" s="1476" t="s">
        <v>423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670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671</v>
      </c>
      <c r="AM43" s="613"/>
      <c r="AN43" s="613" t="str">
        <f>IF(T43="","",T43)</f>
        <v>Наименование централизованной системы водоотведения</v>
      </c>
      <c r="AO43" s="613"/>
      <c r="AP43" s="613"/>
      <c r="AQ43" s="1268">
        <v>23</v>
      </c>
    </row>
    <row customHeight="1" ht="24">
      <c r="A44" s="1476" t="s">
        <v>421</v>
      </c>
      <c r="B44" s="1476" t="s">
        <v>422</v>
      </c>
      <c r="C44" s="1476" t="s">
        <v>423</v>
      </c>
      <c r="D44" s="1476" t="s">
        <v>674</v>
      </c>
      <c r="E44" s="2372"/>
      <c r="F44" s="2372"/>
      <c r="G44" s="2372"/>
      <c r="H44" s="2372"/>
      <c r="I44" s="2369" t="str">
        <f>S43&amp;".1"</f>
        <v>...1</v>
      </c>
      <c r="J44" s="1476"/>
      <c r="K44" s="1476"/>
      <c r="L44" s="1477"/>
      <c r="P44" s="2370">
        <v>1</v>
      </c>
      <c r="Q44" s="1594"/>
      <c r="R44" s="469"/>
      <c r="S44" s="1606"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421</v>
      </c>
      <c r="B45" s="1476" t="s">
        <v>422</v>
      </c>
      <c r="C45" s="1476" t="s">
        <v>423</v>
      </c>
      <c r="D45" s="1476" t="s">
        <v>674</v>
      </c>
      <c r="E45" s="2372"/>
      <c r="F45" s="2372"/>
      <c r="G45" s="2372"/>
      <c r="H45" s="2372"/>
      <c r="I45" s="2399"/>
      <c r="J45" s="2369" t="str">
        <f>I44&amp;".1"</f>
        <v>...1.1</v>
      </c>
      <c r="K45" s="1476"/>
      <c r="L45" s="1477" t="s">
        <v>561</v>
      </c>
      <c r="P45" s="2370"/>
      <c r="Q45" s="2370">
        <v>1</v>
      </c>
      <c r="R45" s="470"/>
      <c r="S45" s="1606"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421</v>
      </c>
      <c r="B46" s="1476" t="s">
        <v>422</v>
      </c>
      <c r="C46" s="1476" t="s">
        <v>423</v>
      </c>
      <c r="D46" s="1476" t="s">
        <v>674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421</v>
      </c>
      <c r="B47" s="1476" t="s">
        <v>422</v>
      </c>
      <c r="C47" s="1476" t="s">
        <v>423</v>
      </c>
      <c r="D47" s="1476" t="s">
        <v>674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421</v>
      </c>
      <c r="B48" s="1476" t="s">
        <v>422</v>
      </c>
      <c r="C48" s="1476" t="s">
        <v>423</v>
      </c>
      <c r="D48" s="1476" t="s">
        <v>674</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421</v>
      </c>
      <c r="B49" s="1476" t="s">
        <v>422</v>
      </c>
      <c r="C49" s="1476" t="s">
        <v>423</v>
      </c>
      <c r="D49" s="1476" t="s">
        <v>674</v>
      </c>
      <c r="E49" s="2372"/>
      <c r="F49" s="2372"/>
      <c r="G49" s="2372"/>
      <c r="H49" s="2372"/>
      <c r="I49" s="2369"/>
      <c r="J49" s="1476"/>
      <c r="K49" s="1476"/>
      <c r="L49" s="1477"/>
      <c r="P49" s="2370"/>
      <c r="Q49" s="1594"/>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421</v>
      </c>
      <c r="B50" s="1476" t="s">
        <v>422</v>
      </c>
      <c r="C50" s="1476" t="s">
        <v>423</v>
      </c>
      <c r="D50" s="1476" t="s">
        <v>674</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421</v>
      </c>
      <c r="B51" s="1456" t="s">
        <v>422</v>
      </c>
      <c r="C51" s="1427"/>
      <c r="D51" s="1427"/>
      <c r="E51" s="2372"/>
      <c r="F51" s="2371"/>
      <c r="G51" s="1427"/>
      <c r="H51" s="1427"/>
      <c r="I51" s="1427"/>
      <c r="J51" s="1427"/>
      <c r="K51" s="1427"/>
      <c r="L51" s="1607"/>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421</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C082-F3EE-DA02-B7DD-790AD29407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4" style="8113" width="24.7109375" hidden="1" customWidth="1"/>
    <col min="25" max="25" style="8113" width="11.7109375" hidden="1" customWidth="1"/>
    <col min="26" max="26" style="8113" width="3.7109375" hidden="1" customWidth="1"/>
    <col min="27" max="27" style="8113" width="11.7109375" hidden="1" customWidth="1"/>
    <col min="28" max="28" style="8113" width="8.57421875" hidden="1" customWidth="1"/>
    <col min="29" max="29" style="8113" width="24.7109375" customWidth="1"/>
    <col min="30" max="31" style="8113" width="24.00390625" customWidth="1"/>
    <col min="32" max="32" style="8113" width="11.00390625" customWidth="1"/>
    <col min="33" max="33" style="8113" width="3.7109375" customWidth="1"/>
    <col min="34" max="34" style="8113" width="11.00390625" customWidth="1"/>
    <col min="35" max="35" style="8113" width="8.57421875" hidden="1" customWidth="1"/>
    <col min="36" max="36" style="8113" width="4.00390625" customWidth="1"/>
    <col min="37" max="37" style="8113" width="115.00390625" customWidth="1"/>
    <col min="38" max="42" style="8192" width="10.00390625" customWidth="1"/>
    <col min="43" max="43" style="811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200</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552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553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670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671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637</v>
      </c>
      <c r="U5" s="413"/>
      <c r="V5" s="2463"/>
      <c r="W5" s="2464"/>
      <c r="X5" s="2464"/>
      <c r="Y5" s="2464"/>
      <c r="Z5" s="2464"/>
      <c r="AA5" s="2464"/>
      <c r="AB5" s="2465"/>
      <c r="AC5" s="2466"/>
      <c r="AD5" s="2467"/>
      <c r="AE5" s="2467"/>
      <c r="AF5" s="2467"/>
      <c r="AG5" s="2467"/>
      <c r="AH5" s="2467"/>
      <c r="AI5" s="2467"/>
      <c r="AJ5" s="2468"/>
      <c r="AK5" s="1371" t="s">
        <v>638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561</v>
      </c>
      <c r="P6" s="2370"/>
      <c r="Q6" s="2370">
        <v>1</v>
      </c>
      <c r="R6" s="470"/>
      <c r="S6" s="1606">
        <f>$J6</f>
      </c>
      <c r="T6" s="399" t="s">
        <v>562</v>
      </c>
      <c r="U6" s="413"/>
      <c r="V6" s="2358"/>
      <c r="W6" s="2359"/>
      <c r="X6" s="2359"/>
      <c r="Y6" s="2359"/>
      <c r="Z6" s="2359"/>
      <c r="AA6" s="2359"/>
      <c r="AB6" s="2360"/>
      <c r="AC6" s="2358"/>
      <c r="AD6" s="2359"/>
      <c r="AE6" s="2359"/>
      <c r="AF6" s="2359"/>
      <c r="AG6" s="2359"/>
      <c r="AH6" s="2359"/>
      <c r="AI6" s="2359"/>
      <c r="AJ6" s="2360"/>
      <c r="AK6" s="1420" t="s">
        <v>639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480"/>
      <c r="X9" s="480"/>
      <c r="Y9" s="480"/>
      <c r="Z9" s="480"/>
      <c r="AA9" s="480"/>
      <c r="AB9" s="480"/>
      <c r="AC9" s="480"/>
      <c r="AD9" s="480"/>
      <c r="AE9" s="480"/>
      <c r="AF9" s="480"/>
      <c r="AG9" s="480"/>
      <c r="AH9" s="480"/>
      <c r="AI9" s="480"/>
      <c r="AJ9" s="480"/>
      <c r="AK9" s="1371" t="s">
        <v>641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567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819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8191" customFormat="1" customHeight="1" ht="22.5" hidden="1">
      <c r="L18" s="1591"/>
      <c r="M18" s="1475"/>
      <c r="N18" s="1475"/>
      <c r="O18" s="1480" t="s">
        <v>569</v>
      </c>
      <c r="P18" s="1475"/>
      <c r="Q18" s="1484"/>
      <c r="R18" s="1484"/>
      <c r="S18" s="842"/>
      <c r="Y18" s="1480"/>
      <c r="AA18" s="1480"/>
      <c r="AB18" s="1479"/>
      <c r="AF18" s="1480"/>
      <c r="AH18" s="1480"/>
      <c r="AI18" s="1479"/>
      <c r="AL18" s="624"/>
      <c r="AM18" s="624"/>
      <c r="AN18" s="624"/>
      <c r="AO18" s="624"/>
      <c r="AP18" s="624"/>
      <c r="AQ18" s="1273">
        <v>0</v>
      </c>
    </row>
    <row s="8191" customFormat="1" customHeight="1" ht="14.25" hidden="1">
      <c r="L19" s="1591"/>
      <c r="M19" s="1475"/>
      <c r="N19" s="1475"/>
      <c r="O19" s="1475"/>
      <c r="P19" s="1475"/>
      <c r="Q19" s="1484"/>
      <c r="R19" s="1484"/>
      <c r="S19" s="842"/>
      <c r="AB19" s="1479"/>
      <c r="AI19" s="1479"/>
      <c r="AL19" s="624"/>
      <c r="AM19" s="624"/>
      <c r="AN19" s="624"/>
      <c r="AO19" s="624"/>
      <c r="AP19" s="624"/>
      <c r="AQ19" s="1273">
        <v>0</v>
      </c>
    </row>
    <row s="8191" customFormat="1" customHeight="1" ht="12" hidden="1">
      <c r="L20" s="1591"/>
      <c r="M20" s="1475"/>
      <c r="N20" s="1475"/>
      <c r="O20" s="1477" t="s">
        <v>570</v>
      </c>
      <c r="P20" s="1475"/>
      <c r="Q20" s="1555"/>
      <c r="R20" s="1555"/>
      <c r="S20" s="842"/>
      <c r="T20" s="1273" t="s">
        <v>571</v>
      </c>
      <c r="Z20" s="299" t="s">
        <v>572</v>
      </c>
      <c r="AB20" s="299" t="s">
        <v>573</v>
      </c>
      <c r="AC20" s="1273" t="s">
        <v>571</v>
      </c>
      <c r="AG20" s="299" t="s">
        <v>574</v>
      </c>
      <c r="AI20" s="299" t="s">
        <v>573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439"/>
      <c r="AC29" s="2364" t="str">
        <f>IF(TITLE_NUMBER_PR_CHANGE="",IF(TITLE_NUMBER_PR="","",TITLE_NUMBER_PR),TITLE_NUMBER_PR_CHANGE)</f>
        <v>51/111</v>
      </c>
      <c r="AD29" s="2364"/>
      <c r="AE29" s="2364"/>
      <c r="AF29" s="2364"/>
      <c r="AG29" s="2364"/>
      <c r="AH29" s="2364"/>
      <c r="AI29" s="439"/>
      <c r="AJ29" s="439"/>
      <c r="AK29" s="393"/>
      <c r="AL29" s="481"/>
      <c r="AM29" s="481"/>
      <c r="AN29" s="481"/>
      <c r="AO29" s="481"/>
      <c r="AP29" s="481"/>
      <c r="AQ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439"/>
      <c r="AC30" s="2364" t="str">
        <f>IF(TITLE_IST_PUB_CHANGE="",IF(TITLE_IST_PUB="","",TITLE_IST_PUB),TITLE_IST_PUB_CHANGE)</f>
        <v>https://npa.gov-murman.ru/bitrix/components/b1team/govmurman.element.file/download.php?ID=537819&amp;FID=814581</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439"/>
      <c r="AC33" s="2364" t="str">
        <f>IF(TITLE_NUMBER_PR_CHANGE="",IF(TITLE_NUMBER_PR="","",TITLE_NUMBER_PR),TITLE_NUMBER_PR_CHANGE)</f>
        <v>51/111</v>
      </c>
      <c r="AD33" s="2364"/>
      <c r="AE33" s="2364"/>
      <c r="AF33" s="2364"/>
      <c r="AG33" s="2364"/>
      <c r="AH33" s="2364"/>
      <c r="AI33" s="439"/>
      <c r="AJ33" s="439"/>
      <c r="AK33" s="393"/>
      <c r="AL33" s="481"/>
      <c r="AM33" s="481"/>
      <c r="AN33" s="481"/>
      <c r="AO33" s="481"/>
      <c r="AP33" s="481"/>
      <c r="AQ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579</v>
      </c>
      <c r="AC34" s="439"/>
      <c r="AD34" s="439"/>
      <c r="AE34" s="439"/>
      <c r="AF34" s="439"/>
      <c r="AG34" s="439"/>
      <c r="AH34" s="439"/>
      <c r="AI34" s="391" t="s">
        <v>579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t="s">
        <v>456</v>
      </c>
      <c r="AQ36" s="1268">
        <v>14</v>
      </c>
    </row>
    <row customHeight="1" ht="14.699999999999998">
      <c r="Q37" s="489"/>
      <c r="R37" s="489"/>
      <c r="S37" s="2386" t="s">
        <v>90</v>
      </c>
      <c r="T37" s="2322" t="s">
        <v>580</v>
      </c>
      <c r="U37" s="414"/>
      <c r="V37" s="2387" t="s">
        <v>581</v>
      </c>
      <c r="W37" s="2388"/>
      <c r="X37" s="2388"/>
      <c r="Y37" s="2388"/>
      <c r="Z37" s="2388"/>
      <c r="AA37" s="2389"/>
      <c r="AB37" s="2390" t="s">
        <v>582</v>
      </c>
      <c r="AC37" s="2387" t="s">
        <v>581</v>
      </c>
      <c r="AD37" s="2388"/>
      <c r="AE37" s="2388"/>
      <c r="AF37" s="2388"/>
      <c r="AG37" s="2388"/>
      <c r="AH37" s="2389"/>
      <c r="AI37" s="2390" t="s">
        <v>583</v>
      </c>
      <c r="AJ37" s="2393" t="s">
        <v>584</v>
      </c>
      <c r="AK37" s="2240"/>
      <c r="AQ37" s="1268">
        <v>14</v>
      </c>
    </row>
    <row customHeight="1" ht="35.699999999999996">
      <c r="Q38" s="489"/>
      <c r="R38" s="489"/>
      <c r="S38" s="2386"/>
      <c r="T38" s="2322"/>
      <c r="U38" s="1144"/>
      <c r="V38" s="1596" t="s">
        <v>643</v>
      </c>
      <c r="W38" s="2375" t="s">
        <v>587</v>
      </c>
      <c r="X38" s="2376"/>
      <c r="Y38" s="2375" t="s">
        <v>588</v>
      </c>
      <c r="Z38" s="2382"/>
      <c r="AA38" s="2376"/>
      <c r="AB38" s="2391"/>
      <c r="AC38" s="1596" t="s">
        <v>643</v>
      </c>
      <c r="AD38" s="2375" t="s">
        <v>587</v>
      </c>
      <c r="AE38" s="2376"/>
      <c r="AF38" s="2375" t="s">
        <v>588</v>
      </c>
      <c r="AG38" s="2382"/>
      <c r="AH38" s="2376"/>
      <c r="AI38" s="2391"/>
      <c r="AJ38" s="2394"/>
      <c r="AK38" s="2240"/>
      <c r="AQ38" s="1268">
        <v>34</v>
      </c>
    </row>
    <row customHeight="1" ht="90.3">
      <c r="A39" s="1483"/>
      <c r="B39" s="1483" t="s">
        <v>212</v>
      </c>
      <c r="C39" s="1483" t="s">
        <v>213</v>
      </c>
      <c r="D39" s="1483" t="s">
        <v>214</v>
      </c>
      <c r="E39" s="1477" t="s">
        <v>589</v>
      </c>
      <c r="F39" s="1477" t="s">
        <v>590</v>
      </c>
      <c r="G39" s="1477" t="s">
        <v>591</v>
      </c>
      <c r="H39" s="1477"/>
      <c r="I39" s="1477" t="s">
        <v>644</v>
      </c>
      <c r="J39" s="1477" t="s">
        <v>594</v>
      </c>
      <c r="K39" s="1477" t="s">
        <v>645</v>
      </c>
      <c r="L39" s="1477" t="s">
        <v>570</v>
      </c>
      <c r="Q39" s="489"/>
      <c r="R39" s="489"/>
      <c r="S39" s="2386"/>
      <c r="T39" s="2322"/>
      <c r="U39" s="415"/>
      <c r="V39" s="1596" t="s">
        <v>672</v>
      </c>
      <c r="W39" s="1335" t="s">
        <v>673</v>
      </c>
      <c r="X39" s="1335" t="s">
        <v>648</v>
      </c>
      <c r="Y39" s="1602" t="s">
        <v>598</v>
      </c>
      <c r="Z39" s="2383" t="s">
        <v>599</v>
      </c>
      <c r="AA39" s="2384"/>
      <c r="AB39" s="2392"/>
      <c r="AC39" s="1596" t="s">
        <v>672</v>
      </c>
      <c r="AD39" s="1335" t="s">
        <v>673</v>
      </c>
      <c r="AE39" s="1335" t="s">
        <v>648</v>
      </c>
      <c r="AF39" s="1602" t="s">
        <v>598</v>
      </c>
      <c r="AG39" s="2383" t="s">
        <v>599</v>
      </c>
      <c r="AH39" s="2384"/>
      <c r="AI39" s="2392"/>
      <c r="AJ39" s="2395"/>
      <c r="AK39" s="2240"/>
      <c r="AQ39" s="1268">
        <v>86</v>
      </c>
    </row>
    <row s="880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155</v>
      </c>
      <c r="T40" s="1368" t="s">
        <v>105</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426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200</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426</v>
      </c>
      <c r="B42" s="1476" t="s">
        <v>427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552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553</v>
      </c>
      <c r="AM42" s="613"/>
      <c r="AN42" s="613" t="str">
        <f>IF(T42="","",T42)</f>
        <v>Территория действия тарифа</v>
      </c>
      <c r="AO42" s="613"/>
      <c r="AP42" s="613"/>
      <c r="AQ42" s="1268">
        <v>23</v>
      </c>
    </row>
    <row customHeight="1" ht="24">
      <c r="A43" s="1476" t="s">
        <v>426</v>
      </c>
      <c r="B43" s="1476" t="s">
        <v>427</v>
      </c>
      <c r="C43" s="1476" t="s">
        <v>428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670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671</v>
      </c>
      <c r="AM43" s="613"/>
      <c r="AN43" s="613" t="str">
        <f>IF(T43="","",T43)</f>
        <v>Наименование централизованной системы водоотведения</v>
      </c>
      <c r="AO43" s="613"/>
      <c r="AP43" s="613"/>
      <c r="AQ43" s="1268">
        <v>23</v>
      </c>
    </row>
    <row customHeight="1" ht="24">
      <c r="A44" s="1476" t="s">
        <v>426</v>
      </c>
      <c r="B44" s="1476" t="s">
        <v>427</v>
      </c>
      <c r="C44" s="1476" t="s">
        <v>428</v>
      </c>
      <c r="D44" s="1476" t="s">
        <v>675</v>
      </c>
      <c r="E44" s="2372"/>
      <c r="F44" s="2372"/>
      <c r="G44" s="2372"/>
      <c r="H44" s="2372"/>
      <c r="I44" s="2369" t="str">
        <f>S43&amp;".1"</f>
        <v>...1</v>
      </c>
      <c r="J44" s="1476"/>
      <c r="K44" s="1476"/>
      <c r="L44" s="1477"/>
      <c r="P44" s="2370">
        <v>1</v>
      </c>
      <c r="Q44" s="1594"/>
      <c r="R44" s="469"/>
      <c r="S44" s="1606" t="str">
        <f>$I44</f>
        <v>...1</v>
      </c>
      <c r="T44" s="398" t="s">
        <v>637</v>
      </c>
      <c r="U44" s="413"/>
      <c r="V44" s="2463"/>
      <c r="W44" s="2464"/>
      <c r="X44" s="2464"/>
      <c r="Y44" s="2464"/>
      <c r="Z44" s="2464"/>
      <c r="AA44" s="2464"/>
      <c r="AB44" s="2465"/>
      <c r="AC44" s="2466"/>
      <c r="AD44" s="2467"/>
      <c r="AE44" s="2467"/>
      <c r="AF44" s="2467"/>
      <c r="AG44" s="2467"/>
      <c r="AH44" s="2467"/>
      <c r="AI44" s="2467"/>
      <c r="AJ44" s="2468"/>
      <c r="AK44" s="1371" t="s">
        <v>638</v>
      </c>
      <c r="AM44" s="613"/>
      <c r="AN44" s="613" t="str">
        <f>IF(T44="","",T44)</f>
        <v>Наименование признака дифференциации</v>
      </c>
      <c r="AO44" s="613"/>
      <c r="AP44" s="613"/>
      <c r="AQ44" s="1268">
        <v>23</v>
      </c>
    </row>
    <row customHeight="1" ht="24">
      <c r="A45" s="1476" t="s">
        <v>426</v>
      </c>
      <c r="B45" s="1476" t="s">
        <v>427</v>
      </c>
      <c r="C45" s="1476" t="s">
        <v>428</v>
      </c>
      <c r="D45" s="1476" t="s">
        <v>675</v>
      </c>
      <c r="E45" s="2372"/>
      <c r="F45" s="2372"/>
      <c r="G45" s="2372"/>
      <c r="H45" s="2372"/>
      <c r="I45" s="2399"/>
      <c r="J45" s="2369" t="str">
        <f>I44&amp;".1"</f>
        <v>...1.1</v>
      </c>
      <c r="K45" s="1476"/>
      <c r="L45" s="1477" t="s">
        <v>561</v>
      </c>
      <c r="P45" s="2370"/>
      <c r="Q45" s="2370">
        <v>1</v>
      </c>
      <c r="R45" s="470"/>
      <c r="S45" s="1606" t="str">
        <f>$J45</f>
        <v>...1.1</v>
      </c>
      <c r="T45" s="399" t="s">
        <v>562</v>
      </c>
      <c r="U45" s="413"/>
      <c r="V45" s="2358"/>
      <c r="W45" s="2359"/>
      <c r="X45" s="2359"/>
      <c r="Y45" s="2359"/>
      <c r="Z45" s="2359"/>
      <c r="AA45" s="2359"/>
      <c r="AB45" s="2360"/>
      <c r="AC45" s="2358"/>
      <c r="AD45" s="2359"/>
      <c r="AE45" s="2359"/>
      <c r="AF45" s="2359"/>
      <c r="AG45" s="2359"/>
      <c r="AH45" s="2359"/>
      <c r="AI45" s="2359"/>
      <c r="AJ45" s="2360"/>
      <c r="AK45" s="1420" t="s">
        <v>639</v>
      </c>
      <c r="AM45" s="613"/>
      <c r="AN45" s="613" t="str">
        <f>IF(T45="","",T45)</f>
        <v>Группа потребителей</v>
      </c>
      <c r="AO45" s="613"/>
      <c r="AP45" s="613"/>
      <c r="AQ45" s="1268">
        <v>23</v>
      </c>
    </row>
    <row customHeight="1" ht="24">
      <c r="A46" s="1476" t="s">
        <v>426</v>
      </c>
      <c r="B46" s="1476" t="s">
        <v>427</v>
      </c>
      <c r="C46" s="1476" t="s">
        <v>428</v>
      </c>
      <c r="D46" s="1476" t="s">
        <v>675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426</v>
      </c>
      <c r="B47" s="1476" t="s">
        <v>427</v>
      </c>
      <c r="C47" s="1476" t="s">
        <v>428</v>
      </c>
      <c r="D47" s="1476" t="s">
        <v>675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426</v>
      </c>
      <c r="B48" s="1476" t="s">
        <v>427</v>
      </c>
      <c r="C48" s="1476" t="s">
        <v>428</v>
      </c>
      <c r="D48" s="1476" t="s">
        <v>675</v>
      </c>
      <c r="E48" s="2372"/>
      <c r="F48" s="2372"/>
      <c r="G48" s="2372"/>
      <c r="H48" s="2372"/>
      <c r="I48" s="2399"/>
      <c r="J48" s="2369"/>
      <c r="K48" s="1476"/>
      <c r="L48" s="1477"/>
      <c r="P48" s="2370"/>
      <c r="Q48" s="2370"/>
      <c r="R48" s="469"/>
      <c r="S48" s="1391"/>
      <c r="T48" s="400" t="s">
        <v>640</v>
      </c>
      <c r="U48" s="480"/>
      <c r="V48" s="480"/>
      <c r="W48" s="480"/>
      <c r="X48" s="480"/>
      <c r="Y48" s="480"/>
      <c r="Z48" s="480"/>
      <c r="AA48" s="480"/>
      <c r="AB48" s="480"/>
      <c r="AC48" s="480"/>
      <c r="AD48" s="480"/>
      <c r="AE48" s="480"/>
      <c r="AF48" s="480"/>
      <c r="AG48" s="480"/>
      <c r="AH48" s="480"/>
      <c r="AI48" s="480"/>
      <c r="AJ48" s="480"/>
      <c r="AK48" s="1371" t="s">
        <v>641</v>
      </c>
      <c r="AM48" s="613"/>
      <c r="AN48" s="613" t="str">
        <f>IF(T48="","",T48)</f>
        <v>Добавить значение признака дифференциации</v>
      </c>
      <c r="AO48" s="613"/>
      <c r="AP48" s="613"/>
      <c r="AQ48" s="1268">
        <v>20</v>
      </c>
    </row>
    <row customHeight="1" ht="22.049999999999997">
      <c r="A49" s="1476" t="s">
        <v>426</v>
      </c>
      <c r="B49" s="1476" t="s">
        <v>427</v>
      </c>
      <c r="C49" s="1476" t="s">
        <v>428</v>
      </c>
      <c r="D49" s="1476" t="s">
        <v>675</v>
      </c>
      <c r="E49" s="2372"/>
      <c r="F49" s="2372"/>
      <c r="G49" s="2372"/>
      <c r="H49" s="2372"/>
      <c r="I49" s="2369"/>
      <c r="J49" s="1476"/>
      <c r="K49" s="1476"/>
      <c r="L49" s="1477"/>
      <c r="P49" s="2370"/>
      <c r="Q49" s="1594"/>
      <c r="R49" s="469"/>
      <c r="S49" s="1391"/>
      <c r="T49" s="478" t="s">
        <v>567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426</v>
      </c>
      <c r="B50" s="1476" t="s">
        <v>427</v>
      </c>
      <c r="C50" s="1476" t="s">
        <v>428</v>
      </c>
      <c r="D50" s="1476" t="s">
        <v>675</v>
      </c>
      <c r="E50" s="2372"/>
      <c r="F50" s="2372"/>
      <c r="G50" s="2372"/>
      <c r="H50" s="2371"/>
      <c r="I50" s="1476"/>
      <c r="J50" s="1476"/>
      <c r="K50" s="1476"/>
      <c r="L50" s="1477"/>
      <c r="M50" s="1478"/>
      <c r="N50" s="1478"/>
      <c r="O50" s="650"/>
      <c r="P50" s="473"/>
      <c r="Q50" s="488"/>
      <c r="R50" s="468"/>
      <c r="S50" s="1391"/>
      <c r="T50" s="485" t="s">
        <v>642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8192" customFormat="1" customHeight="1" ht="0">
      <c r="A51" s="1456" t="s">
        <v>426</v>
      </c>
      <c r="B51" s="1456" t="s">
        <v>427</v>
      </c>
      <c r="C51" s="1427"/>
      <c r="D51" s="1427"/>
      <c r="E51" s="2372"/>
      <c r="F51" s="2371"/>
      <c r="G51" s="1427"/>
      <c r="H51" s="1427"/>
      <c r="I51" s="1427"/>
      <c r="J51" s="1427"/>
      <c r="K51" s="1427"/>
      <c r="L51" s="1607"/>
      <c r="M51" s="1434"/>
      <c r="N51" s="1434"/>
      <c r="P51" s="1429"/>
      <c r="Q51" s="1430"/>
      <c r="R51" s="1429"/>
      <c r="S51" s="1435"/>
      <c r="T51" s="1438" t="s">
        <v>274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8192" customFormat="1" customHeight="1" ht="0">
      <c r="A52" s="1456" t="s">
        <v>426</v>
      </c>
      <c r="B52" s="1456"/>
      <c r="C52" s="1456"/>
      <c r="D52" s="1456"/>
      <c r="E52" s="2371"/>
      <c r="F52" s="1456"/>
      <c r="G52" s="1456"/>
      <c r="H52" s="1456"/>
      <c r="I52" s="1456"/>
      <c r="J52" s="1456"/>
      <c r="K52" s="1456"/>
      <c r="L52" s="1459"/>
      <c r="M52" s="1434"/>
      <c r="N52" s="1434"/>
      <c r="O52" s="631"/>
      <c r="P52" s="493"/>
      <c r="Q52" s="1457"/>
      <c r="R52" s="493"/>
      <c r="S52" s="1435"/>
      <c r="T52" s="1438" t="s">
        <v>351</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819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352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CC5DD-98D4-8B93-B4AB-B0354A3F0D8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91" width="11.57421875" hidden="1" customWidth="1"/>
    <col min="2" max="2" style="8191" width="11.00390625" hidden="1" customWidth="1"/>
    <col min="3" max="3" style="8191" width="10.57421875" hidden="1"/>
    <col min="4" max="4" style="8191" width="12.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4" width="3.7109375" hidden="1" customWidth="1"/>
    <col min="17" max="17" style="11886" width="3.7109375" hidden="1" customWidth="1"/>
    <col min="18" max="18" style="9046" width="3.00390625" customWidth="1"/>
    <col min="19" max="19" style="9047" width="12.00390625" customWidth="1"/>
    <col min="20" max="20" style="8113" width="31.00390625" customWidth="1"/>
    <col min="21" max="21" style="8113" width="0.140625" customWidth="1"/>
    <col min="22" max="25" style="8113" width="21.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3.7109375" customWidth="1"/>
    <col min="31" max="32" style="8113" width="3.00390625" customWidth="1"/>
    <col min="33" max="33" style="8113" width="24.00390625" customWidth="1"/>
    <col min="34" max="34" style="8113" width="3.7109375" customWidth="1"/>
    <col min="35" max="36" style="8113" width="3.00390625" customWidth="1"/>
    <col min="37" max="37" style="8113" width="24.00390625" customWidth="1"/>
    <col min="38" max="38" style="8113" width="3.7109375" customWidth="1"/>
    <col min="39" max="40" style="8113" width="3.00390625" customWidth="1"/>
    <col min="41" max="41" style="8113" width="18.00390625" customWidth="1"/>
    <col min="42" max="42" style="8113" width="3.7109375" customWidth="1"/>
    <col min="43" max="44" style="8113" width="3.00390625" customWidth="1"/>
    <col min="45" max="45" style="8113" width="18.00390625" customWidth="1"/>
    <col min="46" max="49" style="8113" width="21.00390625" customWidth="1"/>
    <col min="50" max="50" style="8113" width="11.00390625" customWidth="1"/>
    <col min="51" max="51" style="8113" width="3.7109375" customWidth="1"/>
    <col min="52" max="52" style="8113" width="11.00390625" customWidth="1"/>
    <col min="53" max="53" style="8113" width="8.57421875" hidden="1" customWidth="1"/>
    <col min="54" max="54" style="8113" width="4.00390625" customWidth="1"/>
    <col min="55" max="55" style="8113" width="115.00390625" customWidth="1"/>
    <col min="56" max="60" style="8192" width="10.00390625" customWidth="1"/>
    <col min="61" max="61" style="81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200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552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553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670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671</v>
      </c>
      <c r="BE4" s="613"/>
      <c r="BF4" s="613" t="str">
        <f>IF(T4="","",T4)</f>
        <v>Наименование централизованной системы водоотведения</v>
      </c>
      <c r="BG4" s="613"/>
      <c r="BH4" s="613"/>
      <c r="BI4" s="1268">
        <v>0</v>
      </c>
    </row>
    <row s="819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557</v>
      </c>
      <c r="BE5" s="613"/>
      <c r="BF5" s="613" t="str">
        <f>IF(T5="","",T5)</f>
        <v/>
      </c>
      <c r="BG5" s="613"/>
      <c r="BH5" s="613"/>
      <c r="BI5" s="624">
        <v>0</v>
      </c>
    </row>
    <row s="8192" customFormat="1" customHeight="1" ht="14.25" hidden="1">
      <c r="A6" s="1456"/>
      <c r="B6" s="1456"/>
      <c r="C6" s="1456"/>
      <c r="D6" s="1456"/>
      <c r="E6" s="2372"/>
      <c r="F6" s="2372"/>
      <c r="G6" s="2372"/>
      <c r="H6" s="2372"/>
      <c r="I6" s="2369" t="str">
        <f>S5&amp;".1"</f>
        <v>.1</v>
      </c>
      <c r="J6" s="1456"/>
      <c r="K6" s="1456"/>
      <c r="L6" s="1459" t="s">
        <v>558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19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655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656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676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677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659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622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19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19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19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19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19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569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857" customFormat="1" customHeight="1" ht="14.25" hidden="1">
      <c r="M24" s="1621"/>
      <c r="N24" s="1621"/>
      <c r="O24" s="1622" t="s">
        <v>570</v>
      </c>
      <c r="P24" s="1621"/>
      <c r="Q24" s="1623"/>
      <c r="R24" s="1623"/>
      <c r="AA24" s="1620" t="s">
        <v>572</v>
      </c>
      <c r="AC24" s="1620" t="s">
        <v>573</v>
      </c>
      <c r="AD24" s="1620" t="s">
        <v>623</v>
      </c>
      <c r="AH24" s="1620" t="s">
        <v>623</v>
      </c>
      <c r="AK24" s="1620" t="s">
        <v>660</v>
      </c>
      <c r="AL24" s="1620" t="s">
        <v>623</v>
      </c>
      <c r="AP24" s="1620" t="s">
        <v>623</v>
      </c>
      <c r="AY24" s="1620" t="s">
        <v>572</v>
      </c>
      <c r="BA24" s="1620" t="s">
        <v>573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32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328" customFormat="1" customHeight="1" ht="18.75">
      <c r="A32" s="1481"/>
      <c r="B32" s="1481"/>
      <c r="C32" s="1481"/>
      <c r="D32" s="1481"/>
      <c r="E32" s="1481"/>
      <c r="F32" s="1481"/>
      <c r="G32" s="1481"/>
      <c r="H32" s="1481"/>
      <c r="I32" s="1481"/>
      <c r="J32" s="1481"/>
      <c r="K32" s="1481"/>
      <c r="L32" s="1482"/>
      <c r="M32" s="1481"/>
      <c r="N32" s="1481"/>
      <c r="O32" s="1481"/>
      <c r="P32" s="1481"/>
      <c r="Q32" s="1481"/>
      <c r="S32" s="2363" t="s">
        <v>575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328" customFormat="1" customHeight="1" ht="18.75">
      <c r="A33" s="1481"/>
      <c r="B33" s="1481"/>
      <c r="C33" s="1481"/>
      <c r="D33" s="1481"/>
      <c r="E33" s="1481"/>
      <c r="F33" s="1481"/>
      <c r="G33" s="1481"/>
      <c r="H33" s="1481"/>
      <c r="I33" s="1481"/>
      <c r="J33" s="1481"/>
      <c r="K33" s="1481"/>
      <c r="L33" s="1482"/>
      <c r="M33" s="1481"/>
      <c r="N33" s="1481"/>
      <c r="O33" s="1481"/>
      <c r="P33" s="1481"/>
      <c r="Q33" s="1481"/>
      <c r="S33" s="2363" t="s">
        <v>576</v>
      </c>
      <c r="T33" s="2363"/>
      <c r="U33" s="1485"/>
      <c r="V33" s="2364" t="str">
        <f>IF(TITLE_NUMBER_PR_CHANGE="",IF(TITLE_NUMBER_PR="","",TITLE_NUMBER_PR),TITLE_NUMBER_PR_CHANGE)</f>
        <v>51/111</v>
      </c>
      <c r="W33" s="2364"/>
      <c r="X33" s="2364"/>
      <c r="Y33" s="2364"/>
      <c r="Z33" s="2364"/>
      <c r="AA33" s="2364"/>
      <c r="AB33" s="2364"/>
      <c r="AC33" s="439"/>
      <c r="AD33" s="2364" t="str">
        <f>IF(TITLE_NUMBER_PR_CHANGE="",IF(TITLE_NUMBER_PR="","",TITLE_NUMBER_PR),TITLE_NUMBER_PR_CHANGE)</f>
        <v>51/111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32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https://npa.gov-murman.ru/bitrix/components/b1team/govmurman.element.file/download.php?ID=537819&amp;FID=814581</v>
      </c>
      <c r="W34" s="2364"/>
      <c r="X34" s="2364"/>
      <c r="Y34" s="2364"/>
      <c r="Z34" s="2364"/>
      <c r="AA34" s="2364"/>
      <c r="AB34" s="2364"/>
      <c r="AC34" s="439"/>
      <c r="AD34" s="2364" t="str">
        <f>IF(TITLE_IST_PUB_CHANGE="",IF(TITLE_IST_PUB="","",TITLE_IST_PUB),TITLE_IST_PUB_CHANGE)</f>
        <v>https://npa.gov-murman.ru/bitrix/components/b1team/govmurman.element.file/download.php?ID=537819&amp;FID=814581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32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575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32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576</v>
      </c>
      <c r="T37" s="2363"/>
      <c r="U37" s="1485"/>
      <c r="V37" s="2364" t="str">
        <f>IF(TITLE_NUMBER_PR_CHANGE="",IF(TITLE_NUMBER_PR="","",TITLE_NUMBER_PR),TITLE_NUMBER_PR_CHANGE)</f>
        <v>51/111</v>
      </c>
      <c r="W37" s="2364"/>
      <c r="X37" s="2364"/>
      <c r="Y37" s="2364"/>
      <c r="Z37" s="2364"/>
      <c r="AA37" s="2364"/>
      <c r="AB37" s="2364"/>
      <c r="AC37" s="439"/>
      <c r="AD37" s="2364" t="str">
        <f>IF(TITLE_NUMBER_PR_CHANGE="",IF(TITLE_NUMBER_PR="","",TITLE_NUMBER_PR),TITLE_NUMBER_PR_CHANGE)</f>
        <v>51/111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32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579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579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455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456</v>
      </c>
      <c r="BI40" s="1268">
        <v>14</v>
      </c>
    </row>
    <row customHeight="1" ht="14.699999999999998">
      <c r="Q41" s="404"/>
      <c r="R41" s="489"/>
      <c r="S41" s="2386" t="s">
        <v>90</v>
      </c>
      <c r="T41" s="2322" t="s">
        <v>661</v>
      </c>
      <c r="U41" s="414"/>
      <c r="V41" s="2387" t="s">
        <v>581</v>
      </c>
      <c r="W41" s="2388"/>
      <c r="X41" s="2388"/>
      <c r="Y41" s="2388"/>
      <c r="Z41" s="2388"/>
      <c r="AA41" s="2388"/>
      <c r="AB41" s="2389"/>
      <c r="AC41" s="2390" t="s">
        <v>582</v>
      </c>
      <c r="AD41" s="2441" t="s">
        <v>678</v>
      </c>
      <c r="AE41" s="2404"/>
      <c r="AF41" s="2404"/>
      <c r="AG41" s="2442"/>
      <c r="AH41" s="2441" t="s">
        <v>679</v>
      </c>
      <c r="AI41" s="2404"/>
      <c r="AJ41" s="2404"/>
      <c r="AK41" s="2442"/>
      <c r="AL41" s="2441" t="s">
        <v>680</v>
      </c>
      <c r="AM41" s="2404"/>
      <c r="AN41" s="2404"/>
      <c r="AO41" s="2442"/>
      <c r="AP41" s="2441" t="s">
        <v>665</v>
      </c>
      <c r="AQ41" s="2404"/>
      <c r="AR41" s="2404"/>
      <c r="AS41" s="2442"/>
      <c r="AT41" s="2387" t="s">
        <v>581</v>
      </c>
      <c r="AU41" s="2388"/>
      <c r="AV41" s="2388"/>
      <c r="AW41" s="2388"/>
      <c r="AX41" s="2388"/>
      <c r="AY41" s="2388"/>
      <c r="AZ41" s="2389"/>
      <c r="BA41" s="2390" t="s">
        <v>582</v>
      </c>
      <c r="BB41" s="2393" t="s">
        <v>584</v>
      </c>
      <c r="BC41" s="2240"/>
      <c r="BI41" s="1268">
        <v>14</v>
      </c>
    </row>
    <row customHeight="1" ht="35.699999999999996">
      <c r="Q42" s="404"/>
      <c r="R42" s="489"/>
      <c r="S42" s="2386"/>
      <c r="T42" s="2322"/>
      <c r="U42" s="1144"/>
      <c r="V42" s="2305" t="s">
        <v>666</v>
      </c>
      <c r="W42" s="2306"/>
      <c r="X42" s="2305" t="s">
        <v>667</v>
      </c>
      <c r="Y42" s="2306"/>
      <c r="Z42" s="2407" t="s">
        <v>668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681</v>
      </c>
      <c r="AU42" s="2306"/>
      <c r="AV42" s="2305" t="s">
        <v>682</v>
      </c>
      <c r="AW42" s="2306"/>
      <c r="AX42" s="2407" t="s">
        <v>668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212</v>
      </c>
      <c r="C44" s="1483" t="s">
        <v>213</v>
      </c>
      <c r="D44" s="1483" t="s">
        <v>214</v>
      </c>
      <c r="E44" s="1477" t="s">
        <v>589</v>
      </c>
      <c r="F44" s="1477" t="s">
        <v>590</v>
      </c>
      <c r="G44" s="1477" t="s">
        <v>591</v>
      </c>
      <c r="H44" s="1477" t="s">
        <v>592</v>
      </c>
      <c r="I44" s="1477" t="s">
        <v>593</v>
      </c>
      <c r="J44" s="1477" t="s">
        <v>594</v>
      </c>
      <c r="K44" s="1477" t="s">
        <v>595</v>
      </c>
      <c r="L44" s="1477" t="s">
        <v>570</v>
      </c>
      <c r="Q44" s="404"/>
      <c r="R44" s="489"/>
      <c r="S44" s="2386"/>
      <c r="T44" s="2322"/>
      <c r="U44" s="415"/>
      <c r="V44" s="1592" t="s">
        <v>632</v>
      </c>
      <c r="W44" s="1592" t="s">
        <v>633</v>
      </c>
      <c r="X44" s="1592" t="s">
        <v>632</v>
      </c>
      <c r="Y44" s="1592" t="s">
        <v>633</v>
      </c>
      <c r="Z44" s="1602" t="s">
        <v>598</v>
      </c>
      <c r="AA44" s="2383" t="s">
        <v>599</v>
      </c>
      <c r="AB44" s="2384"/>
      <c r="AC44" s="2392"/>
      <c r="AD44" s="2446"/>
      <c r="AE44" s="2447"/>
      <c r="AF44" s="2447"/>
      <c r="AG44" s="2448"/>
      <c r="AH44" s="2446"/>
      <c r="AI44" s="2447"/>
      <c r="AJ44" s="2447"/>
      <c r="AK44" s="2448"/>
      <c r="AL44" s="2446"/>
      <c r="AM44" s="2447"/>
      <c r="AN44" s="2447"/>
      <c r="AO44" s="2448"/>
      <c r="AP44" s="2446"/>
      <c r="AQ44" s="2447"/>
      <c r="AR44" s="2447"/>
      <c r="AS44" s="2448"/>
      <c r="AT44" s="1592" t="s">
        <v>632</v>
      </c>
      <c r="AU44" s="1592" t="s">
        <v>633</v>
      </c>
      <c r="AV44" s="1592" t="s">
        <v>632</v>
      </c>
      <c r="AW44" s="1592" t="s">
        <v>633</v>
      </c>
      <c r="AX44" s="1602" t="s">
        <v>598</v>
      </c>
      <c r="AY44" s="2383" t="s">
        <v>599</v>
      </c>
      <c r="AZ44" s="2384"/>
      <c r="BA44" s="2392"/>
      <c r="BB44" s="2395"/>
      <c r="BC44" s="2240"/>
      <c r="BI44" s="1268">
        <v>14</v>
      </c>
    </row>
    <row s="880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155</v>
      </c>
      <c r="T45" s="1368" t="s">
        <v>105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431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200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431</v>
      </c>
      <c r="B47" s="1476" t="s">
        <v>432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552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553</v>
      </c>
      <c r="BE47" s="613"/>
      <c r="BF47" s="613" t="str">
        <f>IF(T47="","",T47)</f>
        <v>Территория действия тарифа</v>
      </c>
      <c r="BG47" s="613"/>
      <c r="BH47" s="613"/>
      <c r="BI47" s="1268">
        <v>21</v>
      </c>
    </row>
    <row customHeight="1" ht="35.699999999999996">
      <c r="A48" s="1476" t="s">
        <v>431</v>
      </c>
      <c r="B48" s="1476" t="s">
        <v>432</v>
      </c>
      <c r="C48" s="1476" t="s">
        <v>433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670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671</v>
      </c>
      <c r="BE48" s="613"/>
      <c r="BF48" s="613" t="str">
        <f>IF(T48="","",T48)</f>
        <v>Наименование централизованной системы водоотведения</v>
      </c>
      <c r="BG48" s="613"/>
      <c r="BH48" s="613"/>
      <c r="BI48" s="1268">
        <v>34</v>
      </c>
    </row>
    <row s="8192" customFormat="1" customHeight="1" ht="0">
      <c r="A49" s="1456" t="s">
        <v>431</v>
      </c>
      <c r="B49" s="1456" t="s">
        <v>432</v>
      </c>
      <c r="C49" s="1456" t="s">
        <v>433</v>
      </c>
      <c r="D49" s="1456" t="s">
        <v>683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557</v>
      </c>
      <c r="BE49" s="613"/>
      <c r="BF49" s="613" t="str">
        <f>IF(T49="","",T49)</f>
        <v/>
      </c>
      <c r="BG49" s="613"/>
      <c r="BH49" s="613"/>
      <c r="BI49" s="624">
        <v>0</v>
      </c>
    </row>
    <row s="8192" customFormat="1" customHeight="1" ht="0">
      <c r="A50" s="1456" t="s">
        <v>431</v>
      </c>
      <c r="B50" s="1456" t="s">
        <v>432</v>
      </c>
      <c r="C50" s="1456" t="s">
        <v>433</v>
      </c>
      <c r="D50" s="1456" t="s">
        <v>683</v>
      </c>
      <c r="E50" s="2372"/>
      <c r="F50" s="2372"/>
      <c r="G50" s="2372"/>
      <c r="H50" s="2372"/>
      <c r="I50" s="2369" t="str">
        <f>S49&amp;".1"</f>
        <v>.1</v>
      </c>
      <c r="J50" s="1456"/>
      <c r="K50" s="1456"/>
      <c r="L50" s="1459" t="s">
        <v>558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192" customFormat="1" customHeight="1" ht="0">
      <c r="A51" s="1456" t="s">
        <v>431</v>
      </c>
      <c r="B51" s="1456" t="s">
        <v>432</v>
      </c>
      <c r="C51" s="1456" t="s">
        <v>433</v>
      </c>
      <c r="D51" s="1456" t="s">
        <v>683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431</v>
      </c>
      <c r="B52" s="1476" t="s">
        <v>432</v>
      </c>
      <c r="C52" s="1476" t="s">
        <v>433</v>
      </c>
      <c r="D52" s="1476" t="s">
        <v>683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655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656</v>
      </c>
      <c r="AT53" s="1506"/>
      <c r="AU53" s="1609"/>
      <c r="AV53" s="1506"/>
      <c r="AW53" s="1609"/>
      <c r="AX53" s="1506"/>
      <c r="AY53" s="1506"/>
      <c r="AZ53" s="1506"/>
      <c r="BA53" s="1506"/>
      <c r="BB53" s="1510"/>
      <c r="BC53" s="2367"/>
      <c r="BE53" s="613"/>
      <c r="BF53" s="613"/>
      <c r="BG53" s="613"/>
      <c r="BH53" s="613"/>
      <c r="BI53" s="1268">
        <v>11</v>
      </c>
    </row>
    <row customHeight="1" ht="11.549999999999999">
      <c r="A54" s="1476" t="s">
        <v>431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676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431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677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431</v>
      </c>
      <c r="B56" s="1476" t="s">
        <v>432</v>
      </c>
      <c r="C56" s="1476" t="s">
        <v>433</v>
      </c>
      <c r="D56" s="1476" t="s">
        <v>683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659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431</v>
      </c>
      <c r="B57" s="1476" t="s">
        <v>432</v>
      </c>
      <c r="C57" s="1476" t="s">
        <v>433</v>
      </c>
      <c r="D57" s="1476" t="s">
        <v>683</v>
      </c>
      <c r="E57" s="2372"/>
      <c r="F57" s="2372"/>
      <c r="G57" s="2372"/>
      <c r="H57" s="2372"/>
      <c r="I57" s="2399"/>
      <c r="J57" s="2369"/>
      <c r="K57" s="1476"/>
      <c r="L57" s="1477"/>
      <c r="P57" s="2370"/>
      <c r="Q57" s="2370"/>
      <c r="R57" s="469"/>
      <c r="S57" s="1391"/>
      <c r="T57" s="400" t="s">
        <v>622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192" customFormat="1" customHeight="1" ht="0">
      <c r="A58" s="1456" t="s">
        <v>431</v>
      </c>
      <c r="B58" s="1456" t="s">
        <v>432</v>
      </c>
      <c r="C58" s="1456" t="s">
        <v>433</v>
      </c>
      <c r="D58" s="1456" t="s">
        <v>683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192" customFormat="1" customHeight="1" ht="0">
      <c r="A59" s="1456" t="s">
        <v>431</v>
      </c>
      <c r="B59" s="1456" t="s">
        <v>432</v>
      </c>
      <c r="C59" s="1456" t="s">
        <v>433</v>
      </c>
      <c r="D59" s="1456" t="s">
        <v>683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192" customFormat="1" customHeight="1" ht="0">
      <c r="A60" s="1456" t="s">
        <v>431</v>
      </c>
      <c r="B60" s="1456" t="s">
        <v>432</v>
      </c>
      <c r="C60" s="1456" t="s">
        <v>433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192" customFormat="1" customHeight="1" ht="0">
      <c r="A61" s="1456" t="s">
        <v>431</v>
      </c>
      <c r="B61" s="1456" t="s">
        <v>432</v>
      </c>
      <c r="C61" s="1427"/>
      <c r="D61" s="1427"/>
      <c r="E61" s="2372"/>
      <c r="F61" s="2371"/>
      <c r="G61" s="1427"/>
      <c r="H61" s="1427"/>
      <c r="I61" s="1427"/>
      <c r="J61" s="1427"/>
      <c r="K61" s="1427"/>
      <c r="L61" s="1607"/>
      <c r="M61" s="1434"/>
      <c r="N61" s="1434"/>
      <c r="P61" s="1429"/>
      <c r="Q61" s="1430"/>
      <c r="R61" s="1429"/>
      <c r="S61" s="1435"/>
      <c r="T61" s="1438" t="s">
        <v>274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192" customFormat="1" customHeight="1" ht="0">
      <c r="A62" s="1456" t="s">
        <v>431</v>
      </c>
      <c r="B62" s="1456"/>
      <c r="C62" s="1456"/>
      <c r="D62" s="1456"/>
      <c r="E62" s="2371"/>
      <c r="F62" s="1456"/>
      <c r="G62" s="1456"/>
      <c r="H62" s="1456"/>
      <c r="I62" s="1456"/>
      <c r="J62" s="1456"/>
      <c r="K62" s="1456"/>
      <c r="L62" s="1459"/>
      <c r="M62" s="1434"/>
      <c r="N62" s="1434"/>
      <c r="O62" s="631"/>
      <c r="P62" s="493"/>
      <c r="Q62" s="1457"/>
      <c r="R62" s="493"/>
      <c r="S62" s="1435"/>
      <c r="T62" s="1438" t="s">
        <v>351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19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9AFC8-03B7-B57E-644D-4F4C92E73D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8" style="8113" width="19.7109375" hidden="1" customWidth="1"/>
    <col min="29" max="29" style="8113" width="11.7109375" hidden="1" customWidth="1"/>
    <col min="30" max="30" style="8113" width="3.7109375" hidden="1" customWidth="1"/>
    <col min="31" max="31" style="8113" width="11.7109375" hidden="1" customWidth="1"/>
    <col min="32" max="32" style="8113" width="8.57421875" hidden="1" customWidth="1"/>
    <col min="33" max="33" style="8113" width="19.7109375" customWidth="1"/>
    <col min="34" max="39" style="8113" width="19.00390625" customWidth="1"/>
    <col min="40" max="40" style="8113" width="11.00390625" customWidth="1"/>
    <col min="41" max="41" style="8113" width="3.7109375" customWidth="1"/>
    <col min="42" max="42" style="8113" width="11.00390625" customWidth="1"/>
    <col min="43" max="43" style="8113" width="8.57421875" hidden="1" customWidth="1"/>
    <col min="44" max="44" style="8113" width="4.00390625" customWidth="1"/>
    <col min="45" max="45" style="8113" width="115.00390625" customWidth="1"/>
    <col min="46" max="50" style="8192" width="10.00390625" customWidth="1"/>
    <col min="51" max="51" style="811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200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552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553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684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685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637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638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561</v>
      </c>
      <c r="P6" s="2370"/>
      <c r="Q6" s="2370">
        <v>1</v>
      </c>
      <c r="R6" s="470"/>
      <c r="S6" s="1606">
        <f>$J6</f>
      </c>
      <c r="T6" s="399" t="s">
        <v>562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639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641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567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19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8191" customFormat="1" customHeight="1" ht="22.5" hidden="1">
      <c r="L18" s="1591"/>
      <c r="M18" s="1475"/>
      <c r="N18" s="1475"/>
      <c r="O18" s="1480" t="s">
        <v>569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819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8191" customFormat="1" customHeight="1" ht="12" hidden="1">
      <c r="L20" s="1591"/>
      <c r="M20" s="1475"/>
      <c r="N20" s="1475"/>
      <c r="O20" s="1477" t="s">
        <v>570</v>
      </c>
      <c r="P20" s="1475"/>
      <c r="Q20" s="1555"/>
      <c r="R20" s="1555"/>
      <c r="S20" s="842"/>
      <c r="T20" s="1273" t="s">
        <v>571</v>
      </c>
      <c r="W20" s="1479"/>
      <c r="X20" s="1479"/>
      <c r="Y20" s="1479"/>
      <c r="Z20" s="1479"/>
      <c r="AA20" s="1479"/>
      <c r="AB20" s="1479"/>
      <c r="AD20" s="299" t="s">
        <v>572</v>
      </c>
      <c r="AF20" s="299" t="s">
        <v>573</v>
      </c>
      <c r="AG20" s="1273" t="s">
        <v>571</v>
      </c>
      <c r="AH20" s="1479"/>
      <c r="AI20" s="1479"/>
      <c r="AJ20" s="1479"/>
      <c r="AK20" s="1479"/>
      <c r="AL20" s="1479"/>
      <c r="AO20" s="299" t="s">
        <v>574</v>
      </c>
      <c r="AQ20" s="299" t="s">
        <v>573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2364"/>
      <c r="AC29" s="2364"/>
      <c r="AD29" s="2364"/>
      <c r="AE29" s="2364"/>
      <c r="AF29" s="439"/>
      <c r="AG29" s="2364" t="str">
        <f>IF(TITLE_NUMBER_PR_CHANGE="",IF(TITLE_NUMBER_PR="","",TITLE_NUMBER_PR),TITLE_NUMBER_PR_CHANGE)</f>
        <v>51/111</v>
      </c>
      <c r="AH29" s="2364"/>
      <c r="AI29" s="2364"/>
      <c r="AJ29" s="2364"/>
      <c r="AK29" s="2364"/>
      <c r="AL29" s="2364"/>
      <c r="AM29" s="2364"/>
      <c r="AN29" s="2364"/>
      <c r="AO29" s="2364"/>
      <c r="AP29" s="2364"/>
      <c r="AQ29" s="439"/>
      <c r="AR29" s="439"/>
      <c r="AS29" s="393"/>
      <c r="AT29" s="481"/>
      <c r="AU29" s="481"/>
      <c r="AV29" s="481"/>
      <c r="AW29" s="481"/>
      <c r="AX29" s="481"/>
      <c r="AY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https://npa.gov-murman.ru/bitrix/components/b1team/govmurman.element.file/download.php?ID=537819&amp;FID=814581</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2364"/>
      <c r="AC33" s="2364"/>
      <c r="AD33" s="2364"/>
      <c r="AE33" s="2364"/>
      <c r="AF33" s="439"/>
      <c r="AG33" s="2364" t="str">
        <f>IF(TITLE_NUMBER_PR_CHANGE="",IF(TITLE_NUMBER_PR="","",TITLE_NUMBER_PR),TITLE_NUMBER_PR_CHANGE)</f>
        <v>51/111</v>
      </c>
      <c r="AH33" s="2364"/>
      <c r="AI33" s="2364"/>
      <c r="AJ33" s="2364"/>
      <c r="AK33" s="2364"/>
      <c r="AL33" s="2364"/>
      <c r="AM33" s="2364"/>
      <c r="AN33" s="2364"/>
      <c r="AO33" s="2364"/>
      <c r="AP33" s="2364"/>
      <c r="AQ33" s="439"/>
      <c r="AR33" s="439"/>
      <c r="AS33" s="393"/>
      <c r="AT33" s="481"/>
      <c r="AU33" s="481"/>
      <c r="AV33" s="481"/>
      <c r="AW33" s="481"/>
      <c r="AX33" s="481"/>
      <c r="AY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579</v>
      </c>
      <c r="AG34" s="439"/>
      <c r="AH34" s="1748"/>
      <c r="AI34" s="1748"/>
      <c r="AJ34" s="1748"/>
      <c r="AK34" s="1748"/>
      <c r="AL34" s="1748"/>
      <c r="AM34" s="439"/>
      <c r="AN34" s="439"/>
      <c r="AO34" s="439"/>
      <c r="AP34" s="439"/>
      <c r="AQ34" s="391" t="s">
        <v>579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456</v>
      </c>
      <c r="AY36" s="1268">
        <v>14</v>
      </c>
    </row>
    <row customHeight="1" ht="14.699999999999998">
      <c r="Q37" s="489"/>
      <c r="R37" s="489"/>
      <c r="S37" s="2386" t="s">
        <v>90</v>
      </c>
      <c r="T37" s="2322" t="s">
        <v>580</v>
      </c>
      <c r="U37" s="414"/>
      <c r="V37" s="2387" t="s">
        <v>581</v>
      </c>
      <c r="W37" s="2404"/>
      <c r="X37" s="2404"/>
      <c r="Y37" s="2404"/>
      <c r="Z37" s="2404"/>
      <c r="AA37" s="2404"/>
      <c r="AB37" s="2404"/>
      <c r="AC37" s="2388"/>
      <c r="AD37" s="2388"/>
      <c r="AE37" s="2389"/>
      <c r="AF37" s="2390" t="s">
        <v>582</v>
      </c>
      <c r="AG37" s="2387" t="s">
        <v>581</v>
      </c>
      <c r="AH37" s="2388"/>
      <c r="AI37" s="2388"/>
      <c r="AJ37" s="2388"/>
      <c r="AK37" s="2388"/>
      <c r="AL37" s="2388"/>
      <c r="AM37" s="2388"/>
      <c r="AN37" s="2388"/>
      <c r="AO37" s="2388"/>
      <c r="AP37" s="2389"/>
      <c r="AQ37" s="2390" t="s">
        <v>583</v>
      </c>
      <c r="AR37" s="2393" t="s">
        <v>584</v>
      </c>
      <c r="AS37" s="2240"/>
      <c r="AY37" s="1268">
        <v>14</v>
      </c>
    </row>
    <row customHeight="1" ht="19.95">
      <c r="Q38" s="489"/>
      <c r="R38" s="489"/>
      <c r="S38" s="2386"/>
      <c r="T38" s="2322"/>
      <c r="U38" s="1144"/>
      <c r="V38" s="2479" t="s">
        <v>686</v>
      </c>
      <c r="W38" s="2478" t="s">
        <v>687</v>
      </c>
      <c r="X38" s="2478"/>
      <c r="Y38" s="2478"/>
      <c r="Z38" s="2478" t="s">
        <v>688</v>
      </c>
      <c r="AA38" s="2478"/>
      <c r="AB38" s="2478"/>
      <c r="AC38" s="2407" t="s">
        <v>588</v>
      </c>
      <c r="AD38" s="2426"/>
      <c r="AE38" s="2427"/>
      <c r="AF38" s="2391"/>
      <c r="AG38" s="2479" t="s">
        <v>686</v>
      </c>
      <c r="AH38" s="2478" t="s">
        <v>687</v>
      </c>
      <c r="AI38" s="2478"/>
      <c r="AJ38" s="2478"/>
      <c r="AK38" s="2478" t="s">
        <v>688</v>
      </c>
      <c r="AL38" s="2478"/>
      <c r="AM38" s="2478"/>
      <c r="AN38" s="2407" t="s">
        <v>588</v>
      </c>
      <c r="AO38" s="2426"/>
      <c r="AP38" s="2427"/>
      <c r="AQ38" s="2391"/>
      <c r="AR38" s="2394"/>
      <c r="AS38" s="2240"/>
      <c r="AY38" s="1268">
        <v>19</v>
      </c>
    </row>
    <row s="811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689</v>
      </c>
      <c r="X39" s="2478" t="s">
        <v>690</v>
      </c>
      <c r="Y39" s="2478"/>
      <c r="Z39" s="2478" t="s">
        <v>691</v>
      </c>
      <c r="AA39" s="2478" t="s">
        <v>690</v>
      </c>
      <c r="AB39" s="2478"/>
      <c r="AC39" s="2408"/>
      <c r="AD39" s="2428"/>
      <c r="AE39" s="2429"/>
      <c r="AF39" s="2391"/>
      <c r="AG39" s="2479"/>
      <c r="AH39" s="2478" t="s">
        <v>689</v>
      </c>
      <c r="AI39" s="2478" t="s">
        <v>690</v>
      </c>
      <c r="AJ39" s="2478"/>
      <c r="AK39" s="2478" t="s">
        <v>691</v>
      </c>
      <c r="AL39" s="2478" t="s">
        <v>690</v>
      </c>
      <c r="AM39" s="2478"/>
      <c r="AN39" s="2408"/>
      <c r="AO39" s="2428"/>
      <c r="AP39" s="2429"/>
      <c r="AQ39" s="2391"/>
      <c r="AR39" s="2394"/>
      <c r="AS39" s="2240"/>
      <c r="AT39" s="1749"/>
      <c r="AU39" s="1749"/>
      <c r="AV39" s="1749"/>
      <c r="AW39" s="1749"/>
      <c r="AX39" s="1749"/>
      <c r="AY39" s="1744">
        <v>19</v>
      </c>
    </row>
    <row customHeight="1" ht="61.949999999999996">
      <c r="A40" s="1483"/>
      <c r="B40" s="1483" t="s">
        <v>212</v>
      </c>
      <c r="C40" s="1483" t="s">
        <v>213</v>
      </c>
      <c r="D40" s="1483" t="s">
        <v>214</v>
      </c>
      <c r="E40" s="1477" t="s">
        <v>589</v>
      </c>
      <c r="F40" s="1477" t="s">
        <v>590</v>
      </c>
      <c r="G40" s="1477" t="s">
        <v>591</v>
      </c>
      <c r="H40" s="1477"/>
      <c r="I40" s="1477" t="s">
        <v>644</v>
      </c>
      <c r="J40" s="1477" t="s">
        <v>594</v>
      </c>
      <c r="K40" s="1477" t="s">
        <v>645</v>
      </c>
      <c r="L40" s="1477" t="s">
        <v>570</v>
      </c>
      <c r="Q40" s="489"/>
      <c r="R40" s="489"/>
      <c r="S40" s="2386"/>
      <c r="T40" s="2322"/>
      <c r="U40" s="415"/>
      <c r="V40" s="2479"/>
      <c r="W40" s="2478"/>
      <c r="X40" s="2096" t="s">
        <v>692</v>
      </c>
      <c r="Y40" s="2096" t="s">
        <v>693</v>
      </c>
      <c r="Z40" s="2478"/>
      <c r="AA40" s="2096" t="s">
        <v>694</v>
      </c>
      <c r="AB40" s="2096" t="s">
        <v>695</v>
      </c>
      <c r="AC40" s="1602" t="s">
        <v>598</v>
      </c>
      <c r="AD40" s="2383" t="s">
        <v>599</v>
      </c>
      <c r="AE40" s="2384"/>
      <c r="AF40" s="2392"/>
      <c r="AG40" s="2479"/>
      <c r="AH40" s="2478"/>
      <c r="AI40" s="2096" t="s">
        <v>692</v>
      </c>
      <c r="AJ40" s="2096" t="s">
        <v>693</v>
      </c>
      <c r="AK40" s="2478"/>
      <c r="AL40" s="2096" t="s">
        <v>694</v>
      </c>
      <c r="AM40" s="2096" t="s">
        <v>695</v>
      </c>
      <c r="AN40" s="1602" t="s">
        <v>598</v>
      </c>
      <c r="AO40" s="2383" t="s">
        <v>599</v>
      </c>
      <c r="AP40" s="2384"/>
      <c r="AQ40" s="2392"/>
      <c r="AR40" s="2395"/>
      <c r="AS40" s="2240"/>
      <c r="AY40" s="1268">
        <v>59</v>
      </c>
    </row>
    <row s="88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155</v>
      </c>
      <c r="T41" s="1368" t="s">
        <v>105</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406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200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406</v>
      </c>
      <c r="B43" s="1476" t="s">
        <v>407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552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553</v>
      </c>
      <c r="AU43" s="613"/>
      <c r="AV43" s="613" t="str">
        <f>IF(T43="","",T43)</f>
        <v>Территория действия тарифа</v>
      </c>
      <c r="AW43" s="613"/>
      <c r="AX43" s="613"/>
      <c r="AY43" s="1268">
        <v>23</v>
      </c>
    </row>
    <row customHeight="1" ht="24">
      <c r="A44" s="1476" t="s">
        <v>406</v>
      </c>
      <c r="B44" s="1476" t="s">
        <v>407</v>
      </c>
      <c r="C44" s="1476" t="s">
        <v>408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684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685</v>
      </c>
      <c r="AU44" s="613"/>
      <c r="AV44" s="613" t="str">
        <f>IF(T44="","",T44)</f>
        <v>Наименование централизованной системы горячего водоснабжения</v>
      </c>
      <c r="AW44" s="613"/>
      <c r="AX44" s="613"/>
      <c r="AY44" s="1268">
        <v>23</v>
      </c>
    </row>
    <row customHeight="1" ht="24">
      <c r="A45" s="1476" t="s">
        <v>406</v>
      </c>
      <c r="B45" s="1476" t="s">
        <v>407</v>
      </c>
      <c r="C45" s="1476" t="s">
        <v>408</v>
      </c>
      <c r="D45" s="1476" t="s">
        <v>696</v>
      </c>
      <c r="E45" s="2372"/>
      <c r="F45" s="2372"/>
      <c r="G45" s="2372"/>
      <c r="H45" s="2372"/>
      <c r="I45" s="2369" t="str">
        <f>S44&amp;".1"</f>
        <v>...1</v>
      </c>
      <c r="J45" s="1476"/>
      <c r="K45" s="1476"/>
      <c r="L45" s="1477"/>
      <c r="P45" s="2370">
        <v>1</v>
      </c>
      <c r="Q45" s="1594"/>
      <c r="R45" s="469"/>
      <c r="S45" s="1606" t="str">
        <f>$I45</f>
        <v>...1</v>
      </c>
      <c r="T45" s="398" t="s">
        <v>637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638</v>
      </c>
      <c r="AU45" s="613"/>
      <c r="AV45" s="613" t="str">
        <f>IF(T45="","",T45)</f>
        <v>Наименование признака дифференциации</v>
      </c>
      <c r="AW45" s="613"/>
      <c r="AX45" s="613"/>
      <c r="AY45" s="1268">
        <v>23</v>
      </c>
    </row>
    <row customHeight="1" ht="24">
      <c r="A46" s="1476" t="s">
        <v>406</v>
      </c>
      <c r="B46" s="1476" t="s">
        <v>407</v>
      </c>
      <c r="C46" s="1476" t="s">
        <v>408</v>
      </c>
      <c r="D46" s="1476" t="s">
        <v>696</v>
      </c>
      <c r="E46" s="2372"/>
      <c r="F46" s="2372"/>
      <c r="G46" s="2372"/>
      <c r="H46" s="2372"/>
      <c r="I46" s="2399"/>
      <c r="J46" s="2369" t="str">
        <f>I45&amp;".1"</f>
        <v>...1.1</v>
      </c>
      <c r="K46" s="1476"/>
      <c r="L46" s="1477" t="s">
        <v>561</v>
      </c>
      <c r="P46" s="2370"/>
      <c r="Q46" s="2370">
        <v>1</v>
      </c>
      <c r="R46" s="470"/>
      <c r="S46" s="1606" t="str">
        <f>$J46</f>
        <v>...1.1</v>
      </c>
      <c r="T46" s="399" t="s">
        <v>562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639</v>
      </c>
      <c r="AU46" s="613"/>
      <c r="AV46" s="613" t="str">
        <f>IF(T46="","",T46)</f>
        <v>Группа потребителей</v>
      </c>
      <c r="AW46" s="613"/>
      <c r="AX46" s="613"/>
      <c r="AY46" s="1268">
        <v>23</v>
      </c>
    </row>
    <row customHeight="1" ht="24">
      <c r="A47" s="1476" t="s">
        <v>406</v>
      </c>
      <c r="B47" s="1476" t="s">
        <v>407</v>
      </c>
      <c r="C47" s="1476" t="s">
        <v>408</v>
      </c>
      <c r="D47" s="1476" t="s">
        <v>696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406</v>
      </c>
      <c r="B48" s="1476" t="s">
        <v>407</v>
      </c>
      <c r="C48" s="1476" t="s">
        <v>408</v>
      </c>
      <c r="D48" s="1476" t="s">
        <v>696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406</v>
      </c>
      <c r="B49" s="1476" t="s">
        <v>407</v>
      </c>
      <c r="C49" s="1476" t="s">
        <v>408</v>
      </c>
      <c r="D49" s="1476" t="s">
        <v>696</v>
      </c>
      <c r="E49" s="2372"/>
      <c r="F49" s="2372"/>
      <c r="G49" s="2372"/>
      <c r="H49" s="2372"/>
      <c r="I49" s="2399"/>
      <c r="J49" s="2369"/>
      <c r="K49" s="1476"/>
      <c r="L49" s="1477"/>
      <c r="P49" s="2370"/>
      <c r="Q49" s="2370"/>
      <c r="R49" s="469"/>
      <c r="S49" s="1391"/>
      <c r="T49" s="400" t="s">
        <v>640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641</v>
      </c>
      <c r="AU49" s="613"/>
      <c r="AV49" s="613" t="str">
        <f>IF(T49="","",T49)</f>
        <v>Добавить значение признака дифференциации</v>
      </c>
      <c r="AW49" s="613"/>
      <c r="AX49" s="613"/>
      <c r="AY49" s="1268">
        <v>20</v>
      </c>
    </row>
    <row customHeight="1" ht="22.049999999999997">
      <c r="A50" s="1476" t="s">
        <v>406</v>
      </c>
      <c r="B50" s="1476" t="s">
        <v>407</v>
      </c>
      <c r="C50" s="1476" t="s">
        <v>408</v>
      </c>
      <c r="D50" s="1476" t="s">
        <v>696</v>
      </c>
      <c r="E50" s="2372"/>
      <c r="F50" s="2372"/>
      <c r="G50" s="2372"/>
      <c r="H50" s="2372"/>
      <c r="I50" s="2369"/>
      <c r="J50" s="1476"/>
      <c r="K50" s="1476"/>
      <c r="L50" s="1477"/>
      <c r="P50" s="2370"/>
      <c r="Q50" s="1594"/>
      <c r="R50" s="469"/>
      <c r="S50" s="1391"/>
      <c r="T50" s="478" t="s">
        <v>567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406</v>
      </c>
      <c r="B51" s="1476" t="s">
        <v>407</v>
      </c>
      <c r="C51" s="1476" t="s">
        <v>408</v>
      </c>
      <c r="D51" s="1476" t="s">
        <v>696</v>
      </c>
      <c r="E51" s="2372"/>
      <c r="F51" s="2372"/>
      <c r="G51" s="2372"/>
      <c r="H51" s="2371"/>
      <c r="I51" s="1476"/>
      <c r="J51" s="1476"/>
      <c r="K51" s="1476"/>
      <c r="L51" s="1477"/>
      <c r="M51" s="1478"/>
      <c r="N51" s="1478"/>
      <c r="O51" s="650"/>
      <c r="P51" s="473"/>
      <c r="Q51" s="488"/>
      <c r="R51" s="468"/>
      <c r="S51" s="1391"/>
      <c r="T51" s="485" t="s">
        <v>642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192" customFormat="1" customHeight="1" ht="0">
      <c r="A52" s="1456" t="s">
        <v>406</v>
      </c>
      <c r="B52" s="1456" t="s">
        <v>407</v>
      </c>
      <c r="C52" s="1427"/>
      <c r="D52" s="1427"/>
      <c r="E52" s="2372"/>
      <c r="F52" s="2371"/>
      <c r="G52" s="1427"/>
      <c r="H52" s="1427"/>
      <c r="I52" s="1427"/>
      <c r="J52" s="1427"/>
      <c r="K52" s="1427"/>
      <c r="L52" s="1607"/>
      <c r="M52" s="1434"/>
      <c r="N52" s="1434"/>
      <c r="P52" s="1429"/>
      <c r="Q52" s="1430"/>
      <c r="R52" s="1429"/>
      <c r="S52" s="1435"/>
      <c r="T52" s="1438" t="s">
        <v>274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192" customFormat="1" customHeight="1" ht="0">
      <c r="A53" s="1456" t="s">
        <v>406</v>
      </c>
      <c r="B53" s="1456"/>
      <c r="C53" s="1456"/>
      <c r="D53" s="1456"/>
      <c r="E53" s="2371"/>
      <c r="F53" s="1456"/>
      <c r="G53" s="1456"/>
      <c r="H53" s="1456"/>
      <c r="I53" s="1456"/>
      <c r="J53" s="1456"/>
      <c r="K53" s="1456"/>
      <c r="L53" s="1459"/>
      <c r="M53" s="1434"/>
      <c r="N53" s="1434"/>
      <c r="O53" s="631"/>
      <c r="P53" s="493"/>
      <c r="Q53" s="1457"/>
      <c r="R53" s="493"/>
      <c r="S53" s="1435"/>
      <c r="T53" s="1438" t="s">
        <v>351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19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352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1BE09-A041-3C5F-491C-E259AF10917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4.140625" hidden="1" customWidth="1"/>
    <col min="10" max="10" style="8191" width="9.8515625" hidden="1" customWidth="1"/>
    <col min="11" max="11" style="8191" width="14.7109375" hidden="1" customWidth="1"/>
    <col min="12" max="12" style="9043" width="19.140625" hidden="1" customWidth="1"/>
    <col min="13" max="14" style="9044" width="12.28125" hidden="1" customWidth="1"/>
    <col min="15" max="15" style="9044" width="23.421875" hidden="1" customWidth="1"/>
    <col min="16" max="16" style="9045" width="3.00390625" customWidth="1"/>
    <col min="17" max="18" style="9046" width="3.00390625" customWidth="1"/>
    <col min="19" max="19" style="9047" width="12.00390625" customWidth="1"/>
    <col min="20" max="20" style="8113" width="35.00390625" customWidth="1"/>
    <col min="21" max="21" style="8113" width="0.140625" customWidth="1"/>
    <col min="22" max="28" style="8113" width="19.7109375" hidden="1" customWidth="1"/>
    <col min="29" max="29" style="8113" width="11.7109375" hidden="1" customWidth="1"/>
    <col min="30" max="30" style="8113" width="3.7109375" hidden="1" customWidth="1"/>
    <col min="31" max="31" style="8113" width="11.7109375" hidden="1" customWidth="1"/>
    <col min="32" max="32" style="8113" width="8.57421875" hidden="1" customWidth="1"/>
    <col min="33" max="33" style="8113" width="19.7109375" customWidth="1"/>
    <col min="34" max="39" style="8113" width="19.00390625" customWidth="1"/>
    <col min="40" max="40" style="8113" width="11.00390625" customWidth="1"/>
    <col min="41" max="41" style="8113" width="3.7109375" customWidth="1"/>
    <col min="42" max="42" style="8113" width="11.00390625" customWidth="1"/>
    <col min="43" max="43" style="8113" width="8.57421875" hidden="1" customWidth="1"/>
    <col min="44" max="44" style="8113" width="4.00390625" customWidth="1"/>
    <col min="45" max="45" style="8113" width="115.00390625" customWidth="1"/>
    <col min="46" max="50" style="8192" width="10.00390625" customWidth="1"/>
    <col min="51" max="51" style="811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200</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552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553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684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685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637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638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561</v>
      </c>
      <c r="P6" s="2370"/>
      <c r="Q6" s="2370">
        <v>1</v>
      </c>
      <c r="R6" s="470"/>
      <c r="S6" s="1606">
        <f>$J6</f>
      </c>
      <c r="T6" s="399" t="s">
        <v>562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639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640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641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567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642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819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274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819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351</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8191" customFormat="1" customHeight="1" ht="22.5" hidden="1">
      <c r="L18" s="1591"/>
      <c r="M18" s="1475"/>
      <c r="N18" s="1475"/>
      <c r="O18" s="1480" t="s">
        <v>569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819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8191" customFormat="1" customHeight="1" ht="12" hidden="1">
      <c r="L20" s="1591"/>
      <c r="M20" s="1475"/>
      <c r="N20" s="1475"/>
      <c r="O20" s="1477" t="s">
        <v>570</v>
      </c>
      <c r="P20" s="1475"/>
      <c r="Q20" s="1555"/>
      <c r="R20" s="1555"/>
      <c r="S20" s="842"/>
      <c r="T20" s="1273" t="s">
        <v>571</v>
      </c>
      <c r="W20" s="1479"/>
      <c r="X20" s="1479"/>
      <c r="Y20" s="1479"/>
      <c r="Z20" s="1479"/>
      <c r="AA20" s="1479"/>
      <c r="AD20" s="299" t="s">
        <v>572</v>
      </c>
      <c r="AF20" s="299" t="s">
        <v>573</v>
      </c>
      <c r="AG20" s="1273" t="s">
        <v>571</v>
      </c>
      <c r="AH20" s="1479"/>
      <c r="AI20" s="1479"/>
      <c r="AJ20" s="1479"/>
      <c r="AK20" s="1479"/>
      <c r="AL20" s="1479"/>
      <c r="AO20" s="299" t="s">
        <v>574</v>
      </c>
      <c r="AQ20" s="299" t="s">
        <v>573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8328"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8328" customFormat="1" customHeight="1" ht="18.75">
      <c r="A28" s="1481"/>
      <c r="B28" s="1481"/>
      <c r="C28" s="1481"/>
      <c r="D28" s="1481"/>
      <c r="E28" s="1481"/>
      <c r="F28" s="1481"/>
      <c r="G28" s="1481"/>
      <c r="H28" s="1481"/>
      <c r="I28" s="1481"/>
      <c r="J28" s="1481"/>
      <c r="K28" s="1481"/>
      <c r="L28" s="1482"/>
      <c r="M28" s="1481"/>
      <c r="N28" s="1481"/>
      <c r="O28" s="1481"/>
      <c r="S28" s="2363" t="s">
        <v>575</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8328" customFormat="1" customHeight="1" ht="18.75">
      <c r="A29" s="1481"/>
      <c r="B29" s="1481"/>
      <c r="C29" s="1481"/>
      <c r="D29" s="1481"/>
      <c r="E29" s="1481"/>
      <c r="F29" s="1481"/>
      <c r="G29" s="1481"/>
      <c r="H29" s="1481"/>
      <c r="I29" s="1481"/>
      <c r="J29" s="1481"/>
      <c r="K29" s="1481"/>
      <c r="L29" s="1482"/>
      <c r="M29" s="1481"/>
      <c r="N29" s="1481"/>
      <c r="O29" s="1481"/>
      <c r="S29" s="2363" t="s">
        <v>576</v>
      </c>
      <c r="T29" s="2363"/>
      <c r="U29" s="1485"/>
      <c r="V29" s="2364" t="str">
        <f>IF(TITLE_NUMBER_PR_CHANGE="",IF(TITLE_NUMBER_PR="","",TITLE_NUMBER_PR),TITLE_NUMBER_PR_CHANGE)</f>
        <v>51/111</v>
      </c>
      <c r="W29" s="2364"/>
      <c r="X29" s="2364"/>
      <c r="Y29" s="2364"/>
      <c r="Z29" s="2364"/>
      <c r="AA29" s="2364"/>
      <c r="AB29" s="2364"/>
      <c r="AC29" s="2364"/>
      <c r="AD29" s="2364"/>
      <c r="AE29" s="2364"/>
      <c r="AF29" s="439"/>
      <c r="AG29" s="2364" t="str">
        <f>IF(TITLE_NUMBER_PR_CHANGE="",IF(TITLE_NUMBER_PR="","",TITLE_NUMBER_PR),TITLE_NUMBER_PR_CHANGE)</f>
        <v>51/111</v>
      </c>
      <c r="AH29" s="2364"/>
      <c r="AI29" s="2364"/>
      <c r="AJ29" s="2364"/>
      <c r="AK29" s="2364"/>
      <c r="AL29" s="2364"/>
      <c r="AM29" s="2364"/>
      <c r="AN29" s="2364"/>
      <c r="AO29" s="2364"/>
      <c r="AP29" s="2364"/>
      <c r="AQ29" s="439"/>
      <c r="AR29" s="439"/>
      <c r="AS29" s="393"/>
      <c r="AT29" s="481"/>
      <c r="AU29" s="481"/>
      <c r="AV29" s="481"/>
      <c r="AW29" s="481"/>
      <c r="AX29" s="481"/>
      <c r="AY29" s="531">
        <v>0</v>
      </c>
    </row>
    <row s="8328"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https://npa.gov-murman.ru/bitrix/components/b1team/govmurman.element.file/download.php?ID=537819&amp;FID=814581</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https://npa.gov-murman.ru/bitrix/components/b1team/govmurman.element.file/download.php?ID=537819&amp;FID=814581</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8328" customFormat="1" customHeight="1" ht="18.75" hidden="1">
      <c r="A32" s="1481"/>
      <c r="B32" s="1481"/>
      <c r="C32" s="1481"/>
      <c r="D32" s="1481"/>
      <c r="E32" s="1481"/>
      <c r="F32" s="1481"/>
      <c r="G32" s="1481"/>
      <c r="H32" s="1481"/>
      <c r="I32" s="1481"/>
      <c r="J32" s="1481"/>
      <c r="K32" s="1481"/>
      <c r="L32" s="1482"/>
      <c r="M32" s="1481"/>
      <c r="N32" s="1481"/>
      <c r="O32" s="1481"/>
      <c r="S32" s="2363" t="s">
        <v>577</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8328" customFormat="1" customHeight="1" ht="18.75" hidden="1">
      <c r="A33" s="1481"/>
      <c r="B33" s="1481"/>
      <c r="C33" s="1481"/>
      <c r="D33" s="1481"/>
      <c r="E33" s="1481"/>
      <c r="F33" s="1481"/>
      <c r="G33" s="1481"/>
      <c r="H33" s="1481"/>
      <c r="I33" s="1481"/>
      <c r="J33" s="1481"/>
      <c r="K33" s="1481"/>
      <c r="L33" s="1482"/>
      <c r="M33" s="1481"/>
      <c r="N33" s="1481"/>
      <c r="O33" s="1481"/>
      <c r="S33" s="2363" t="s">
        <v>578</v>
      </c>
      <c r="T33" s="2363"/>
      <c r="U33" s="1485"/>
      <c r="V33" s="2364" t="str">
        <f>IF(TITLE_NUMBER_PR_CHANGE="",IF(TITLE_NUMBER_PR="","",TITLE_NUMBER_PR),TITLE_NUMBER_PR_CHANGE)</f>
        <v>51/111</v>
      </c>
      <c r="W33" s="2364"/>
      <c r="X33" s="2364"/>
      <c r="Y33" s="2364"/>
      <c r="Z33" s="2364"/>
      <c r="AA33" s="2364"/>
      <c r="AB33" s="2364"/>
      <c r="AC33" s="2364"/>
      <c r="AD33" s="2364"/>
      <c r="AE33" s="2364"/>
      <c r="AF33" s="439"/>
      <c r="AG33" s="2364" t="str">
        <f>IF(TITLE_NUMBER_PR_CHANGE="",IF(TITLE_NUMBER_PR="","",TITLE_NUMBER_PR),TITLE_NUMBER_PR_CHANGE)</f>
        <v>51/111</v>
      </c>
      <c r="AH33" s="2364"/>
      <c r="AI33" s="2364"/>
      <c r="AJ33" s="2364"/>
      <c r="AK33" s="2364"/>
      <c r="AL33" s="2364"/>
      <c r="AM33" s="2364"/>
      <c r="AN33" s="2364"/>
      <c r="AO33" s="2364"/>
      <c r="AP33" s="2364"/>
      <c r="AQ33" s="439"/>
      <c r="AR33" s="439"/>
      <c r="AS33" s="393"/>
      <c r="AT33" s="481"/>
      <c r="AU33" s="481"/>
      <c r="AV33" s="481"/>
      <c r="AW33" s="481"/>
      <c r="AX33" s="481"/>
      <c r="AY33" s="531">
        <v>0</v>
      </c>
    </row>
    <row s="832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579</v>
      </c>
      <c r="AG34" s="439"/>
      <c r="AH34" s="1748"/>
      <c r="AI34" s="1748"/>
      <c r="AJ34" s="1748"/>
      <c r="AK34" s="1748"/>
      <c r="AL34" s="1748"/>
      <c r="AM34" s="439"/>
      <c r="AN34" s="439"/>
      <c r="AO34" s="439"/>
      <c r="AP34" s="439"/>
      <c r="AQ34" s="391" t="s">
        <v>579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455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456</v>
      </c>
      <c r="AY36" s="1268">
        <v>14</v>
      </c>
    </row>
    <row customHeight="1" ht="14.699999999999998">
      <c r="Q37" s="489"/>
      <c r="R37" s="489"/>
      <c r="S37" s="2386" t="s">
        <v>90</v>
      </c>
      <c r="T37" s="2322" t="s">
        <v>580</v>
      </c>
      <c r="U37" s="414"/>
      <c r="V37" s="2387" t="s">
        <v>581</v>
      </c>
      <c r="W37" s="2388"/>
      <c r="X37" s="2388"/>
      <c r="Y37" s="2388"/>
      <c r="Z37" s="2388"/>
      <c r="AA37" s="2388"/>
      <c r="AB37" s="2388"/>
      <c r="AC37" s="2388"/>
      <c r="AD37" s="2388"/>
      <c r="AE37" s="2389"/>
      <c r="AF37" s="2390" t="s">
        <v>582</v>
      </c>
      <c r="AG37" s="2387" t="s">
        <v>581</v>
      </c>
      <c r="AH37" s="2388"/>
      <c r="AI37" s="2388"/>
      <c r="AJ37" s="2388"/>
      <c r="AK37" s="2388"/>
      <c r="AL37" s="2388"/>
      <c r="AM37" s="2388"/>
      <c r="AN37" s="2388"/>
      <c r="AO37" s="2388"/>
      <c r="AP37" s="2389"/>
      <c r="AQ37" s="2390" t="s">
        <v>583</v>
      </c>
      <c r="AR37" s="2393" t="s">
        <v>584</v>
      </c>
      <c r="AS37" s="2240"/>
      <c r="AY37" s="1268">
        <v>14</v>
      </c>
    </row>
    <row s="811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686</v>
      </c>
      <c r="W38" s="2478" t="s">
        <v>687</v>
      </c>
      <c r="X38" s="2478"/>
      <c r="Y38" s="2478"/>
      <c r="Z38" s="2478" t="s">
        <v>688</v>
      </c>
      <c r="AA38" s="2478"/>
      <c r="AB38" s="2478"/>
      <c r="AC38" s="2407" t="s">
        <v>588</v>
      </c>
      <c r="AD38" s="2426"/>
      <c r="AE38" s="2427"/>
      <c r="AF38" s="2391"/>
      <c r="AG38" s="2479" t="s">
        <v>686</v>
      </c>
      <c r="AH38" s="2478" t="s">
        <v>687</v>
      </c>
      <c r="AI38" s="2478"/>
      <c r="AJ38" s="2478"/>
      <c r="AK38" s="2478" t="s">
        <v>688</v>
      </c>
      <c r="AL38" s="2478"/>
      <c r="AM38" s="2478"/>
      <c r="AN38" s="2407" t="s">
        <v>588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689</v>
      </c>
      <c r="X39" s="2478" t="s">
        <v>690</v>
      </c>
      <c r="Y39" s="2478"/>
      <c r="Z39" s="2478" t="s">
        <v>691</v>
      </c>
      <c r="AA39" s="2478" t="s">
        <v>690</v>
      </c>
      <c r="AB39" s="2478"/>
      <c r="AC39" s="2408"/>
      <c r="AD39" s="2428"/>
      <c r="AE39" s="2429"/>
      <c r="AF39" s="2391"/>
      <c r="AG39" s="2479"/>
      <c r="AH39" s="2478" t="s">
        <v>689</v>
      </c>
      <c r="AI39" s="2478" t="s">
        <v>690</v>
      </c>
      <c r="AJ39" s="2478"/>
      <c r="AK39" s="2478" t="s">
        <v>691</v>
      </c>
      <c r="AL39" s="2478" t="s">
        <v>690</v>
      </c>
      <c r="AM39" s="2478"/>
      <c r="AN39" s="2408"/>
      <c r="AO39" s="2428"/>
      <c r="AP39" s="2429"/>
      <c r="AQ39" s="2391"/>
      <c r="AR39" s="2394"/>
      <c r="AS39" s="2240"/>
      <c r="AY39" s="1268">
        <v>19</v>
      </c>
    </row>
    <row customHeight="1" ht="61.949999999999996">
      <c r="A40" s="1483"/>
      <c r="B40" s="1483" t="s">
        <v>212</v>
      </c>
      <c r="C40" s="1483" t="s">
        <v>213</v>
      </c>
      <c r="D40" s="1483" t="s">
        <v>214</v>
      </c>
      <c r="E40" s="1477" t="s">
        <v>589</v>
      </c>
      <c r="F40" s="1477" t="s">
        <v>590</v>
      </c>
      <c r="G40" s="1477" t="s">
        <v>591</v>
      </c>
      <c r="H40" s="1477"/>
      <c r="I40" s="1477" t="s">
        <v>644</v>
      </c>
      <c r="J40" s="1477" t="s">
        <v>594</v>
      </c>
      <c r="K40" s="1477" t="s">
        <v>645</v>
      </c>
      <c r="L40" s="1477" t="s">
        <v>570</v>
      </c>
      <c r="Q40" s="489"/>
      <c r="R40" s="489"/>
      <c r="S40" s="2386"/>
      <c r="T40" s="2322"/>
      <c r="U40" s="415"/>
      <c r="V40" s="2479"/>
      <c r="W40" s="2478"/>
      <c r="X40" s="2096" t="s">
        <v>692</v>
      </c>
      <c r="Y40" s="2096" t="s">
        <v>693</v>
      </c>
      <c r="Z40" s="2478"/>
      <c r="AA40" s="2096" t="s">
        <v>694</v>
      </c>
      <c r="AB40" s="2096" t="s">
        <v>695</v>
      </c>
      <c r="AC40" s="1602" t="s">
        <v>598</v>
      </c>
      <c r="AD40" s="2383" t="s">
        <v>599</v>
      </c>
      <c r="AE40" s="2384"/>
      <c r="AF40" s="2392"/>
      <c r="AG40" s="2479"/>
      <c r="AH40" s="2478"/>
      <c r="AI40" s="2096" t="s">
        <v>692</v>
      </c>
      <c r="AJ40" s="2096" t="s">
        <v>693</v>
      </c>
      <c r="AK40" s="2478"/>
      <c r="AL40" s="2096" t="s">
        <v>694</v>
      </c>
      <c r="AM40" s="2096" t="s">
        <v>695</v>
      </c>
      <c r="AN40" s="1602" t="s">
        <v>598</v>
      </c>
      <c r="AO40" s="2383" t="s">
        <v>599</v>
      </c>
      <c r="AP40" s="2384"/>
      <c r="AQ40" s="2392"/>
      <c r="AR40" s="2395"/>
      <c r="AS40" s="2240"/>
      <c r="AY40" s="1268">
        <v>59</v>
      </c>
    </row>
    <row s="880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155</v>
      </c>
      <c r="T41" s="1368" t="s">
        <v>105</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411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200</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411</v>
      </c>
      <c r="B43" s="1476" t="s">
        <v>412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552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553</v>
      </c>
      <c r="AU43" s="613"/>
      <c r="AV43" s="613" t="str">
        <f>IF(T43="","",T43)</f>
        <v>Территория действия тарифа</v>
      </c>
      <c r="AW43" s="613"/>
      <c r="AX43" s="613"/>
      <c r="AY43" s="1268">
        <v>23</v>
      </c>
    </row>
    <row customHeight="1" ht="24">
      <c r="A44" s="1476" t="s">
        <v>411</v>
      </c>
      <c r="B44" s="1476" t="s">
        <v>412</v>
      </c>
      <c r="C44" s="1476" t="s">
        <v>413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684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685</v>
      </c>
      <c r="AU44" s="613"/>
      <c r="AV44" s="613" t="str">
        <f>IF(T44="","",T44)</f>
        <v>Наименование централизованной системы горячего водоснабжения</v>
      </c>
      <c r="AW44" s="613"/>
      <c r="AX44" s="613"/>
      <c r="AY44" s="1268">
        <v>23</v>
      </c>
    </row>
    <row customHeight="1" ht="24">
      <c r="A45" s="1476" t="s">
        <v>411</v>
      </c>
      <c r="B45" s="1476" t="s">
        <v>412</v>
      </c>
      <c r="C45" s="1476" t="s">
        <v>413</v>
      </c>
      <c r="D45" s="1476" t="s">
        <v>697</v>
      </c>
      <c r="E45" s="2372"/>
      <c r="F45" s="2372"/>
      <c r="G45" s="2372"/>
      <c r="H45" s="2372"/>
      <c r="I45" s="2369" t="str">
        <f>S44&amp;".1"</f>
        <v>...1</v>
      </c>
      <c r="J45" s="1476"/>
      <c r="K45" s="1476"/>
      <c r="L45" s="1477"/>
      <c r="P45" s="2370">
        <v>1</v>
      </c>
      <c r="Q45" s="1594"/>
      <c r="R45" s="469"/>
      <c r="S45" s="1606" t="str">
        <f>$I45</f>
        <v>...1</v>
      </c>
      <c r="T45" s="398" t="s">
        <v>637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638</v>
      </c>
      <c r="AU45" s="613"/>
      <c r="AV45" s="613" t="str">
        <f>IF(T45="","",T45)</f>
        <v>Наименование признака дифференциации</v>
      </c>
      <c r="AW45" s="613"/>
      <c r="AX45" s="613"/>
      <c r="AY45" s="1268">
        <v>23</v>
      </c>
    </row>
    <row customHeight="1" ht="24">
      <c r="A46" s="1476" t="s">
        <v>411</v>
      </c>
      <c r="B46" s="1476" t="s">
        <v>412</v>
      </c>
      <c r="C46" s="1476" t="s">
        <v>413</v>
      </c>
      <c r="D46" s="1476" t="s">
        <v>697</v>
      </c>
      <c r="E46" s="2372"/>
      <c r="F46" s="2372"/>
      <c r="G46" s="2372"/>
      <c r="H46" s="2372"/>
      <c r="I46" s="2399"/>
      <c r="J46" s="2369" t="str">
        <f>I45&amp;".1"</f>
        <v>...1.1</v>
      </c>
      <c r="K46" s="1476"/>
      <c r="L46" s="1477" t="s">
        <v>561</v>
      </c>
      <c r="P46" s="2370"/>
      <c r="Q46" s="2370">
        <v>1</v>
      </c>
      <c r="R46" s="470"/>
      <c r="S46" s="1606" t="str">
        <f>$J46</f>
        <v>...1.1</v>
      </c>
      <c r="T46" s="399" t="s">
        <v>562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639</v>
      </c>
      <c r="AU46" s="613"/>
      <c r="AV46" s="613" t="str">
        <f>IF(T46="","",T46)</f>
        <v>Группа потребителей</v>
      </c>
      <c r="AW46" s="613"/>
      <c r="AX46" s="613"/>
      <c r="AY46" s="1268">
        <v>23</v>
      </c>
    </row>
    <row customHeight="1" ht="24">
      <c r="A47" s="1476" t="s">
        <v>411</v>
      </c>
      <c r="B47" s="1476" t="s">
        <v>412</v>
      </c>
      <c r="C47" s="1476" t="s">
        <v>413</v>
      </c>
      <c r="D47" s="1476" t="s">
        <v>697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411</v>
      </c>
      <c r="B48" s="1476" t="s">
        <v>412</v>
      </c>
      <c r="C48" s="1476" t="s">
        <v>413</v>
      </c>
      <c r="D48" s="1476" t="s">
        <v>697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411</v>
      </c>
      <c r="B49" s="1476" t="s">
        <v>412</v>
      </c>
      <c r="C49" s="1476" t="s">
        <v>413</v>
      </c>
      <c r="D49" s="1476" t="s">
        <v>697</v>
      </c>
      <c r="E49" s="2372"/>
      <c r="F49" s="2372"/>
      <c r="G49" s="2372"/>
      <c r="H49" s="2372"/>
      <c r="I49" s="2399"/>
      <c r="J49" s="2369"/>
      <c r="K49" s="1476"/>
      <c r="L49" s="1477"/>
      <c r="P49" s="2370"/>
      <c r="Q49" s="2370"/>
      <c r="R49" s="469"/>
      <c r="S49" s="1391"/>
      <c r="T49" s="400" t="s">
        <v>640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641</v>
      </c>
      <c r="AU49" s="613"/>
      <c r="AV49" s="613" t="str">
        <f>IF(T49="","",T49)</f>
        <v>Добавить значение признака дифференциации</v>
      </c>
      <c r="AW49" s="613"/>
      <c r="AX49" s="613"/>
      <c r="AY49" s="1268">
        <v>20</v>
      </c>
    </row>
    <row customHeight="1" ht="22.049999999999997">
      <c r="A50" s="1476" t="s">
        <v>411</v>
      </c>
      <c r="B50" s="1476" t="s">
        <v>412</v>
      </c>
      <c r="C50" s="1476" t="s">
        <v>413</v>
      </c>
      <c r="D50" s="1476" t="s">
        <v>697</v>
      </c>
      <c r="E50" s="2372"/>
      <c r="F50" s="2372"/>
      <c r="G50" s="2372"/>
      <c r="H50" s="2372"/>
      <c r="I50" s="2369"/>
      <c r="J50" s="1476"/>
      <c r="K50" s="1476"/>
      <c r="L50" s="1477"/>
      <c r="P50" s="2370"/>
      <c r="Q50" s="1594"/>
      <c r="R50" s="469"/>
      <c r="S50" s="1391"/>
      <c r="T50" s="478" t="s">
        <v>567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411</v>
      </c>
      <c r="B51" s="1476" t="s">
        <v>412</v>
      </c>
      <c r="C51" s="1476" t="s">
        <v>413</v>
      </c>
      <c r="D51" s="1476" t="s">
        <v>697</v>
      </c>
      <c r="E51" s="2372"/>
      <c r="F51" s="2372"/>
      <c r="G51" s="2372"/>
      <c r="H51" s="2371"/>
      <c r="I51" s="1476"/>
      <c r="J51" s="1476"/>
      <c r="K51" s="1476"/>
      <c r="L51" s="1477"/>
      <c r="M51" s="1478"/>
      <c r="N51" s="1478"/>
      <c r="O51" s="650"/>
      <c r="P51" s="473"/>
      <c r="Q51" s="488"/>
      <c r="R51" s="468"/>
      <c r="S51" s="1391"/>
      <c r="T51" s="485" t="s">
        <v>642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8192" customFormat="1" customHeight="1" ht="0">
      <c r="A52" s="1456" t="s">
        <v>411</v>
      </c>
      <c r="B52" s="1456" t="s">
        <v>412</v>
      </c>
      <c r="C52" s="1427"/>
      <c r="D52" s="1427"/>
      <c r="E52" s="2372"/>
      <c r="F52" s="2371"/>
      <c r="G52" s="1427"/>
      <c r="H52" s="1427"/>
      <c r="I52" s="1427"/>
      <c r="J52" s="1427"/>
      <c r="K52" s="1427"/>
      <c r="L52" s="1607"/>
      <c r="M52" s="1434"/>
      <c r="N52" s="1434"/>
      <c r="P52" s="1429"/>
      <c r="Q52" s="1430"/>
      <c r="R52" s="1429"/>
      <c r="S52" s="1435"/>
      <c r="T52" s="1438" t="s">
        <v>274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8192" customFormat="1" customHeight="1" ht="0">
      <c r="A53" s="1456" t="s">
        <v>411</v>
      </c>
      <c r="B53" s="1456"/>
      <c r="C53" s="1456"/>
      <c r="D53" s="1456"/>
      <c r="E53" s="2371"/>
      <c r="F53" s="1456"/>
      <c r="G53" s="1456"/>
      <c r="H53" s="1456"/>
      <c r="I53" s="1456"/>
      <c r="J53" s="1456"/>
      <c r="K53" s="1456"/>
      <c r="L53" s="1459"/>
      <c r="M53" s="1434"/>
      <c r="N53" s="1434"/>
      <c r="O53" s="631"/>
      <c r="P53" s="493"/>
      <c r="Q53" s="1457"/>
      <c r="R53" s="493"/>
      <c r="S53" s="1435"/>
      <c r="T53" s="1438" t="s">
        <v>351</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819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352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A6812-9108-BFF5-DBF3-E24AA66019F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91" width="11.57421875" hidden="1" customWidth="1"/>
    <col min="2" max="2" style="8191" width="11.00390625" hidden="1" customWidth="1"/>
    <col min="3" max="3" style="8191" width="10.57421875" hidden="1"/>
    <col min="4" max="4" style="8191" width="12.8515625" hidden="1" customWidth="1"/>
    <col min="5" max="5" style="8191" width="10.00390625" hidden="1" customWidth="1"/>
    <col min="6" max="6" style="8191" width="8.7109375" hidden="1" customWidth="1"/>
    <col min="7" max="7" style="8191" width="7.57421875" hidden="1" customWidth="1"/>
    <col min="8" max="8" style="8191" width="11.421875" hidden="1" customWidth="1"/>
    <col min="9" max="9" style="8191" width="12.00390625" hidden="1" customWidth="1"/>
    <col min="10" max="10" style="8191" width="9.8515625" hidden="1" customWidth="1"/>
    <col min="11" max="11" style="8191" width="11.421875" hidden="1" customWidth="1"/>
    <col min="12" max="12" style="9043" width="19.140625" hidden="1" customWidth="1"/>
    <col min="13" max="14" style="9044" width="12.28125" hidden="1" customWidth="1"/>
    <col min="15" max="15" style="9044" width="23.421875" hidden="1" customWidth="1"/>
    <col min="16" max="16" style="9044" width="3.7109375" hidden="1" customWidth="1"/>
    <col min="17" max="17" style="11886" width="3.7109375" hidden="1" customWidth="1"/>
    <col min="18" max="18" style="9046" width="3.00390625" customWidth="1"/>
    <col min="19" max="19" style="9047" width="12.00390625" customWidth="1"/>
    <col min="20" max="20" style="8113" width="31.00390625" customWidth="1"/>
    <col min="21" max="21" style="8113" width="0.140625" customWidth="1"/>
    <col min="22" max="25" style="8113" width="21.7109375" hidden="1" customWidth="1"/>
    <col min="26" max="26" style="8113" width="11.7109375" hidden="1" customWidth="1"/>
    <col min="27" max="27" style="8113" width="3.7109375" hidden="1" customWidth="1"/>
    <col min="28" max="28" style="8113" width="11.7109375" hidden="1" customWidth="1"/>
    <col min="29" max="29" style="8113" width="8.57421875" hidden="1" customWidth="1"/>
    <col min="30" max="30" style="8113" width="3.7109375" customWidth="1"/>
    <col min="31" max="32" style="8113" width="3.00390625" customWidth="1"/>
    <col min="33" max="33" style="8113" width="24.00390625" customWidth="1"/>
    <col min="34" max="34" style="8113" width="3.7109375" customWidth="1"/>
    <col min="35" max="36" style="8113" width="3.00390625" customWidth="1"/>
    <col min="37" max="37" style="8113" width="24.00390625" customWidth="1"/>
    <col min="38" max="38" style="8113" width="3.7109375" customWidth="1"/>
    <col min="39" max="40" style="8113" width="3.00390625" customWidth="1"/>
    <col min="41" max="41" style="8113" width="18.00390625" customWidth="1"/>
    <col min="42" max="42" style="8113" width="3.7109375" customWidth="1"/>
    <col min="43" max="44" style="8113" width="3.00390625" customWidth="1"/>
    <col min="45" max="45" style="8113" width="18.00390625" customWidth="1"/>
    <col min="46" max="49" style="8113" width="21.00390625" customWidth="1"/>
    <col min="50" max="50" style="8113" width="11.00390625" customWidth="1"/>
    <col min="51" max="51" style="8113" width="3.7109375" customWidth="1"/>
    <col min="52" max="52" style="8113" width="11.00390625" customWidth="1"/>
    <col min="53" max="53" style="8113" width="8.57421875" hidden="1" customWidth="1"/>
    <col min="54" max="54" style="8113" width="4.00390625" customWidth="1"/>
    <col min="55" max="55" style="8113" width="115.00390625" customWidth="1"/>
    <col min="56" max="60" style="8192" width="10.00390625" customWidth="1"/>
    <col min="61" max="61" style="811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200</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552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553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684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685</v>
      </c>
      <c r="BE4" s="613"/>
      <c r="BF4" s="613" t="str">
        <f>IF(T4="","",T4)</f>
        <v>Наименование централизованной системы горячего водоснабжения</v>
      </c>
      <c r="BG4" s="613"/>
      <c r="BH4" s="613"/>
      <c r="BI4" s="1268">
        <v>0</v>
      </c>
    </row>
    <row s="819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557</v>
      </c>
      <c r="BE5" s="613"/>
      <c r="BF5" s="613" t="str">
        <f>IF(T5="","",T5)</f>
        <v/>
      </c>
      <c r="BG5" s="613"/>
      <c r="BH5" s="613"/>
      <c r="BI5" s="624">
        <v>0</v>
      </c>
    </row>
    <row s="8192" customFormat="1" customHeight="1" ht="14.25" hidden="1">
      <c r="A6" s="1456"/>
      <c r="B6" s="1456"/>
      <c r="C6" s="1456"/>
      <c r="D6" s="1456"/>
      <c r="E6" s="2372"/>
      <c r="F6" s="2372"/>
      <c r="G6" s="2372"/>
      <c r="H6" s="2372"/>
      <c r="I6" s="2369" t="str">
        <f>S5&amp;".1"</f>
        <v>.1</v>
      </c>
      <c r="J6" s="1456"/>
      <c r="K6" s="1456"/>
      <c r="L6" s="1459" t="s">
        <v>558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819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655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656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657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658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659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622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819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819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819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819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274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819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351</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569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857" customFormat="1" customHeight="1" ht="14.25" hidden="1">
      <c r="M24" s="1621"/>
      <c r="N24" s="1621"/>
      <c r="O24" s="1622" t="s">
        <v>570</v>
      </c>
      <c r="P24" s="1621"/>
      <c r="Q24" s="1623"/>
      <c r="R24" s="1623"/>
      <c r="AA24" s="1620" t="s">
        <v>572</v>
      </c>
      <c r="AC24" s="1620" t="s">
        <v>573</v>
      </c>
      <c r="AD24" s="1620" t="s">
        <v>623</v>
      </c>
      <c r="AH24" s="1620" t="s">
        <v>623</v>
      </c>
      <c r="AK24" s="1620" t="s">
        <v>660</v>
      </c>
      <c r="AL24" s="1620" t="s">
        <v>623</v>
      </c>
      <c r="AP24" s="1620" t="s">
        <v>623</v>
      </c>
      <c r="AY24" s="1620" t="s">
        <v>572</v>
      </c>
      <c r="BA24" s="1620" t="s">
        <v>573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8328"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8328" customFormat="1" customHeight="1" ht="18.75">
      <c r="A32" s="1481"/>
      <c r="B32" s="1481"/>
      <c r="C32" s="1481"/>
      <c r="D32" s="1481"/>
      <c r="E32" s="1481"/>
      <c r="F32" s="1481"/>
      <c r="G32" s="1481"/>
      <c r="H32" s="1481"/>
      <c r="I32" s="1481"/>
      <c r="J32" s="1481"/>
      <c r="K32" s="1481"/>
      <c r="L32" s="1482"/>
      <c r="M32" s="1481"/>
      <c r="N32" s="1481"/>
      <c r="O32" s="1481"/>
      <c r="P32" s="1481"/>
      <c r="Q32" s="1481"/>
      <c r="S32" s="2363" t="s">
        <v>575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8328" customFormat="1" customHeight="1" ht="18.75">
      <c r="A33" s="1481"/>
      <c r="B33" s="1481"/>
      <c r="C33" s="1481"/>
      <c r="D33" s="1481"/>
      <c r="E33" s="1481"/>
      <c r="F33" s="1481"/>
      <c r="G33" s="1481"/>
      <c r="H33" s="1481"/>
      <c r="I33" s="1481"/>
      <c r="J33" s="1481"/>
      <c r="K33" s="1481"/>
      <c r="L33" s="1482"/>
      <c r="M33" s="1481"/>
      <c r="N33" s="1481"/>
      <c r="O33" s="1481"/>
      <c r="P33" s="1481"/>
      <c r="Q33" s="1481"/>
      <c r="S33" s="2363" t="s">
        <v>576</v>
      </c>
      <c r="T33" s="2363"/>
      <c r="U33" s="1485"/>
      <c r="V33" s="2364" t="str">
        <f>IF(TITLE_NUMBER_PR_CHANGE="",IF(TITLE_NUMBER_PR="","",TITLE_NUMBER_PR),TITLE_NUMBER_PR_CHANGE)</f>
        <v>51/111</v>
      </c>
      <c r="W33" s="2364"/>
      <c r="X33" s="2364"/>
      <c r="Y33" s="2364"/>
      <c r="Z33" s="2364"/>
      <c r="AA33" s="2364"/>
      <c r="AB33" s="2364"/>
      <c r="AC33" s="439"/>
      <c r="AD33" s="2364" t="str">
        <f>IF(TITLE_NUMBER_PR_CHANGE="",IF(TITLE_NUMBER_PR="","",TITLE_NUMBER_PR),TITLE_NUMBER_PR_CHANGE)</f>
        <v>51/111</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8328"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https://npa.gov-murman.ru/bitrix/components/b1team/govmurman.element.file/download.php?ID=537819&amp;FID=814581</v>
      </c>
      <c r="W34" s="2364"/>
      <c r="X34" s="2364"/>
      <c r="Y34" s="2364"/>
      <c r="Z34" s="2364"/>
      <c r="AA34" s="2364"/>
      <c r="AB34" s="2364"/>
      <c r="AC34" s="439"/>
      <c r="AD34" s="2364" t="str">
        <f>IF(TITLE_IST_PUB_CHANGE="",IF(TITLE_IST_PUB="","",TITLE_IST_PUB),TITLE_IST_PUB_CHANGE)</f>
        <v>https://npa.gov-murman.ru/bitrix/components/b1team/govmurman.element.file/download.php?ID=537819&amp;FID=814581</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832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575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832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576</v>
      </c>
      <c r="T37" s="2363"/>
      <c r="U37" s="1485"/>
      <c r="V37" s="2364" t="str">
        <f>IF(TITLE_NUMBER_PR_CHANGE="",IF(TITLE_NUMBER_PR="","",TITLE_NUMBER_PR),TITLE_NUMBER_PR_CHANGE)</f>
        <v>51/111</v>
      </c>
      <c r="W37" s="2364"/>
      <c r="X37" s="2364"/>
      <c r="Y37" s="2364"/>
      <c r="Z37" s="2364"/>
      <c r="AA37" s="2364"/>
      <c r="AB37" s="2364"/>
      <c r="AC37" s="439"/>
      <c r="AD37" s="2364" t="str">
        <f>IF(TITLE_NUMBER_PR_CHANGE="",IF(TITLE_NUMBER_PR="","",TITLE_NUMBER_PR),TITLE_NUMBER_PR_CHANGE)</f>
        <v>51/111</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832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579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579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455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456</v>
      </c>
      <c r="BI40" s="1268">
        <v>14</v>
      </c>
    </row>
    <row customHeight="1" ht="14.699999999999998">
      <c r="Q41" s="404"/>
      <c r="R41" s="489"/>
      <c r="S41" s="2386" t="s">
        <v>90</v>
      </c>
      <c r="T41" s="2322" t="s">
        <v>661</v>
      </c>
      <c r="U41" s="414"/>
      <c r="V41" s="2387" t="s">
        <v>581</v>
      </c>
      <c r="W41" s="2388"/>
      <c r="X41" s="2388"/>
      <c r="Y41" s="2388"/>
      <c r="Z41" s="2388"/>
      <c r="AA41" s="2388"/>
      <c r="AB41" s="2389"/>
      <c r="AC41" s="2390" t="s">
        <v>582</v>
      </c>
      <c r="AD41" s="2441" t="s">
        <v>662</v>
      </c>
      <c r="AE41" s="2404"/>
      <c r="AF41" s="2404"/>
      <c r="AG41" s="2442"/>
      <c r="AH41" s="2441" t="s">
        <v>663</v>
      </c>
      <c r="AI41" s="2404"/>
      <c r="AJ41" s="2404"/>
      <c r="AK41" s="2442"/>
      <c r="AL41" s="2441" t="s">
        <v>664</v>
      </c>
      <c r="AM41" s="2404"/>
      <c r="AN41" s="2404"/>
      <c r="AO41" s="2442"/>
      <c r="AP41" s="2441" t="s">
        <v>665</v>
      </c>
      <c r="AQ41" s="2404"/>
      <c r="AR41" s="2404"/>
      <c r="AS41" s="2442"/>
      <c r="AT41" s="2387" t="s">
        <v>581</v>
      </c>
      <c r="AU41" s="2388"/>
      <c r="AV41" s="2388"/>
      <c r="AW41" s="2388"/>
      <c r="AX41" s="2388"/>
      <c r="AY41" s="2388"/>
      <c r="AZ41" s="2389"/>
      <c r="BA41" s="2390" t="s">
        <v>582</v>
      </c>
      <c r="BB41" s="2393" t="s">
        <v>584</v>
      </c>
      <c r="BC41" s="2240"/>
      <c r="BI41" s="1268">
        <v>14</v>
      </c>
    </row>
    <row customHeight="1" ht="35.699999999999996">
      <c r="Q42" s="404"/>
      <c r="R42" s="489"/>
      <c r="S42" s="2386"/>
      <c r="T42" s="2322"/>
      <c r="U42" s="1144"/>
      <c r="V42" s="2305" t="s">
        <v>666</v>
      </c>
      <c r="W42" s="2306"/>
      <c r="X42" s="2305" t="s">
        <v>667</v>
      </c>
      <c r="Y42" s="2306"/>
      <c r="Z42" s="2407" t="s">
        <v>668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666</v>
      </c>
      <c r="AU42" s="2306"/>
      <c r="AV42" s="2305" t="s">
        <v>667</v>
      </c>
      <c r="AW42" s="2306"/>
      <c r="AX42" s="2407" t="s">
        <v>668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212</v>
      </c>
      <c r="C44" s="1483" t="s">
        <v>213</v>
      </c>
      <c r="D44" s="1483" t="s">
        <v>214</v>
      </c>
      <c r="E44" s="1477" t="s">
        <v>589</v>
      </c>
      <c r="F44" s="1477" t="s">
        <v>590</v>
      </c>
      <c r="G44" s="1477" t="s">
        <v>591</v>
      </c>
      <c r="H44" s="1477" t="s">
        <v>592</v>
      </c>
      <c r="I44" s="1477" t="s">
        <v>593</v>
      </c>
      <c r="J44" s="1477" t="s">
        <v>594</v>
      </c>
      <c r="K44" s="1477" t="s">
        <v>595</v>
      </c>
      <c r="L44" s="1477" t="s">
        <v>570</v>
      </c>
      <c r="Q44" s="404"/>
      <c r="R44" s="489"/>
      <c r="S44" s="2386"/>
      <c r="T44" s="2322"/>
      <c r="U44" s="415"/>
      <c r="V44" s="1592" t="s">
        <v>632</v>
      </c>
      <c r="W44" s="1592" t="s">
        <v>633</v>
      </c>
      <c r="X44" s="1592" t="s">
        <v>632</v>
      </c>
      <c r="Y44" s="1592" t="s">
        <v>633</v>
      </c>
      <c r="Z44" s="1602" t="s">
        <v>598</v>
      </c>
      <c r="AA44" s="2383" t="s">
        <v>599</v>
      </c>
      <c r="AB44" s="2384"/>
      <c r="AC44" s="2392"/>
      <c r="AD44" s="2446"/>
      <c r="AE44" s="2447"/>
      <c r="AF44" s="2447"/>
      <c r="AG44" s="2448"/>
      <c r="AH44" s="2446"/>
      <c r="AI44" s="2447"/>
      <c r="AJ44" s="2447"/>
      <c r="AK44" s="2448"/>
      <c r="AL44" s="2446"/>
      <c r="AM44" s="2447"/>
      <c r="AN44" s="2447"/>
      <c r="AO44" s="2448"/>
      <c r="AP44" s="2446"/>
      <c r="AQ44" s="2447"/>
      <c r="AR44" s="2447"/>
      <c r="AS44" s="2448"/>
      <c r="AT44" s="1592" t="s">
        <v>632</v>
      </c>
      <c r="AU44" s="1592" t="s">
        <v>633</v>
      </c>
      <c r="AV44" s="1592" t="s">
        <v>632</v>
      </c>
      <c r="AW44" s="1592" t="s">
        <v>633</v>
      </c>
      <c r="AX44" s="1602" t="s">
        <v>598</v>
      </c>
      <c r="AY44" s="2383" t="s">
        <v>599</v>
      </c>
      <c r="AZ44" s="2384"/>
      <c r="BA44" s="2392"/>
      <c r="BB44" s="2395"/>
      <c r="BC44" s="2240"/>
      <c r="BI44" s="1268">
        <v>14</v>
      </c>
    </row>
    <row s="880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155</v>
      </c>
      <c r="T45" s="1368" t="s">
        <v>105</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416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200</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416</v>
      </c>
      <c r="B47" s="1476" t="s">
        <v>417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552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553</v>
      </c>
      <c r="BE47" s="613"/>
      <c r="BF47" s="613" t="str">
        <f>IF(T47="","",T47)</f>
        <v>Территория действия тарифа</v>
      </c>
      <c r="BG47" s="613"/>
      <c r="BH47" s="613"/>
      <c r="BI47" s="1268">
        <v>21</v>
      </c>
    </row>
    <row customHeight="1" ht="35.699999999999996">
      <c r="A48" s="1476" t="s">
        <v>416</v>
      </c>
      <c r="B48" s="1476" t="s">
        <v>417</v>
      </c>
      <c r="C48" s="1476" t="s">
        <v>418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684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685</v>
      </c>
      <c r="BE48" s="613"/>
      <c r="BF48" s="613" t="str">
        <f>IF(T48="","",T48)</f>
        <v>Наименование централизованной системы горячего водоснабжения</v>
      </c>
      <c r="BG48" s="613"/>
      <c r="BH48" s="613"/>
      <c r="BI48" s="1268">
        <v>34</v>
      </c>
    </row>
    <row s="8192" customFormat="1" customHeight="1" ht="0">
      <c r="A49" s="1456" t="s">
        <v>416</v>
      </c>
      <c r="B49" s="1456" t="s">
        <v>417</v>
      </c>
      <c r="C49" s="1456" t="s">
        <v>418</v>
      </c>
      <c r="D49" s="1456" t="s">
        <v>698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557</v>
      </c>
      <c r="BE49" s="613"/>
      <c r="BF49" s="613" t="str">
        <f>IF(T49="","",T49)</f>
        <v/>
      </c>
      <c r="BG49" s="613"/>
      <c r="BH49" s="613"/>
      <c r="BI49" s="624">
        <v>0</v>
      </c>
    </row>
    <row s="8192" customFormat="1" customHeight="1" ht="0">
      <c r="A50" s="1456" t="s">
        <v>416</v>
      </c>
      <c r="B50" s="1456" t="s">
        <v>417</v>
      </c>
      <c r="C50" s="1456" t="s">
        <v>418</v>
      </c>
      <c r="D50" s="1456" t="s">
        <v>698</v>
      </c>
      <c r="E50" s="2372"/>
      <c r="F50" s="2372"/>
      <c r="G50" s="2372"/>
      <c r="H50" s="2372"/>
      <c r="I50" s="2369" t="str">
        <f>S49&amp;".1"</f>
        <v>.1</v>
      </c>
      <c r="J50" s="1456"/>
      <c r="K50" s="1456"/>
      <c r="L50" s="1459" t="s">
        <v>558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8192" customFormat="1" customHeight="1" ht="0">
      <c r="A51" s="1456" t="s">
        <v>416</v>
      </c>
      <c r="B51" s="1456" t="s">
        <v>417</v>
      </c>
      <c r="C51" s="1456" t="s">
        <v>418</v>
      </c>
      <c r="D51" s="1456" t="s">
        <v>698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416</v>
      </c>
      <c r="B52" s="1476" t="s">
        <v>417</v>
      </c>
      <c r="C52" s="1476" t="s">
        <v>418</v>
      </c>
      <c r="D52" s="1476" t="s">
        <v>698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655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656</v>
      </c>
      <c r="AT53" s="1506"/>
      <c r="AU53" s="1609"/>
      <c r="AV53" s="1506"/>
      <c r="AW53" s="1609"/>
      <c r="AX53" s="1506"/>
      <c r="AY53" s="1506"/>
      <c r="AZ53" s="1506"/>
      <c r="BA53" s="1506"/>
      <c r="BB53" s="1510"/>
      <c r="BC53" s="2367"/>
      <c r="BE53" s="613"/>
      <c r="BF53" s="613"/>
      <c r="BG53" s="613"/>
      <c r="BH53" s="613"/>
      <c r="BI53" s="1268">
        <v>11</v>
      </c>
    </row>
    <row customHeight="1" ht="11.549999999999999">
      <c r="A54" s="1476" t="s">
        <v>416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657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416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658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416</v>
      </c>
      <c r="B56" s="1476" t="s">
        <v>417</v>
      </c>
      <c r="C56" s="1476" t="s">
        <v>418</v>
      </c>
      <c r="D56" s="1476" t="s">
        <v>698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659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416</v>
      </c>
      <c r="B57" s="1476" t="s">
        <v>417</v>
      </c>
      <c r="C57" s="1476" t="s">
        <v>418</v>
      </c>
      <c r="D57" s="1476" t="s">
        <v>698</v>
      </c>
      <c r="E57" s="2372"/>
      <c r="F57" s="2372"/>
      <c r="G57" s="2372"/>
      <c r="H57" s="2372"/>
      <c r="I57" s="2399"/>
      <c r="J57" s="2369"/>
      <c r="K57" s="1476"/>
      <c r="L57" s="1477"/>
      <c r="P57" s="2370"/>
      <c r="Q57" s="2370"/>
      <c r="R57" s="469"/>
      <c r="S57" s="1391"/>
      <c r="T57" s="400" t="s">
        <v>622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8192" customFormat="1" customHeight="1" ht="0">
      <c r="A58" s="1456" t="s">
        <v>416</v>
      </c>
      <c r="B58" s="1456" t="s">
        <v>417</v>
      </c>
      <c r="C58" s="1456" t="s">
        <v>418</v>
      </c>
      <c r="D58" s="1456" t="s">
        <v>698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8192" customFormat="1" customHeight="1" ht="0">
      <c r="A59" s="1456" t="s">
        <v>416</v>
      </c>
      <c r="B59" s="1456" t="s">
        <v>417</v>
      </c>
      <c r="C59" s="1456" t="s">
        <v>418</v>
      </c>
      <c r="D59" s="1456" t="s">
        <v>698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8192" customFormat="1" customHeight="1" ht="0">
      <c r="A60" s="1456" t="s">
        <v>416</v>
      </c>
      <c r="B60" s="1456" t="s">
        <v>417</v>
      </c>
      <c r="C60" s="1456" t="s">
        <v>418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8192" customFormat="1" customHeight="1" ht="0">
      <c r="A61" s="1456" t="s">
        <v>416</v>
      </c>
      <c r="B61" s="1456" t="s">
        <v>417</v>
      </c>
      <c r="C61" s="1427"/>
      <c r="D61" s="1427"/>
      <c r="E61" s="2372"/>
      <c r="F61" s="2371"/>
      <c r="G61" s="1427"/>
      <c r="H61" s="1427"/>
      <c r="I61" s="1427"/>
      <c r="J61" s="1427"/>
      <c r="K61" s="1427"/>
      <c r="L61" s="1607"/>
      <c r="M61" s="1434"/>
      <c r="N61" s="1434"/>
      <c r="P61" s="1429"/>
      <c r="Q61" s="1430"/>
      <c r="R61" s="1429"/>
      <c r="S61" s="1435"/>
      <c r="T61" s="1438" t="s">
        <v>274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8192" customFormat="1" customHeight="1" ht="0">
      <c r="A62" s="1456" t="s">
        <v>416</v>
      </c>
      <c r="B62" s="1456"/>
      <c r="C62" s="1456"/>
      <c r="D62" s="1456"/>
      <c r="E62" s="2371"/>
      <c r="F62" s="1456"/>
      <c r="G62" s="1456"/>
      <c r="H62" s="1456"/>
      <c r="I62" s="1456"/>
      <c r="J62" s="1456"/>
      <c r="K62" s="1456"/>
      <c r="L62" s="1459"/>
      <c r="M62" s="1434"/>
      <c r="N62" s="1434"/>
      <c r="O62" s="631"/>
      <c r="P62" s="493"/>
      <c r="Q62" s="1457"/>
      <c r="R62" s="493"/>
      <c r="S62" s="1435"/>
      <c r="T62" s="1438" t="s">
        <v>351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819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352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75F7C-4F2D-7F24-E7D7-95ADAF4A358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121" width="10.7109375" hidden="1" customWidth="1"/>
    <col min="2" max="2" style="8191" width="16.8515625" hidden="1" customWidth="1"/>
    <col min="3" max="3" style="8192" width="5.57421875" hidden="1" customWidth="1"/>
    <col min="4" max="4" style="8113" width="3.00390625" customWidth="1"/>
    <col min="5" max="5" style="8113" width="7.00390625" customWidth="1"/>
    <col min="6" max="6" style="8113" width="54.00390625" customWidth="1"/>
    <col min="7" max="7" style="8113" width="10.00390625" customWidth="1"/>
    <col min="8" max="8" style="8113" width="40.7109375" hidden="1" customWidth="1"/>
    <col min="9" max="9" style="8113" width="40.7109375" customWidth="1"/>
    <col min="10" max="10" style="8113" width="102.00390625" customWidth="1"/>
    <col min="11" max="11" style="8191" width="9.00390625" customWidth="1"/>
    <col min="12" max="12" style="8192" width="5.00390625" customWidth="1"/>
    <col min="13" max="13" style="8192" width="3.00390625" customWidth="1"/>
    <col min="14" max="17" style="8191" width="3.00390625" customWidth="1"/>
    <col min="18" max="18" style="8192" width="10.00390625" customWidth="1"/>
    <col min="19" max="19" style="8191" width="34.00390625" customWidth="1"/>
    <col min="20" max="20" style="8191" width="9.00390625" customWidth="1"/>
    <col min="21" max="21" style="12122" width="8.00390625" customWidth="1"/>
    <col min="22" max="26" style="8191" width="8.00390625" customWidth="1"/>
    <col min="27" max="31" style="8077" width="8.00390625" customWidth="1"/>
    <col min="32" max="32" style="8113" width="9.140625" hidden="1"/>
  </cols>
  <sheetData>
    <row customHeight="1" ht="22.5" hidden="1">
      <c r="AF1" s="1744" t="s">
        <v>14</v>
      </c>
    </row>
    <row customHeight="1" ht="23.25" hidden="1">
      <c r="B2" s="2212"/>
      <c r="C2" s="1280" t="s">
        <v>699</v>
      </c>
      <c r="D2" s="1751"/>
      <c r="E2" s="659">
        <f>B2</f>
        <v>0</v>
      </c>
      <c r="F2" s="660"/>
      <c r="G2" s="1759" t="s">
        <v>700</v>
      </c>
      <c r="H2" s="1759" t="s">
        <v>700</v>
      </c>
      <c r="I2" s="1759" t="s">
        <v>700</v>
      </c>
      <c r="J2" s="402" t="s">
        <v>701</v>
      </c>
      <c r="K2" s="656"/>
      <c r="AF2" s="1744">
        <v>0</v>
      </c>
    </row>
    <row s="8192" customFormat="1" customHeight="1" ht="0.75" hidden="1">
      <c r="B3" s="2212"/>
      <c r="C3" s="1280"/>
      <c r="D3" s="661"/>
      <c r="E3" s="662"/>
      <c r="F3" s="663" t="s">
        <v>702</v>
      </c>
      <c r="G3" s="664"/>
      <c r="H3" s="664">
        <f>H4*H5+H7</f>
        <v>0</v>
      </c>
      <c r="I3" s="664">
        <f>I4*I5+I6</f>
        <v>0</v>
      </c>
      <c r="J3" s="665"/>
      <c r="AF3" s="1749">
        <v>0</v>
      </c>
    </row>
    <row customHeight="1" ht="23.25" hidden="1">
      <c r="B4" s="2212"/>
      <c r="C4" s="1280"/>
      <c r="D4" s="1751"/>
      <c r="E4" s="659" t="str">
        <f>B2&amp;".1"</f>
        <v>.1</v>
      </c>
      <c r="F4" s="666" t="s">
        <v>703</v>
      </c>
      <c r="G4" s="667"/>
      <c r="H4" s="654"/>
      <c r="I4" s="654"/>
      <c r="J4" s="402" t="s">
        <v>704</v>
      </c>
      <c r="K4" s="656"/>
      <c r="AF4" s="1744">
        <v>0</v>
      </c>
    </row>
    <row customHeight="1" ht="18.75" hidden="1">
      <c r="B5" s="2212"/>
      <c r="C5" s="1280"/>
      <c r="D5" s="1751"/>
      <c r="E5" s="659" t="str">
        <f>B2&amp;".2"</f>
        <v>.2</v>
      </c>
      <c r="F5" s="666" t="s">
        <v>705</v>
      </c>
      <c r="G5" s="1759" t="s">
        <v>706</v>
      </c>
      <c r="H5" s="654"/>
      <c r="I5" s="654"/>
      <c r="J5" s="402"/>
      <c r="K5" s="656"/>
      <c r="AF5" s="1744">
        <v>0</v>
      </c>
    </row>
    <row customHeight="1" ht="18.75" hidden="1">
      <c r="B6" s="2212"/>
      <c r="C6" s="1280"/>
      <c r="D6" s="1751"/>
      <c r="E6" s="659" t="str">
        <f>B2&amp;".3"</f>
        <v>.3</v>
      </c>
      <c r="F6" s="666" t="s">
        <v>707</v>
      </c>
      <c r="G6" s="1759" t="s">
        <v>706</v>
      </c>
      <c r="H6" s="654"/>
      <c r="I6" s="654"/>
      <c r="J6" s="402"/>
      <c r="K6" s="656"/>
      <c r="AF6" s="1744">
        <v>0</v>
      </c>
    </row>
    <row customHeight="1" ht="18.75" hidden="1">
      <c r="B7" s="2212"/>
      <c r="C7" s="1280"/>
      <c r="D7" s="1751"/>
      <c r="E7" s="659" t="str">
        <f>B2&amp;".4"</f>
        <v>.4</v>
      </c>
      <c r="F7" s="666" t="s">
        <v>708</v>
      </c>
      <c r="G7" s="1759" t="s">
        <v>700</v>
      </c>
      <c r="H7" s="668"/>
      <c r="I7" s="668"/>
      <c r="J7" s="402"/>
      <c r="K7" s="656"/>
      <c r="AF7" s="1744">
        <v>0</v>
      </c>
    </row>
    <row s="8191" customFormat="1" customHeight="1" ht="11.25" hidden="1">
      <c r="A8" s="1100"/>
      <c r="C8" s="1749"/>
      <c r="D8" s="650"/>
      <c r="H8" s="1273">
        <v>4</v>
      </c>
      <c r="I8" s="1273">
        <v>4</v>
      </c>
      <c r="L8" s="1749"/>
      <c r="M8" s="1749"/>
      <c r="R8" s="1749"/>
      <c r="AF8" s="1273">
        <v>0</v>
      </c>
    </row>
    <row s="8191" customFormat="1" customHeight="1" ht="22.5" hidden="1">
      <c r="A9" s="1100"/>
      <c r="C9" s="1749"/>
      <c r="D9" s="651"/>
      <c r="E9" s="1761"/>
      <c r="F9" s="653"/>
      <c r="G9" s="1759" t="s">
        <v>706</v>
      </c>
      <c r="H9" s="654"/>
      <c r="I9" s="654"/>
      <c r="J9" s="655" t="s">
        <v>709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710</v>
      </c>
      <c r="H11" s="654"/>
      <c r="I11" s="654"/>
      <c r="J11" s="402" t="s">
        <v>711</v>
      </c>
      <c r="K11" s="656"/>
      <c r="AF11" s="1744">
        <v>0</v>
      </c>
    </row>
    <row customHeight="1" ht="11.25" hidden="1">
      <c r="AF12" s="1744">
        <v>0</v>
      </c>
    </row>
    <row customHeight="1" ht="22.5" hidden="1">
      <c r="D13" s="1751"/>
      <c r="E13" s="659"/>
      <c r="F13" s="653"/>
      <c r="G13" s="1082" t="s">
        <v>712</v>
      </c>
      <c r="H13" s="658"/>
      <c r="I13" s="658"/>
      <c r="J13" s="858" t="s">
        <v>713</v>
      </c>
      <c r="K13" s="656"/>
      <c r="AF13" s="1744">
        <v>0</v>
      </c>
    </row>
    <row customHeight="1" ht="11.25" hidden="1">
      <c r="AF14" s="1744">
        <v>0</v>
      </c>
    </row>
    <row customHeight="1" ht="22.5" hidden="1">
      <c r="D15" s="1751"/>
      <c r="E15" s="659"/>
      <c r="F15" s="653"/>
      <c r="G15" s="1759" t="s">
        <v>714</v>
      </c>
      <c r="H15" s="658"/>
      <c r="I15" s="658"/>
      <c r="J15" s="402" t="s">
        <v>715</v>
      </c>
      <c r="K15" s="656"/>
      <c r="AF15" s="1744">
        <v>0</v>
      </c>
    </row>
    <row customHeight="1" ht="11.25" hidden="1">
      <c r="AF16" s="1744">
        <v>0</v>
      </c>
    </row>
    <row customHeight="1" ht="22.5" hidden="1">
      <c r="D17" s="1751"/>
      <c r="E17" s="659"/>
      <c r="F17" s="653"/>
      <c r="G17" s="1759" t="s">
        <v>716</v>
      </c>
      <c r="H17" s="658"/>
      <c r="I17" s="658"/>
      <c r="J17" s="402" t="s">
        <v>717</v>
      </c>
      <c r="K17" s="656"/>
      <c r="AF17" s="1744">
        <v>0</v>
      </c>
    </row>
    <row customHeight="1" ht="11.25" hidden="1">
      <c r="AF18" s="1744">
        <v>0</v>
      </c>
    </row>
    <row s="807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8192" customFormat="1" customHeight="1" ht="1.05">
      <c r="A24" s="1280"/>
      <c r="D24" s="1755"/>
      <c r="H24" s="1002"/>
      <c r="I24" s="1002" t="s">
        <v>194</v>
      </c>
      <c r="AF24" s="1749">
        <v>1</v>
      </c>
    </row>
    <row customHeight="1" ht="11.549999999999999">
      <c r="E25" s="824"/>
      <c r="F25" s="2480" t="s">
        <v>186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718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719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455</v>
      </c>
      <c r="F28" s="2483"/>
      <c r="G28" s="2483"/>
      <c r="H28" s="1758"/>
      <c r="I28" s="1758"/>
      <c r="J28" s="2240"/>
      <c r="AF28" s="1744">
        <v>11</v>
      </c>
    </row>
    <row customHeight="1" ht="24">
      <c r="E29" s="1759" t="s">
        <v>90</v>
      </c>
      <c r="F29" s="1766" t="s">
        <v>457</v>
      </c>
      <c r="G29" s="1766" t="s">
        <v>720</v>
      </c>
      <c r="H29" s="1766" t="s">
        <v>458</v>
      </c>
      <c r="I29" s="1766" t="s">
        <v>458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706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706</v>
      </c>
      <c r="H31" s="671">
        <f>SUMIF($K33:$K71,$K31,H33:H71)</f>
        <v>0</v>
      </c>
      <c r="I31" s="671">
        <f>SUMIF($K33:$K71,$K31,I33:I71)</f>
        <v>0</v>
      </c>
      <c r="J31" s="402" t="str">
        <f>FHD_NOTE_P_2</f>
        <v>Указывается суммарная себестоимость производимых товаров.</v>
      </c>
      <c r="K31" s="1749" t="s">
        <v>721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706</v>
      </c>
      <c r="H32" s="670"/>
      <c r="I32" s="670"/>
      <c r="J32" s="402" t="str">
        <f>FHD_NOTE_P_3</f>
        <v/>
      </c>
      <c r="K32" s="1749" t="str">
        <f>IF((LEN(E32)-LEN(SUBSTITUTE(E32,".","")))/LEN(".")=1,"p","")</f>
        <v>p</v>
      </c>
      <c r="AF32" s="1744">
        <v>11</v>
      </c>
    </row>
    <row customHeight="1" ht="11.25">
      <c r="A33" s="2484" t="s">
        <v>722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706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880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880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880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880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880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880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8191" customFormat="1" customHeight="1" ht="15">
      <c r="A40" s="2484"/>
      <c r="C40" s="1749"/>
      <c r="D40" s="1746"/>
      <c r="E40" s="683"/>
      <c r="F40" s="684" t="s">
        <v>723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724</v>
      </c>
      <c r="D41" s="1751"/>
      <c r="E41" s="659" t="str">
        <f>FHD_NUM_P_5</f>
        <v/>
      </c>
      <c r="F41" s="1637" t="str">
        <f>FHD_P_5</f>
        <v/>
      </c>
      <c r="G41" s="1991" t="s">
        <v>706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706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706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706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725</v>
      </c>
      <c r="H45" s="670"/>
      <c r="I45" s="670"/>
      <c r="J45" s="402" t="str">
        <f>FHD_NOTE_P_9</f>
        <v/>
      </c>
      <c r="K45" s="1749" t="str">
        <f>IF((LEN(E45)-LEN(SUBSTITUTE(E45,".","")))/LEN(".")=1,"p","")</f>
        <v/>
      </c>
      <c r="AF45" s="1744">
        <v>11</v>
      </c>
    </row>
    <row s="8191" customFormat="1" customHeight="1" ht="11.549999999999999">
      <c r="A46" s="1100"/>
      <c r="C46" s="1749"/>
      <c r="D46" s="687"/>
      <c r="E46" s="659" t="str">
        <f>FHD_NUM_P_10</f>
        <v>2.3.2</v>
      </c>
      <c r="F46" s="1763" t="str">
        <f>FHD_P_10</f>
        <v>Объём приобретения электрической энергии</v>
      </c>
      <c r="G46" s="1991" t="s">
        <v>726</v>
      </c>
      <c r="H46" s="670"/>
      <c r="I46" s="670"/>
      <c r="J46" s="402" t="str">
        <f>FHD_NOTE_P_10</f>
        <v/>
      </c>
      <c r="K46" s="1749" t="str">
        <f>IF((LEN(E46)-LEN(SUBSTITUTE(E46,".","")))/LEN(".")=1,"p","")</f>
        <v/>
      </c>
      <c r="L46" s="1749"/>
      <c r="M46" s="1749"/>
      <c r="R46" s="1749"/>
      <c r="U46" s="657"/>
      <c r="AA46" s="1745"/>
      <c r="AB46" s="1745"/>
      <c r="AC46" s="1745"/>
      <c r="AD46" s="1745"/>
      <c r="AE46" s="1745"/>
      <c r="AF46" s="1273">
        <v>11</v>
      </c>
    </row>
    <row s="8191" customFormat="1" customHeight="1" ht="11.25">
      <c r="A47" s="1102" t="s">
        <v>727</v>
      </c>
      <c r="C47" s="1749"/>
      <c r="D47" s="688"/>
      <c r="E47" s="659" t="str">
        <f>FHD_NUM_P_11</f>
        <v>2.4</v>
      </c>
      <c r="F47" s="1637" t="str">
        <f>FHD_P_11</f>
        <v>Расходы на приобретение холодной воды, используемой в технологическом процессе</v>
      </c>
      <c r="G47" s="1991" t="s">
        <v>706</v>
      </c>
      <c r="H47" s="670"/>
      <c r="I47" s="670"/>
      <c r="J47" s="402" t="str">
        <f>FHD_NOTE_P_11</f>
        <v/>
      </c>
      <c r="K47" s="1749" t="str">
        <f>IF((LEN(E47)-LEN(SUBSTITUTE(E47,".","")))/LEN(".")=1,"p","")</f>
        <v>p</v>
      </c>
      <c r="L47" s="1749"/>
      <c r="M47" s="1749"/>
      <c r="R47" s="1749"/>
      <c r="U47" s="657"/>
      <c r="AA47" s="1745"/>
      <c r="AB47" s="1745"/>
      <c r="AC47" s="1745"/>
      <c r="AD47" s="1745"/>
      <c r="AE47" s="1745"/>
      <c r="AF47" s="1273">
        <v>0</v>
      </c>
    </row>
    <row s="8191" customFormat="1" customHeight="1" ht="18.75">
      <c r="A48" s="1102" t="s">
        <v>728</v>
      </c>
      <c r="C48" s="1749"/>
      <c r="D48" s="1751"/>
      <c r="E48" s="659" t="str">
        <f>FHD_NUM_P_12</f>
        <v>2.5</v>
      </c>
      <c r="F48" s="1637" t="str">
        <f>FHD_P_12</f>
        <v>Расходы на  химические реагенты, используемые в технологическом процессе</v>
      </c>
      <c r="G48" s="1991" t="s">
        <v>706</v>
      </c>
      <c r="H48" s="690"/>
      <c r="I48" s="690"/>
      <c r="J48" s="402" t="str">
        <f>FHD_NOTE_P_12</f>
        <v/>
      </c>
      <c r="K48" s="1749" t="str">
        <f>IF((LEN(E48)-LEN(SUBSTITUTE(E48,".","")))/LEN(".")=1,"p","")</f>
        <v>p</v>
      </c>
      <c r="L48" s="1749"/>
      <c r="M48" s="1749"/>
      <c r="R48" s="1749"/>
      <c r="U48" s="657"/>
      <c r="AA48" s="1745"/>
      <c r="AB48" s="1745"/>
      <c r="AC48" s="1745"/>
      <c r="AD48" s="1745"/>
      <c r="AE48" s="1745"/>
      <c r="AF48" s="1273">
        <v>18</v>
      </c>
    </row>
    <row s="1206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706</v>
      </c>
      <c r="H49" s="670"/>
      <c r="I49" s="670"/>
      <c r="J49" s="402" t="str">
        <f>FHD_NOTE_P_13</f>
        <v/>
      </c>
      <c r="K49" s="1749" t="str">
        <f>IF((LEN(E49)-LEN(SUBSTITUTE(E49,".","")))/LEN(".")=1,"p","")</f>
        <v>p</v>
      </c>
      <c r="L49" s="843"/>
      <c r="M49" s="843"/>
      <c r="R49" s="843"/>
      <c r="U49" s="844"/>
      <c r="AA49" s="845"/>
      <c r="AB49" s="845"/>
      <c r="AC49" s="845"/>
      <c r="AD49" s="845"/>
      <c r="AE49" s="845"/>
      <c r="AF49" s="842">
        <v>11</v>
      </c>
    </row>
    <row s="1206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706</v>
      </c>
      <c r="H50" s="670"/>
      <c r="I50" s="670"/>
      <c r="J50" s="402" t="str">
        <f>FHD_NOTE_P_14</f>
        <v/>
      </c>
      <c r="K50" s="1749" t="str">
        <f>IF((LEN(E50)-LEN(SUBSTITUTE(E50,".","")))/LEN(".")=1,"p","")</f>
        <v/>
      </c>
      <c r="L50" s="843"/>
      <c r="M50" s="843"/>
      <c r="R50" s="843"/>
      <c r="U50" s="844"/>
      <c r="AA50" s="845"/>
      <c r="AB50" s="845"/>
      <c r="AC50" s="845"/>
      <c r="AD50" s="845"/>
      <c r="AE50" s="845"/>
      <c r="AF50" s="842">
        <v>11</v>
      </c>
    </row>
    <row s="1206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706</v>
      </c>
      <c r="H51" s="670"/>
      <c r="I51" s="670"/>
      <c r="J51" s="402" t="str">
        <f>FHD_NOTE_P_15</f>
        <v/>
      </c>
      <c r="K51" s="1749" t="str">
        <f>IF((LEN(E51)-LEN(SUBSTITUTE(E51,".","")))/LEN(".")=1,"p","")</f>
        <v/>
      </c>
      <c r="L51" s="843"/>
      <c r="M51" s="843"/>
      <c r="R51" s="843"/>
      <c r="U51" s="844"/>
      <c r="AA51" s="845"/>
      <c r="AB51" s="845"/>
      <c r="AC51" s="845"/>
      <c r="AD51" s="845"/>
      <c r="AE51" s="845"/>
      <c r="AF51" s="842">
        <v>11</v>
      </c>
    </row>
    <row s="8191"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706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8191"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706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8191"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706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8191"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706</v>
      </c>
      <c r="H55" s="670"/>
      <c r="I55" s="670"/>
      <c r="J55" s="402" t="str">
        <f>FHD_NOTE_P_19</f>
        <v/>
      </c>
      <c r="K55" s="1749" t="str">
        <f>IF((LEN(E55)-LEN(SUBSTITUTE(E55,".","")))/LEN(".")=1,"p","")</f>
        <v>p</v>
      </c>
      <c r="L55" s="1749"/>
      <c r="M55" s="1749"/>
      <c r="R55" s="1749"/>
      <c r="U55" s="657"/>
      <c r="AA55" s="1745"/>
      <c r="AB55" s="1745"/>
      <c r="AC55" s="1745"/>
      <c r="AD55" s="1745"/>
      <c r="AE55" s="1745"/>
      <c r="AF55" s="1273">
        <v>11</v>
      </c>
    </row>
    <row s="8191" customFormat="1" customHeight="1" ht="11.549999999999999">
      <c r="A56" s="1100"/>
      <c r="C56" s="1749"/>
      <c r="D56" s="688"/>
      <c r="E56" s="659" t="str">
        <f>FHD_NUM_P_20</f>
        <v>2.8.1</v>
      </c>
      <c r="F56" s="1763" t="str">
        <f>FHD_P_20</f>
        <v>Расходы на амортизацию основных средств</v>
      </c>
      <c r="G56" s="1991" t="s">
        <v>706</v>
      </c>
      <c r="H56" s="670"/>
      <c r="I56" s="670"/>
      <c r="J56" s="402" t="str">
        <f>FHD_NOTE_P_20</f>
        <v/>
      </c>
      <c r="K56" s="1749" t="str">
        <f>IF((LEN(E56)-LEN(SUBSTITUTE(E56,".","")))/LEN(".")=1,"p","")</f>
        <v/>
      </c>
      <c r="L56" s="1749"/>
      <c r="M56" s="1749"/>
      <c r="R56" s="1749"/>
      <c r="U56" s="657"/>
      <c r="AA56" s="1745"/>
      <c r="AB56" s="1745"/>
      <c r="AC56" s="1745"/>
      <c r="AD56" s="1745"/>
      <c r="AE56" s="1745"/>
      <c r="AF56" s="1273">
        <v>11</v>
      </c>
    </row>
    <row s="8191" customFormat="1" customHeight="1" ht="11.549999999999999">
      <c r="A57" s="1100"/>
      <c r="C57" s="1749"/>
      <c r="D57" s="688"/>
      <c r="E57" s="659" t="str">
        <f>FHD_NUM_P_21</f>
        <v>2.8.2</v>
      </c>
      <c r="F57" s="1763" t="str">
        <f>FHD_P_21</f>
        <v>Расходы на амортизацию нематериальных активов</v>
      </c>
      <c r="G57" s="1991" t="s">
        <v>706</v>
      </c>
      <c r="H57" s="670"/>
      <c r="I57" s="670"/>
      <c r="J57" s="402" t="str">
        <f>FHD_NOTE_P_21</f>
        <v/>
      </c>
      <c r="K57" s="1749" t="str">
        <f>IF((LEN(E57)-LEN(SUBSTITUTE(E57,".","")))/LEN(".")=1,"p","")</f>
        <v/>
      </c>
      <c r="L57" s="1749"/>
      <c r="M57" s="1749"/>
      <c r="R57" s="1749"/>
      <c r="U57" s="657"/>
      <c r="AA57" s="1745"/>
      <c r="AB57" s="1745"/>
      <c r="AC57" s="1745"/>
      <c r="AD57" s="1745"/>
      <c r="AE57" s="1745"/>
      <c r="AF57" s="1273">
        <v>11</v>
      </c>
    </row>
    <row s="8191"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706</v>
      </c>
      <c r="H58" s="670"/>
      <c r="I58" s="670"/>
      <c r="J58" s="402" t="str">
        <f>FHD_NOTE_P_22</f>
        <v/>
      </c>
      <c r="K58" s="1749" t="str">
        <f>IF((LEN(E58)-LEN(SUBSTITUTE(E58,".","")))/LEN(".")=1,"p","")</f>
        <v>p</v>
      </c>
      <c r="L58" s="1749"/>
      <c r="M58" s="1749"/>
      <c r="R58" s="1749"/>
      <c r="U58" s="657"/>
      <c r="AA58" s="1745"/>
      <c r="AB58" s="1745"/>
      <c r="AC58" s="1745"/>
      <c r="AD58" s="1745"/>
      <c r="AE58" s="1745"/>
      <c r="AF58" s="1273">
        <v>11</v>
      </c>
    </row>
    <row s="8191" customFormat="1" customHeight="1" ht="11.549999999999999">
      <c r="A59" s="1100"/>
      <c r="C59" s="1749"/>
      <c r="D59" s="688"/>
      <c r="E59" s="659" t="str">
        <f>FHD_NUM_P_23</f>
        <v>2.10</v>
      </c>
      <c r="F59" s="1637" t="str">
        <f>FHD_P_23</f>
        <v>Общепроизводственные расходы, в том числе:</v>
      </c>
      <c r="G59" s="1991" t="s">
        <v>706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8191" customFormat="1" customHeight="1" ht="11.549999999999999">
      <c r="A60" s="1100"/>
      <c r="C60" s="1749"/>
      <c r="D60" s="688"/>
      <c r="E60" s="659" t="str">
        <f>FHD_NUM_P_24</f>
        <v>2.10.1</v>
      </c>
      <c r="F60" s="1763" t="str">
        <f>FHD_P_24</f>
        <v>Расходы на текущий ремонт</v>
      </c>
      <c r="G60" s="1991" t="s">
        <v>706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8191" customFormat="1" customHeight="1" ht="11.549999999999999">
      <c r="A61" s="1100"/>
      <c r="C61" s="1749"/>
      <c r="D61" s="688"/>
      <c r="E61" s="659" t="str">
        <f>FHD_NUM_P_25</f>
        <v>2.10.2</v>
      </c>
      <c r="F61" s="1763" t="str">
        <f>FHD_P_25</f>
        <v>Расходы на капитальный ремонт</v>
      </c>
      <c r="G61" s="1991" t="s">
        <v>706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8191" customFormat="1" customHeight="1" ht="11.549999999999999">
      <c r="A62" s="1100"/>
      <c r="C62" s="1749"/>
      <c r="D62" s="1751"/>
      <c r="E62" s="659" t="str">
        <f>FHD_NUM_P_26</f>
        <v>2.11</v>
      </c>
      <c r="F62" s="1637" t="str">
        <f>FHD_P_26</f>
        <v>Общехозяйственные расходы, в том числе:</v>
      </c>
      <c r="G62" s="1991" t="s">
        <v>706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8191" customFormat="1" customHeight="1" ht="11.549999999999999">
      <c r="A63" s="1100"/>
      <c r="C63" s="1749"/>
      <c r="D63" s="1751"/>
      <c r="E63" s="659" t="str">
        <f>FHD_NUM_P_27</f>
        <v>2.11.1</v>
      </c>
      <c r="F63" s="1763" t="str">
        <f>FHD_P_27</f>
        <v>Расходы на текущий ремонт</v>
      </c>
      <c r="G63" s="1991" t="s">
        <v>706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8191" customFormat="1" customHeight="1" ht="11.549999999999999">
      <c r="A64" s="1100"/>
      <c r="C64" s="1749"/>
      <c r="D64" s="1751"/>
      <c r="E64" s="659" t="str">
        <f>FHD_NUM_P_28</f>
        <v>2.11.2</v>
      </c>
      <c r="F64" s="1763" t="str">
        <f>FHD_P_28</f>
        <v>Расходы на капитальный ремонт</v>
      </c>
      <c r="G64" s="1991" t="s">
        <v>706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8191"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706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8191"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461</v>
      </c>
      <c r="H66" s="1762" t="s">
        <v>729</v>
      </c>
      <c r="I66" s="1762" t="s">
        <v>729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8191" customFormat="1" customHeight="1" ht="23.25" hidden="1">
      <c r="A67" s="2484" t="s">
        <v>730</v>
      </c>
      <c r="C67" s="1749"/>
      <c r="D67" s="1751"/>
      <c r="E67" s="659" t="str">
        <f>FHD_NUM_P_31</f>
        <v/>
      </c>
      <c r="F67" s="1637" t="str">
        <f>FHD_P_31</f>
        <v/>
      </c>
      <c r="G67" s="1991" t="s">
        <v>706</v>
      </c>
      <c r="H67" s="670"/>
      <c r="I67" s="670"/>
      <c r="J67" s="402" t="str">
        <f>FHD_NOTE_P_31</f>
        <v/>
      </c>
      <c r="K67" s="1749" t="str">
        <f>IF((LEN(E67)-LEN(SUBSTITUTE(E67,".","")))/LEN(".")=1,"p","")</f>
        <v/>
      </c>
      <c r="L67" s="1749"/>
      <c r="M67" s="1749"/>
      <c r="R67" s="1749"/>
      <c r="U67" s="657"/>
      <c r="AA67" s="1745"/>
      <c r="AB67" s="1745"/>
      <c r="AC67" s="1745"/>
      <c r="AD67" s="1745"/>
      <c r="AE67" s="1745"/>
      <c r="AF67" s="1273">
        <v>22</v>
      </c>
    </row>
    <row s="8191" customFormat="1" customHeight="1" ht="47.25" hidden="1">
      <c r="A68" s="2484"/>
      <c r="C68" s="1749"/>
      <c r="D68" s="1751"/>
      <c r="E68" s="659" t="str">
        <f>FHD_NUM_P_32</f>
        <v/>
      </c>
      <c r="F68" s="1763" t="str">
        <f>FHD_P_32</f>
        <v/>
      </c>
      <c r="G68" s="1991" t="s">
        <v>461</v>
      </c>
      <c r="H68" s="1762" t="s">
        <v>729</v>
      </c>
      <c r="I68" s="1762" t="s">
        <v>729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8191"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706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8192" customFormat="1" customHeight="1" ht="1.05">
      <c r="A70" s="1280"/>
      <c r="D70" s="661"/>
      <c r="E70" s="1126" t="str">
        <f>E69&amp;".0"</f>
        <v>2.13.0</v>
      </c>
      <c r="F70" s="1104"/>
      <c r="G70" s="1126"/>
      <c r="H70" s="1105"/>
      <c r="I70" s="1105"/>
      <c r="J70" s="1106"/>
      <c r="K70" s="1749" t="str">
        <f>IF((LEN(E70)-LEN(SUBSTITUTE(E70,".","")))/LEN(".")=1,"p","")</f>
        <v/>
      </c>
      <c r="AF70" s="1749">
        <v>1</v>
      </c>
    </row>
    <row s="8191" customFormat="1" customHeight="1" ht="14.699999999999998">
      <c r="A71" s="1100"/>
      <c r="C71" s="1749"/>
      <c r="D71" s="1746"/>
      <c r="E71" s="683"/>
      <c r="F71" s="684" t="s">
        <v>731</v>
      </c>
      <c r="G71" s="685"/>
      <c r="H71" s="686"/>
      <c r="I71" s="686"/>
      <c r="J71" s="414"/>
      <c r="K71" s="1749"/>
      <c r="L71" s="1749"/>
      <c r="M71" s="1749"/>
      <c r="R71" s="1749"/>
      <c r="U71" s="657"/>
      <c r="AA71" s="1745"/>
      <c r="AB71" s="1745"/>
      <c r="AC71" s="1745"/>
      <c r="AD71" s="1745"/>
      <c r="AE71" s="1745"/>
      <c r="AF71" s="1273">
        <v>14</v>
      </c>
    </row>
    <row s="8191" customFormat="1" customHeight="1" ht="18.75">
      <c r="A72" s="1102" t="s">
        <v>732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706</v>
      </c>
      <c r="H72" s="670"/>
      <c r="I72" s="670"/>
      <c r="J72" s="402" t="str">
        <f>FHD_NOTE_P_34</f>
        <v/>
      </c>
      <c r="K72" s="656"/>
      <c r="L72" s="1749"/>
      <c r="M72" s="1749"/>
      <c r="R72" s="1749"/>
      <c r="U72" s="657"/>
      <c r="AA72" s="1745"/>
      <c r="AB72" s="1745"/>
      <c r="AC72" s="1745"/>
      <c r="AD72" s="1745"/>
      <c r="AE72" s="1745"/>
      <c r="AF72" s="1273">
        <v>0</v>
      </c>
    </row>
    <row s="8191"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706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8191"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706</v>
      </c>
      <c r="H74" s="670"/>
      <c r="I74" s="670"/>
      <c r="J74" s="402" t="str">
        <f>FHD_NOTE_P_36</f>
        <v/>
      </c>
      <c r="K74" s="656"/>
      <c r="L74" s="1749"/>
      <c r="M74" s="1749"/>
      <c r="R74" s="1749"/>
      <c r="U74" s="657"/>
      <c r="AA74" s="1745"/>
      <c r="AB74" s="1745"/>
      <c r="AC74" s="1745"/>
      <c r="AD74" s="1745"/>
      <c r="AE74" s="1745"/>
      <c r="AF74" s="1273">
        <v>19</v>
      </c>
    </row>
    <row s="8191" customFormat="1" customHeight="1" ht="19.95">
      <c r="A75" s="1100"/>
      <c r="C75" s="1749"/>
      <c r="D75" s="1751"/>
      <c r="E75" s="659" t="str">
        <f>FHD_NUM_P_37</f>
        <v>5</v>
      </c>
      <c r="F75" s="1993" t="str">
        <f>FHD_P_37</f>
        <v>Изменение стоимости основных фондов, в том числе:</v>
      </c>
      <c r="G75" s="1991" t="s">
        <v>706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8191" customFormat="1" customHeight="1" ht="19.95">
      <c r="A76" s="1100"/>
      <c r="C76" s="1749"/>
      <c r="D76" s="1751"/>
      <c r="E76" s="659" t="str">
        <f>FHD_NUM_P_38</f>
        <v>5.1</v>
      </c>
      <c r="F76" s="1637" t="str">
        <f>FHD_P_38</f>
        <v>Изменение стоимости основных фондов за счет:</v>
      </c>
      <c r="G76" s="1991" t="s">
        <v>706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8191"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706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8191"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706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8191" customFormat="1" customHeight="1" ht="19.95">
      <c r="A79" s="1100"/>
      <c r="C79" s="1749"/>
      <c r="D79" s="1751"/>
      <c r="E79" s="659" t="str">
        <f>FHD_NUM_P_41</f>
        <v>5.2</v>
      </c>
      <c r="F79" s="2188" t="str">
        <f>FHD_P_41</f>
        <v>Изменение стоимости основных фондов за счет их переоценки</v>
      </c>
      <c r="G79" s="2184" t="s">
        <v>706</v>
      </c>
      <c r="H79" s="1089"/>
      <c r="I79" s="670"/>
      <c r="J79" s="402" t="str">
        <f>FHD_NOTE_P_41</f>
        <v/>
      </c>
      <c r="K79" s="656"/>
      <c r="L79" s="1749"/>
      <c r="M79" s="1749"/>
      <c r="R79" s="1749"/>
      <c r="U79" s="657"/>
      <c r="AA79" s="1745"/>
      <c r="AB79" s="1745"/>
      <c r="AC79" s="1745"/>
      <c r="AD79" s="1745"/>
      <c r="AE79" s="1745"/>
      <c r="AF79" s="1273">
        <v>19</v>
      </c>
    </row>
    <row s="8191" customFormat="1" customHeight="1" ht="20.25" hidden="1">
      <c r="A80" s="1102" t="s">
        <v>733</v>
      </c>
      <c r="C80" s="1749"/>
      <c r="D80" s="1751"/>
      <c r="E80" s="659" t="str">
        <f>FHD_NUM_P_42</f>
        <v/>
      </c>
      <c r="F80" s="2186" t="str">
        <f>FHD_P_42</f>
        <v/>
      </c>
      <c r="G80" s="2184" t="s">
        <v>706</v>
      </c>
      <c r="H80" s="1089"/>
      <c r="I80" s="670"/>
      <c r="J80" s="402" t="str">
        <f>FHD_NOTE_P_42</f>
        <v/>
      </c>
      <c r="K80" s="656"/>
      <c r="L80" s="1749"/>
      <c r="M80" s="1749"/>
      <c r="R80" s="1749"/>
      <c r="U80" s="657"/>
      <c r="AA80" s="1745"/>
      <c r="AB80" s="1745"/>
      <c r="AC80" s="1745"/>
      <c r="AD80" s="1745"/>
      <c r="AE80" s="1745"/>
      <c r="AF80" s="1273">
        <v>19</v>
      </c>
    </row>
    <row s="819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461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8191" customFormat="1" customHeight="1" ht="18.75" hidden="1">
      <c r="A82" s="2484" t="s">
        <v>734</v>
      </c>
      <c r="C82" s="848"/>
      <c r="D82" s="846"/>
      <c r="E82" s="659" t="str">
        <f>FHD_NUM_P_44</f>
        <v/>
      </c>
      <c r="F82" s="1993" t="str">
        <f>FHD_P_44</f>
        <v/>
      </c>
      <c r="G82" s="1994" t="s">
        <v>735</v>
      </c>
      <c r="H82" s="1090"/>
      <c r="I82" s="690"/>
      <c r="J82" s="402" t="str">
        <f>FHD_NOTE_P_44</f>
        <v/>
      </c>
      <c r="K82" s="847"/>
      <c r="L82" s="848"/>
      <c r="M82" s="848"/>
      <c r="R82" s="848"/>
      <c r="U82" s="849"/>
      <c r="AA82" s="850"/>
      <c r="AB82" s="850"/>
      <c r="AC82" s="850"/>
      <c r="AD82" s="850"/>
      <c r="AE82" s="850"/>
      <c r="AF82" s="1023">
        <v>0</v>
      </c>
    </row>
    <row s="8191" customFormat="1" customHeight="1" ht="18.75" hidden="1">
      <c r="A83" s="2484"/>
      <c r="C83" s="848"/>
      <c r="D83" s="846"/>
      <c r="E83" s="659" t="str">
        <f>FHD_NUM_P_45</f>
        <v/>
      </c>
      <c r="F83" s="1993" t="str">
        <f>FHD_P_45</f>
        <v/>
      </c>
      <c r="G83" s="1994" t="s">
        <v>735</v>
      </c>
      <c r="H83" s="1090"/>
      <c r="I83" s="690"/>
      <c r="J83" s="402" t="str">
        <f>FHD_NOTE_P_45</f>
        <v/>
      </c>
      <c r="K83" s="847"/>
      <c r="L83" s="848"/>
      <c r="M83" s="848"/>
      <c r="R83" s="848"/>
      <c r="U83" s="849"/>
      <c r="AA83" s="850"/>
      <c r="AB83" s="850"/>
      <c r="AC83" s="850"/>
      <c r="AD83" s="850"/>
      <c r="AE83" s="850"/>
      <c r="AF83" s="1023">
        <v>0</v>
      </c>
    </row>
    <row s="8191" customFormat="1" customHeight="1" ht="18.75" hidden="1">
      <c r="A84" s="2484"/>
      <c r="C84" s="848"/>
      <c r="D84" s="851"/>
      <c r="E84" s="659" t="str">
        <f>FHD_NUM_P_46</f>
        <v/>
      </c>
      <c r="F84" s="1993" t="str">
        <f>FHD_P_46</f>
        <v/>
      </c>
      <c r="G84" s="1994" t="s">
        <v>735</v>
      </c>
      <c r="H84" s="1090"/>
      <c r="I84" s="690"/>
      <c r="J84" s="402" t="str">
        <f>FHD_NOTE_P_46</f>
        <v/>
      </c>
      <c r="K84" s="847"/>
      <c r="L84" s="848"/>
      <c r="M84" s="848"/>
      <c r="R84" s="848"/>
      <c r="U84" s="849"/>
      <c r="AA84" s="850"/>
      <c r="AB84" s="850"/>
      <c r="AC84" s="850"/>
      <c r="AD84" s="850"/>
      <c r="AE84" s="850"/>
      <c r="AF84" s="1023">
        <v>0</v>
      </c>
    </row>
    <row s="8191" customFormat="1" customHeight="1" ht="18.75" hidden="1">
      <c r="A85" s="2484"/>
      <c r="C85" s="848"/>
      <c r="D85" s="846"/>
      <c r="E85" s="659" t="str">
        <f>FHD_NUM_P_47</f>
        <v/>
      </c>
      <c r="F85" s="1993" t="str">
        <f>FHD_P_47</f>
        <v/>
      </c>
      <c r="G85" s="1994" t="s">
        <v>735</v>
      </c>
      <c r="H85" s="1090"/>
      <c r="I85" s="690"/>
      <c r="J85" s="402" t="str">
        <f>FHD_NOTE_P_47</f>
        <v/>
      </c>
      <c r="K85" s="847"/>
      <c r="L85" s="848"/>
      <c r="M85" s="848"/>
      <c r="R85" s="848"/>
      <c r="U85" s="849"/>
      <c r="AA85" s="850"/>
      <c r="AB85" s="850"/>
      <c r="AC85" s="850"/>
      <c r="AD85" s="850"/>
      <c r="AE85" s="850"/>
      <c r="AF85" s="1023">
        <v>0</v>
      </c>
    </row>
    <row s="8113" customFormat="1" customHeight="1" ht="18.75" hidden="1">
      <c r="A86" s="2484"/>
      <c r="B86" s="1023"/>
      <c r="C86" s="848"/>
      <c r="D86" s="846"/>
      <c r="E86" s="659" t="str">
        <f>FHD_NUM_P_48</f>
        <v/>
      </c>
      <c r="F86" s="1993" t="str">
        <f>FHD_P_48</f>
        <v/>
      </c>
      <c r="G86" s="1994" t="s">
        <v>735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8113" customFormat="1" customHeight="1" ht="18.75" hidden="1">
      <c r="A87" s="2484"/>
      <c r="B87" s="1023"/>
      <c r="C87" s="848"/>
      <c r="D87" s="846"/>
      <c r="E87" s="659" t="str">
        <f>FHD_NUM_P_49</f>
        <v/>
      </c>
      <c r="F87" s="1993" t="str">
        <f>FHD_P_49</f>
        <v/>
      </c>
      <c r="G87" s="1994" t="s">
        <v>735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8113" customFormat="1" customHeight="1" ht="18.75" hidden="1">
      <c r="A88" s="2484"/>
      <c r="B88" s="1023"/>
      <c r="C88" s="848"/>
      <c r="D88" s="846"/>
      <c r="E88" s="659" t="str">
        <f>FHD_NUM_P_50</f>
        <v/>
      </c>
      <c r="F88" s="1993" t="str">
        <f>FHD_P_50</f>
        <v/>
      </c>
      <c r="G88" s="1994" t="s">
        <v>735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8113" customFormat="1" customHeight="1" ht="18.75" hidden="1">
      <c r="A89" s="2484"/>
      <c r="B89" s="1023"/>
      <c r="C89" s="848"/>
      <c r="D89" s="846"/>
      <c r="E89" s="659" t="str">
        <f>FHD_NUM_P_51</f>
        <v/>
      </c>
      <c r="F89" s="1993" t="str">
        <f>FHD_P_51</f>
        <v/>
      </c>
      <c r="G89" s="1994" t="s">
        <v>735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8113" customFormat="1" customHeight="1" ht="18.75" hidden="1">
      <c r="A90" s="2484"/>
      <c r="B90" s="1023"/>
      <c r="C90" s="848"/>
      <c r="D90" s="846"/>
      <c r="E90" s="659" t="str">
        <f>FHD_NUM_P_52</f>
        <v/>
      </c>
      <c r="F90" s="1993" t="str">
        <f>FHD_P_52</f>
        <v/>
      </c>
      <c r="G90" s="1994" t="s">
        <v>712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8191" customFormat="1" customHeight="1" ht="18.75" hidden="1">
      <c r="A91" s="2486" t="s">
        <v>736</v>
      </c>
      <c r="C91" s="848"/>
      <c r="D91" s="846"/>
      <c r="E91" s="659" t="str">
        <f>FHD_NUM_P_53</f>
        <v/>
      </c>
      <c r="F91" s="1993" t="str">
        <f>FHD_P_53</f>
        <v/>
      </c>
      <c r="G91" s="1994" t="s">
        <v>735</v>
      </c>
      <c r="H91" s="1090"/>
      <c r="I91" s="690"/>
      <c r="J91" s="402" t="str">
        <f>FHD_NOTE_P_53</f>
        <v/>
      </c>
      <c r="K91" s="847"/>
      <c r="L91" s="848"/>
      <c r="M91" s="848"/>
      <c r="R91" s="848"/>
      <c r="U91" s="849"/>
      <c r="AA91" s="850"/>
      <c r="AB91" s="850"/>
      <c r="AC91" s="850"/>
      <c r="AD91" s="850"/>
      <c r="AE91" s="850"/>
      <c r="AF91" s="1023">
        <v>0</v>
      </c>
    </row>
    <row s="8191" customFormat="1" customHeight="1" ht="18.75" hidden="1">
      <c r="A92" s="2486"/>
      <c r="C92" s="848"/>
      <c r="D92" s="846"/>
      <c r="E92" s="659" t="str">
        <f>FHD_NUM_P_54</f>
        <v/>
      </c>
      <c r="F92" s="1993" t="str">
        <f>FHD_P_54</f>
        <v/>
      </c>
      <c r="G92" s="1994" t="s">
        <v>735</v>
      </c>
      <c r="H92" s="1090"/>
      <c r="I92" s="690"/>
      <c r="J92" s="402" t="str">
        <f>FHD_NOTE_P_54</f>
        <v/>
      </c>
      <c r="K92" s="847"/>
      <c r="L92" s="848"/>
      <c r="M92" s="848"/>
      <c r="R92" s="848"/>
      <c r="U92" s="849"/>
      <c r="AA92" s="850"/>
      <c r="AB92" s="850"/>
      <c r="AC92" s="850"/>
      <c r="AD92" s="850"/>
      <c r="AE92" s="850"/>
      <c r="AF92" s="1023">
        <v>0</v>
      </c>
    </row>
    <row s="819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8191" customFormat="1" customHeight="1" ht="18.75" hidden="1">
      <c r="A94" s="2486"/>
      <c r="C94" s="848"/>
      <c r="D94" s="846"/>
      <c r="E94" s="659" t="str">
        <f>FHD_NUM_P_56</f>
        <v/>
      </c>
      <c r="F94" s="1993" t="str">
        <f>FHD_P_56</f>
        <v/>
      </c>
      <c r="G94" s="1994" t="s">
        <v>737</v>
      </c>
      <c r="H94" s="1090"/>
      <c r="I94" s="690"/>
      <c r="J94" s="402" t="str">
        <f>FHD_NOTE_P_56</f>
        <v/>
      </c>
      <c r="K94" s="847"/>
      <c r="L94" s="848"/>
      <c r="M94" s="848"/>
      <c r="R94" s="848"/>
      <c r="U94" s="849"/>
      <c r="AA94" s="850"/>
      <c r="AB94" s="850"/>
      <c r="AC94" s="850"/>
      <c r="AD94" s="850"/>
      <c r="AE94" s="850"/>
      <c r="AF94" s="1023">
        <v>0</v>
      </c>
    </row>
    <row s="8113" customFormat="1" customHeight="1" ht="18.75" hidden="1">
      <c r="A95" s="2486"/>
      <c r="B95" s="1023"/>
      <c r="C95" s="848"/>
      <c r="D95" s="846"/>
      <c r="E95" s="659" t="str">
        <f>FHD_NUM_P_57</f>
        <v/>
      </c>
      <c r="F95" s="1993" t="str">
        <f>FHD_P_57</f>
        <v/>
      </c>
      <c r="G95" s="1994" t="s">
        <v>712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738</v>
      </c>
      <c r="D96" s="1751"/>
      <c r="E96" s="659" t="str">
        <f>FHD_NUM_P_58</f>
        <v/>
      </c>
      <c r="F96" s="1993" t="str">
        <f>FHD_P_58</f>
        <v/>
      </c>
      <c r="G96" s="1994" t="s">
        <v>735</v>
      </c>
      <c r="H96" s="1090"/>
      <c r="I96" s="690"/>
      <c r="J96" s="402" t="str">
        <f>FHD_NOTE_P_58</f>
        <v/>
      </c>
      <c r="K96" s="656"/>
      <c r="AF96" s="1744">
        <v>0</v>
      </c>
    </row>
    <row customHeight="1" ht="18.75" hidden="1">
      <c r="A97" s="2484"/>
      <c r="D97" s="1751"/>
      <c r="E97" s="659" t="str">
        <f>FHD_NUM_P_59</f>
        <v/>
      </c>
      <c r="F97" s="1993" t="str">
        <f>FHD_P_59</f>
        <v/>
      </c>
      <c r="G97" s="1994" t="s">
        <v>735</v>
      </c>
      <c r="H97" s="1090"/>
      <c r="I97" s="690"/>
      <c r="J97" s="402" t="str">
        <f>FHD_NOTE_P_59</f>
        <v/>
      </c>
      <c r="K97" s="656"/>
      <c r="AF97" s="1744">
        <v>0</v>
      </c>
    </row>
    <row customHeight="1" ht="18.75" hidden="1">
      <c r="A98" s="2484"/>
      <c r="D98" s="1751"/>
      <c r="E98" s="659" t="str">
        <f>FHD_NUM_P_60</f>
        <v/>
      </c>
      <c r="F98" s="1993" t="str">
        <f>FHD_P_60</f>
        <v/>
      </c>
      <c r="G98" s="1994" t="s">
        <v>735</v>
      </c>
      <c r="H98" s="1090"/>
      <c r="I98" s="690"/>
      <c r="J98" s="402" t="str">
        <f>FHD_NOTE_P_60</f>
        <v/>
      </c>
      <c r="K98" s="656"/>
      <c r="AF98" s="1744">
        <v>0</v>
      </c>
    </row>
    <row s="8191" customFormat="1" customHeight="1" ht="18.75">
      <c r="A99" s="2484" t="s">
        <v>739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710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8192" customFormat="1" customHeight="1" ht="0.75">
      <c r="A100" s="2484"/>
      <c r="D100" s="661"/>
      <c r="E100" s="1126" t="str">
        <f>E99&amp;".0"</f>
        <v>7.0</v>
      </c>
      <c r="F100" s="1107"/>
      <c r="G100" s="1108"/>
      <c r="H100" s="1105"/>
      <c r="I100" s="1105"/>
      <c r="J100" s="1109"/>
      <c r="AF100" s="1749">
        <v>0</v>
      </c>
    </row>
    <row customHeight="1" ht="15">
      <c r="A101" s="2484"/>
      <c r="D101" s="1746"/>
      <c r="E101" s="1084"/>
      <c r="F101" s="1085" t="s">
        <v>740</v>
      </c>
      <c r="G101" s="685"/>
      <c r="H101" s="686"/>
      <c r="I101" s="686"/>
      <c r="J101" s="1117" t="s">
        <v>741</v>
      </c>
      <c r="K101" s="656"/>
      <c r="AF101" s="1744">
        <v>0</v>
      </c>
    </row>
    <row s="8191"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710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8191"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737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8191" customFormat="1" customHeight="1" ht="18.75">
      <c r="A104" s="2484"/>
      <c r="C104" s="1749" t="s">
        <v>742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737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8191"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737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8191" customFormat="1" customHeight="1" ht="18.75">
      <c r="A106" s="2484"/>
      <c r="C106" s="1749"/>
      <c r="D106" s="1751"/>
      <c r="E106" s="659" t="str">
        <f>FHD_NUM_P_66</f>
        <v>10.1</v>
      </c>
      <c r="F106" s="1637" t="str">
        <f>FHD_P_66</f>
        <v>По приборам учёта </v>
      </c>
      <c r="G106" s="1990" t="s">
        <v>737</v>
      </c>
      <c r="H106" s="690"/>
      <c r="I106" s="690"/>
      <c r="J106" s="402" t="str">
        <f>FHD_NOTE_P_66</f>
        <v/>
      </c>
      <c r="K106" s="656"/>
      <c r="L106" s="1749"/>
      <c r="M106" s="1749"/>
      <c r="R106" s="1749"/>
      <c r="U106" s="657"/>
      <c r="AA106" s="1745"/>
      <c r="AB106" s="1745"/>
      <c r="AC106" s="1745"/>
      <c r="AD106" s="1745"/>
      <c r="AE106" s="1745"/>
      <c r="AF106" s="1273">
        <v>0</v>
      </c>
    </row>
    <row s="8191"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737</v>
      </c>
      <c r="H107" s="690"/>
      <c r="I107" s="690"/>
      <c r="J107" s="402" t="str">
        <f>FHD_NOTE_P_67</f>
        <v/>
      </c>
      <c r="K107" s="656"/>
      <c r="L107" s="1749"/>
      <c r="M107" s="1749"/>
      <c r="R107" s="1749"/>
      <c r="U107" s="657"/>
      <c r="AA107" s="1745"/>
      <c r="AB107" s="1745"/>
      <c r="AC107" s="1745"/>
      <c r="AD107" s="1745"/>
      <c r="AE107" s="1745"/>
      <c r="AF107" s="1273">
        <v>0</v>
      </c>
    </row>
    <row s="8191" customFormat="1" customHeight="1" ht="18.75">
      <c r="A108" s="2484"/>
      <c r="C108" s="1749"/>
      <c r="D108" s="1751"/>
      <c r="E108" s="659" t="str">
        <f>FHD_NUM_P_68</f>
        <v>10.2</v>
      </c>
      <c r="F108" s="1637" t="str">
        <f>FHD_P_68</f>
        <v>Расчётным путём</v>
      </c>
      <c r="G108" s="1990" t="s">
        <v>737</v>
      </c>
      <c r="H108" s="690"/>
      <c r="I108" s="690"/>
      <c r="J108" s="402" t="str">
        <f>FHD_NOTE_P_68</f>
        <v/>
      </c>
      <c r="K108" s="656"/>
      <c r="L108" s="1749"/>
      <c r="M108" s="1749"/>
      <c r="R108" s="1749"/>
      <c r="U108" s="657"/>
      <c r="AA108" s="1745"/>
      <c r="AB108" s="1745"/>
      <c r="AC108" s="1745"/>
      <c r="AD108" s="1745"/>
      <c r="AE108" s="1745"/>
      <c r="AF108" s="1273">
        <v>0</v>
      </c>
    </row>
    <row s="8191"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737</v>
      </c>
      <c r="H109" s="690"/>
      <c r="I109" s="690"/>
      <c r="J109" s="402" t="str">
        <f>FHD_NOTE_P_69</f>
        <v/>
      </c>
      <c r="K109" s="656"/>
      <c r="L109" s="1749"/>
      <c r="M109" s="1749"/>
      <c r="R109" s="1749"/>
      <c r="U109" s="657"/>
      <c r="AA109" s="1745"/>
      <c r="AB109" s="1745"/>
      <c r="AC109" s="1745"/>
      <c r="AD109" s="1745"/>
      <c r="AE109" s="1745"/>
      <c r="AF109" s="1273">
        <v>0</v>
      </c>
    </row>
    <row s="8191"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743</v>
      </c>
      <c r="H110" s="670"/>
      <c r="I110" s="670"/>
      <c r="J110" s="402" t="str">
        <f>FHD_NOTE_P_70</f>
        <v/>
      </c>
      <c r="K110" s="656"/>
      <c r="L110" s="1749"/>
      <c r="M110" s="1749"/>
      <c r="R110" s="1749"/>
      <c r="U110" s="657"/>
      <c r="AA110" s="1745"/>
      <c r="AB110" s="1745"/>
      <c r="AC110" s="1745"/>
      <c r="AD110" s="1745"/>
      <c r="AE110" s="1745"/>
      <c r="AF110" s="1273">
        <v>0</v>
      </c>
    </row>
    <row s="8191" customFormat="1" customHeight="1" ht="22.5">
      <c r="A111" s="2484"/>
      <c r="C111" s="1749"/>
      <c r="D111" s="1751"/>
      <c r="E111" s="659" t="str">
        <f>FHD_NUM_P_71</f>
        <v>12</v>
      </c>
      <c r="F111" s="1993" t="str">
        <f>FHD_P_71</f>
        <v>Фактический объем потерь при передаче тепловой энергии</v>
      </c>
      <c r="G111" s="1990" t="s">
        <v>743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744</v>
      </c>
      <c r="H112" s="690"/>
      <c r="I112" s="690"/>
      <c r="J112" s="402" t="str">
        <f>FHD_NOTE_P_72</f>
        <v/>
      </c>
      <c r="K112" s="656"/>
      <c r="AF112" s="1744">
        <v>19</v>
      </c>
    </row>
    <row customHeight="1" ht="18.75">
      <c r="A113" s="1102" t="s">
        <v>745</v>
      </c>
      <c r="D113" s="1751"/>
      <c r="E113" s="659" t="str">
        <f>FHD_NUM_P_73</f>
        <v>14</v>
      </c>
      <c r="F113" s="1993" t="str">
        <f>FHD_P_73</f>
        <v>Среднесписочная численность административно-управленческого персонала</v>
      </c>
      <c r="G113" s="1083" t="s">
        <v>744</v>
      </c>
      <c r="H113" s="1081"/>
      <c r="I113" s="1081"/>
      <c r="J113" s="402" t="str">
        <f>FHD_NOTE_P_73</f>
        <v/>
      </c>
      <c r="K113" s="656"/>
      <c r="AF113" s="1744">
        <v>0</v>
      </c>
    </row>
    <row customHeight="1" ht="33.75" hidden="1">
      <c r="A114" s="1102" t="s">
        <v>746</v>
      </c>
      <c r="D114" s="1751"/>
      <c r="E114" s="659" t="str">
        <f>FHD_NUM_P_74</f>
        <v/>
      </c>
      <c r="F114" s="1993" t="str">
        <f>FHD_P_74</f>
        <v/>
      </c>
      <c r="G114" s="1989" t="s">
        <v>747</v>
      </c>
      <c r="H114" s="690"/>
      <c r="I114" s="690"/>
      <c r="J114" s="402" t="str">
        <f>FHD_NOTE_P_74</f>
        <v/>
      </c>
      <c r="K114" s="656"/>
      <c r="AF114" s="1744">
        <v>0</v>
      </c>
    </row>
    <row s="8113" customFormat="1" customHeight="1" ht="18.75" hidden="1">
      <c r="A115" s="2486" t="s">
        <v>748</v>
      </c>
      <c r="B115" s="1023"/>
      <c r="C115" s="848"/>
      <c r="D115" s="846"/>
      <c r="E115" s="659" t="str">
        <f>FHD_NUM_P_75</f>
        <v/>
      </c>
      <c r="F115" s="1993" t="str">
        <f>FHD_P_75</f>
        <v/>
      </c>
      <c r="G115" s="1989" t="s">
        <v>712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8113" customFormat="1" customHeight="1" ht="18.75" hidden="1">
      <c r="A116" s="2486"/>
      <c r="B116" s="1023"/>
      <c r="C116" s="848"/>
      <c r="D116" s="846"/>
      <c r="E116" s="659" t="str">
        <f>FHD_NUM_P_76</f>
        <v/>
      </c>
      <c r="F116" s="1993" t="str">
        <f>FHD_P_76</f>
        <v/>
      </c>
      <c r="G116" s="1989" t="s">
        <v>712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8113" customFormat="1" customHeight="1" ht="18.75" hidden="1">
      <c r="A117" s="2486"/>
      <c r="B117" s="1023"/>
      <c r="C117" s="848"/>
      <c r="D117" s="846"/>
      <c r="E117" s="659" t="str">
        <f>FHD_NUM_P_77</f>
        <v/>
      </c>
      <c r="F117" s="1993" t="str">
        <f>FHD_P_77</f>
        <v/>
      </c>
      <c r="G117" s="1989" t="s">
        <v>712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8192" customFormat="1" customHeight="1" ht="0.75" hidden="1">
      <c r="A118" s="2486"/>
      <c r="D118" s="661"/>
      <c r="E118" s="1126" t="str">
        <f>E117&amp;".0"</f>
        <v>.0</v>
      </c>
      <c r="F118" s="1110"/>
      <c r="G118" s="1764"/>
      <c r="H118" s="1105"/>
      <c r="I118" s="1105"/>
      <c r="J118" s="1109"/>
      <c r="AF118" s="1749">
        <v>0</v>
      </c>
    </row>
    <row s="8113" customFormat="1" customHeight="1" ht="15" hidden="1">
      <c r="A119" s="2486"/>
      <c r="B119" s="1023"/>
      <c r="C119" s="848"/>
      <c r="D119" s="859"/>
      <c r="E119" s="1086"/>
      <c r="F119" s="1087" t="s">
        <v>749</v>
      </c>
      <c r="G119" s="860"/>
      <c r="H119" s="861"/>
      <c r="I119" s="861"/>
      <c r="J119" s="1116" t="s">
        <v>750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751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714</v>
      </c>
      <c r="H120" s="690"/>
      <c r="I120" s="690"/>
      <c r="J120" s="402" t="str">
        <f>FHD_NOTE_P_78</f>
        <v/>
      </c>
      <c r="K120" s="656"/>
      <c r="AF120" s="1744">
        <v>0</v>
      </c>
    </row>
    <row s="8192" customFormat="1" customHeight="1" ht="0.75">
      <c r="A121" s="2484"/>
      <c r="D121" s="661"/>
      <c r="E121" s="1126" t="str">
        <f>E120&amp;".0"</f>
        <v>15.0</v>
      </c>
      <c r="F121" s="1110"/>
      <c r="G121" s="1764"/>
      <c r="H121" s="1105"/>
      <c r="I121" s="1105"/>
      <c r="J121" s="1109"/>
      <c r="AF121" s="1749">
        <v>0</v>
      </c>
    </row>
    <row customHeight="1" ht="15">
      <c r="A122" s="2484"/>
      <c r="D122" s="1746"/>
      <c r="E122" s="683"/>
      <c r="F122" s="1281" t="s">
        <v>740</v>
      </c>
      <c r="G122" s="685"/>
      <c r="H122" s="686"/>
      <c r="I122" s="686"/>
      <c r="J122" s="1117" t="s">
        <v>752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716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8192" customFormat="1" customHeight="1" ht="0.75">
      <c r="A124" s="2484"/>
      <c r="D124" s="661"/>
      <c r="E124" s="1126" t="str">
        <f>E123&amp;".0"</f>
        <v>16.0</v>
      </c>
      <c r="F124" s="1111"/>
      <c r="G124" s="1764"/>
      <c r="H124" s="1105"/>
      <c r="I124" s="1105"/>
      <c r="J124" s="1109"/>
      <c r="AF124" s="1749">
        <v>0</v>
      </c>
    </row>
    <row customHeight="1" ht="15">
      <c r="A125" s="2484"/>
      <c r="D125" s="1746"/>
      <c r="E125" s="683"/>
      <c r="F125" s="1281" t="s">
        <v>740</v>
      </c>
      <c r="G125" s="685"/>
      <c r="H125" s="686"/>
      <c r="I125" s="686"/>
      <c r="J125" s="1117" t="s">
        <v>753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754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755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742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461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742</v>
      </c>
      <c r="D129" s="1751"/>
      <c r="E129" s="659" t="str">
        <f>FHD_NUM_P_83</f>
        <v>19.1</v>
      </c>
      <c r="F129" s="1637" t="str">
        <f>FHD_P_83</f>
        <v>Информация о показателях физического износа объектов теплоснабжения</v>
      </c>
      <c r="G129" s="1991" t="s">
        <v>461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742</v>
      </c>
      <c r="D130" s="1751"/>
      <c r="E130" s="659" t="str">
        <f>FHD_NUM_P_84</f>
        <v>19.2</v>
      </c>
      <c r="F130" s="1637" t="str">
        <f>FHD_P_84</f>
        <v>Информация о показателях энергетической эффективности объектов теплоснабжения</v>
      </c>
      <c r="G130" s="1991" t="s">
        <v>461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880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8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8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80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8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8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8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8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8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8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8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8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8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8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8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8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8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8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8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8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8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8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8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8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8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8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8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8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8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8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8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8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8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8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8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8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8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8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8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8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8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8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8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8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8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8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8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8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8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8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8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8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8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8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8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8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8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8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8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8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8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8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8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8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8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8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8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8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8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8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880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880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880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880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880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880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880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880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880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880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880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880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880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880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880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880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880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880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880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880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880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880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880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880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880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880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880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880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880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880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880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880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880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880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880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880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880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880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880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880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880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880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880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880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880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880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880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880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880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880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880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880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880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880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880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880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880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880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880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880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880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880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880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880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880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880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880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880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880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880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880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880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880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880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880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880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880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880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880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880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880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880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880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880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880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880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0C238-A275-0C46-C7E9-BBA25151210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189" width="14.7109375" hidden="1" customWidth="1"/>
    <col min="2" max="2" style="8077" width="17.00390625" hidden="1" customWidth="1"/>
    <col min="3" max="3" style="8113" width="3.00390625" customWidth="1"/>
    <col min="4" max="4" style="8113" width="1.8515625" hidden="1" customWidth="1"/>
    <col min="5" max="6" style="8113" width="7.00390625" customWidth="1"/>
    <col min="7" max="7" style="8113" width="29.00390625" customWidth="1"/>
    <col min="8" max="8" style="8113" width="3.7109375" customWidth="1"/>
    <col min="9" max="9" style="8113" width="5.00390625" customWidth="1"/>
    <col min="10" max="11" style="8113" width="24.00390625" customWidth="1"/>
    <col min="12" max="12" style="8113" width="3.00390625" customWidth="1"/>
    <col min="13" max="13" style="8113" width="6.00390625" customWidth="1"/>
    <col min="14" max="14" style="8113" width="25.00390625" customWidth="1"/>
    <col min="15" max="18" style="8113" width="18.00390625" customWidth="1"/>
    <col min="19" max="19" style="8113" width="93.00390625" customWidth="1"/>
    <col min="20" max="20" style="8113" width="10.00390625" customWidth="1"/>
    <col min="21" max="21" style="8192" width="10.00390625" customWidth="1"/>
    <col min="22" max="22" style="8192" width="11.00390625" customWidth="1"/>
    <col min="23" max="27" style="8077" width="10.00390625" customWidth="1"/>
    <col min="28" max="83" style="8113" width="8.00390625" customWidth="1"/>
    <col min="84" max="84" style="811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8113"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880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455</v>
      </c>
      <c r="F9" s="2215"/>
      <c r="G9" s="2215"/>
      <c r="H9" s="2215"/>
      <c r="I9" s="2215"/>
      <c r="J9" s="2215"/>
      <c r="K9" s="2215"/>
      <c r="L9" s="2215"/>
      <c r="M9" s="2215"/>
      <c r="N9" s="2215"/>
      <c r="O9" s="2215"/>
      <c r="P9" s="2215"/>
      <c r="Q9" s="2215"/>
      <c r="R9" s="2216"/>
      <c r="S9" s="2240" t="s">
        <v>456</v>
      </c>
      <c r="T9" s="447"/>
      <c r="CF9" s="618">
        <v>19</v>
      </c>
    </row>
    <row customHeight="1" ht="48.29999999999999">
      <c r="D10" s="664" t="s">
        <v>90</v>
      </c>
      <c r="E10" s="2240" t="s">
        <v>90</v>
      </c>
      <c r="F10" s="2240"/>
      <c r="G10" s="634" t="s">
        <v>457</v>
      </c>
      <c r="H10" s="2240" t="s">
        <v>90</v>
      </c>
      <c r="I10" s="2240"/>
      <c r="J10" s="634" t="s">
        <v>756</v>
      </c>
      <c r="K10" s="634" t="s">
        <v>757</v>
      </c>
      <c r="L10" s="2240" t="s">
        <v>90</v>
      </c>
      <c r="M10" s="2240"/>
      <c r="N10" s="634" t="s">
        <v>758</v>
      </c>
      <c r="O10" s="634" t="s">
        <v>759</v>
      </c>
      <c r="P10" s="634" t="s">
        <v>760</v>
      </c>
      <c r="Q10" s="634" t="s">
        <v>761</v>
      </c>
      <c r="R10" s="634" t="s">
        <v>762</v>
      </c>
      <c r="S10" s="2240"/>
      <c r="T10" s="447"/>
      <c r="CF10" s="618">
        <v>46</v>
      </c>
    </row>
    <row s="8192" customFormat="1" customHeight="1" ht="15" hidden="1">
      <c r="A11" s="1165"/>
      <c r="D11" s="1138" t="s">
        <v>155</v>
      </c>
      <c r="E11" s="1138"/>
      <c r="F11" s="1138" t="s">
        <v>105</v>
      </c>
      <c r="G11" s="1138" t="s">
        <v>92</v>
      </c>
      <c r="H11" s="1138"/>
      <c r="I11" s="1138" t="s">
        <v>93</v>
      </c>
      <c r="J11" s="1138" t="s">
        <v>120</v>
      </c>
      <c r="K11" s="1138" t="s">
        <v>94</v>
      </c>
      <c r="L11" s="1138"/>
      <c r="M11" s="1138" t="s">
        <v>95</v>
      </c>
      <c r="N11" s="1138" t="s">
        <v>134</v>
      </c>
      <c r="O11" s="1138" t="s">
        <v>139</v>
      </c>
      <c r="P11" s="1138" t="s">
        <v>144</v>
      </c>
      <c r="Q11" s="1138" t="s">
        <v>148</v>
      </c>
      <c r="R11" s="1138" t="s">
        <v>153</v>
      </c>
      <c r="S11" s="1138" t="s">
        <v>158</v>
      </c>
      <c r="U11" s="724"/>
      <c r="V11" s="724"/>
      <c r="W11" s="724"/>
      <c r="CF11" s="624">
        <v>0</v>
      </c>
    </row>
    <row s="8113" customFormat="1" customHeight="1" ht="1.05">
      <c r="A12" s="728"/>
      <c r="B12" s="475"/>
      <c r="D12" s="661"/>
      <c r="E12" s="459"/>
      <c r="F12" s="459"/>
      <c r="Q12" s="729"/>
      <c r="R12" s="730"/>
      <c r="T12" s="731"/>
      <c r="U12" s="732"/>
      <c r="V12" s="732"/>
      <c r="W12" s="733"/>
      <c r="X12" s="475"/>
      <c r="Y12" s="475"/>
      <c r="Z12" s="475"/>
      <c r="AA12" s="475"/>
      <c r="CF12" s="622">
        <v>1</v>
      </c>
    </row>
    <row s="8801" customFormat="1" customHeight="1" ht="1.05">
      <c r="A13" s="734"/>
      <c r="B13" s="679"/>
      <c r="D13" s="661" t="s">
        <v>531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8252" customFormat="1" customHeight="1" ht="15" hidden="1">
      <c r="A14" s="736" t="s">
        <v>194</v>
      </c>
      <c r="B14" s="737"/>
      <c r="C14" s="737"/>
      <c r="D14" s="2493" t="s">
        <v>155</v>
      </c>
      <c r="E14" s="2490" t="s">
        <v>186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763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8252" customFormat="1" customHeight="1" ht="15" hidden="1">
      <c r="A15" s="736"/>
      <c r="B15" s="737"/>
      <c r="C15" s="737"/>
      <c r="D15" s="2494"/>
      <c r="E15" s="2490" t="s">
        <v>718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8252" customFormat="1" customHeight="1" ht="15" hidden="1">
      <c r="A16" s="736"/>
      <c r="B16" s="737"/>
      <c r="C16" s="737"/>
      <c r="D16" s="2494"/>
      <c r="E16" s="2490" t="s">
        <v>719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8252" customFormat="1" customHeight="1" ht="22.5" hidden="1">
      <c r="A17" s="746"/>
      <c r="B17" s="530"/>
      <c r="C17" s="525"/>
      <c r="D17" s="2494"/>
      <c r="E17" s="2489" t="s">
        <v>764</v>
      </c>
      <c r="F17" s="2489"/>
      <c r="G17" s="2489"/>
      <c r="H17" s="2489"/>
      <c r="I17" s="2489"/>
      <c r="J17" s="2489"/>
      <c r="K17" s="2489"/>
      <c r="L17" s="2489"/>
      <c r="M17" s="2489"/>
      <c r="N17" s="2489"/>
      <c r="O17" s="2489"/>
      <c r="P17" s="2489"/>
      <c r="Q17" s="671">
        <f>SUMIF(T18:T19,"i",Q18:Q19)</f>
        <v>0</v>
      </c>
      <c r="R17" s="1130"/>
      <c r="S17" s="1010" t="s">
        <v>765</v>
      </c>
      <c r="T17" s="830" t="s">
        <v>766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825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8252"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8252" customFormat="1" customHeight="1" ht="22.5" hidden="1">
      <c r="A20" s="746"/>
      <c r="B20" s="530"/>
      <c r="C20" s="525"/>
      <c r="D20" s="2494"/>
      <c r="E20" s="2489" t="s">
        <v>767</v>
      </c>
      <c r="F20" s="2489"/>
      <c r="G20" s="2489"/>
      <c r="H20" s="2489"/>
      <c r="I20" s="2489"/>
      <c r="J20" s="2489"/>
      <c r="K20" s="2489"/>
      <c r="L20" s="2489"/>
      <c r="M20" s="2489"/>
      <c r="N20" s="2489"/>
      <c r="O20" s="2489"/>
      <c r="P20" s="2489"/>
      <c r="Q20" s="671">
        <f>SUMIF(T21:T22,"i",Q21:Q22)</f>
        <v>0</v>
      </c>
      <c r="R20" s="1130"/>
      <c r="S20" s="822" t="s">
        <v>768</v>
      </c>
      <c r="T20" s="830" t="s">
        <v>766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825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8252"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F4A31-3E92-1555-2F05-BF261CD48AC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121" width="10.7109375" hidden="1" customWidth="1"/>
    <col min="6" max="6" style="8191" width="16.8515625" hidden="1" customWidth="1"/>
    <col min="7" max="7" style="8192" width="5.57421875" hidden="1" customWidth="1"/>
    <col min="8" max="8" style="8113" width="3.00390625" customWidth="1"/>
    <col min="9" max="9" style="8113" width="7.00390625" customWidth="1"/>
    <col min="10" max="10" style="8113" width="56.00390625" customWidth="1"/>
    <col min="11" max="11" style="8113" width="10.00390625" customWidth="1"/>
    <col min="12" max="12" style="8113" width="40.57421875" hidden="1" customWidth="1"/>
    <col min="13" max="13" style="8113" width="40.7109375" customWidth="1"/>
    <col min="14" max="14" style="8191" width="9.7109375" hidden="1" customWidth="1"/>
    <col min="15" max="15" style="8113" width="102.00390625" customWidth="1"/>
    <col min="16" max="16" style="8191" width="9.00390625" customWidth="1"/>
    <col min="17" max="17" style="8192" width="5.00390625" customWidth="1"/>
    <col min="18" max="18" style="8192" width="3.00390625" customWidth="1"/>
    <col min="19" max="22" style="8191" width="3.00390625" customWidth="1"/>
    <col min="23" max="23" style="8192" width="10.00390625" customWidth="1"/>
    <col min="24" max="24" style="8191" width="34.00390625" customWidth="1"/>
    <col min="25" max="25" style="8191" width="9.00390625" customWidth="1"/>
    <col min="26" max="26" style="12122" width="8.00390625" customWidth="1"/>
    <col min="27" max="31" style="8191" width="8.00390625" customWidth="1"/>
    <col min="32" max="36" style="8077" width="8.00390625" customWidth="1"/>
    <col min="37" max="37" style="8113" width="5.421875" hidden="1" customWidth="1"/>
  </cols>
  <sheetData>
    <row s="8191" customFormat="1" customHeight="1" ht="33.75" hidden="1">
      <c r="A1" s="1100"/>
      <c r="B1" s="1100"/>
      <c r="C1" s="1100"/>
      <c r="D1" s="1100"/>
      <c r="E1" s="1100"/>
      <c r="G1" s="1749"/>
      <c r="H1" s="991"/>
      <c r="L1" s="1479">
        <v>4</v>
      </c>
      <c r="M1" s="1479">
        <v>4</v>
      </c>
      <c r="Q1" s="1749"/>
      <c r="R1" s="1749"/>
      <c r="W1" s="1749"/>
      <c r="AK1" s="1479" t="s">
        <v>14</v>
      </c>
    </row>
    <row s="8191" customFormat="1" customHeight="1" ht="78.75" hidden="1">
      <c r="A2" s="1100"/>
      <c r="B2" s="2166" t="s">
        <v>769</v>
      </c>
      <c r="C2" s="2166" t="s">
        <v>770</v>
      </c>
      <c r="D2" s="2165" t="s">
        <v>771</v>
      </c>
      <c r="E2" s="2169">
        <f>RIGHT(I2,LEN(I2)-SEARCH("#",SUBSTITUTE(I2,".","#",LEN(I2)-LEN(SUBSTITUTE(I2,".","")))))</f>
      </c>
      <c r="F2" s="2171">
        <f>J2</f>
        <v>0</v>
      </c>
      <c r="G2" s="1749"/>
      <c r="H2" s="2172"/>
      <c r="I2" s="2162"/>
      <c r="J2" s="653"/>
      <c r="K2" s="2132" t="s">
        <v>710</v>
      </c>
      <c r="L2" s="864"/>
      <c r="M2" s="864"/>
      <c r="N2" s="656"/>
      <c r="O2" s="1638" t="s">
        <v>711</v>
      </c>
      <c r="P2" s="656"/>
      <c r="Q2" s="1749"/>
      <c r="R2" s="1749"/>
      <c r="W2" s="1749"/>
      <c r="Z2" s="657"/>
      <c r="AF2" s="1745"/>
      <c r="AG2" s="1745"/>
      <c r="AH2" s="1745"/>
      <c r="AI2" s="1745"/>
      <c r="AJ2" s="1745"/>
      <c r="AK2" s="1479">
        <v>0</v>
      </c>
    </row>
    <row customHeight="1" ht="11.25" hidden="1">
      <c r="E3" s="2164" t="s">
        <v>772</v>
      </c>
      <c r="L3" s="1744">
        <f>0</f>
        <v>0</v>
      </c>
      <c r="M3" s="1744">
        <v>1</v>
      </c>
      <c r="AK3" s="1744">
        <v>0</v>
      </c>
    </row>
    <row s="807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773</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8192" customFormat="1" customHeight="1" ht="30" hidden="1">
      <c r="A9" s="1280"/>
      <c r="B9" s="1280"/>
      <c r="C9" s="1280"/>
      <c r="E9" s="1280"/>
      <c r="H9" s="1755"/>
      <c r="L9" s="1002"/>
      <c r="M9" s="1002" t="s">
        <v>194</v>
      </c>
      <c r="AK9" s="1749">
        <v>1</v>
      </c>
    </row>
    <row customHeight="1" ht="11.549999999999999">
      <c r="E10" s="2163" t="s">
        <v>774</v>
      </c>
      <c r="I10" s="824"/>
      <c r="J10" s="2480" t="s">
        <v>186</v>
      </c>
      <c r="K10" s="2481"/>
      <c r="L10" s="2142" t="str">
        <f>IF(L9="","",INDEX(DIFFERENTIATION_UNMERGE_VD,MATCH(L9,DIFFERENTIATION_ID_DIFF,0)))</f>
        <v/>
      </c>
      <c r="M10" s="2142">
        <f>IF(M9="","",INDEX(DIFFERENTIATION_UNMERGE_VD,MATCH(M9,DIFFERENTIATION_ID_DIFF,0)))</f>
        <v>0</v>
      </c>
      <c r="O10" s="2240" t="s">
        <v>456</v>
      </c>
      <c r="AK10" s="1744">
        <v>11</v>
      </c>
    </row>
    <row customHeight="1" ht="11.549999999999999">
      <c r="E11" s="2163" t="s">
        <v>775</v>
      </c>
      <c r="I11" s="824"/>
      <c r="J11" s="2480" t="s">
        <v>718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776</v>
      </c>
      <c r="I12" s="1775"/>
      <c r="J12" s="2480" t="s">
        <v>719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777</v>
      </c>
      <c r="F13" s="2163" t="s">
        <v>778</v>
      </c>
      <c r="I13" s="2482" t="s">
        <v>455</v>
      </c>
      <c r="J13" s="2483"/>
      <c r="K13" s="2483"/>
      <c r="L13" s="2140"/>
      <c r="M13" s="2180"/>
      <c r="O13" s="2240"/>
      <c r="AK13" s="1744">
        <v>11</v>
      </c>
    </row>
    <row customHeight="1" ht="24">
      <c r="I14" s="2133" t="s">
        <v>90</v>
      </c>
      <c r="J14" s="2133" t="s">
        <v>457</v>
      </c>
      <c r="K14" s="2133" t="s">
        <v>720</v>
      </c>
      <c r="L14" s="2173" t="s">
        <v>458</v>
      </c>
      <c r="M14" s="2174" t="s">
        <v>458</v>
      </c>
      <c r="O14" s="2240"/>
      <c r="AK14" s="1744">
        <v>23</v>
      </c>
    </row>
    <row customHeight="1" ht="24">
      <c r="A15" s="2167"/>
      <c r="B15" s="2166" t="s">
        <v>779</v>
      </c>
      <c r="C15" s="2166" t="s">
        <v>780</v>
      </c>
      <c r="D15" s="2165" t="s">
        <v>781</v>
      </c>
      <c r="E15" s="2169" t="s">
        <v>782</v>
      </c>
      <c r="F15" s="2169" t="s">
        <v>782</v>
      </c>
      <c r="G15" s="1749" t="s">
        <v>742</v>
      </c>
      <c r="H15" s="2134"/>
      <c r="I15" s="1743">
        <v>1</v>
      </c>
      <c r="J15" s="2135" t="s">
        <v>783</v>
      </c>
      <c r="K15" s="2133" t="s">
        <v>461</v>
      </c>
      <c r="L15" s="775"/>
      <c r="M15" s="931"/>
      <c r="N15" s="656" t="s">
        <v>784</v>
      </c>
      <c r="O15" s="1638" t="s">
        <v>785</v>
      </c>
      <c r="P15" s="656" t="s">
        <v>784</v>
      </c>
      <c r="AK15" s="1744">
        <v>23</v>
      </c>
    </row>
    <row customHeight="1" ht="35.699999999999996">
      <c r="A16" s="2167"/>
      <c r="B16" s="2166" t="s">
        <v>786</v>
      </c>
      <c r="C16" s="2166" t="s">
        <v>787</v>
      </c>
      <c r="D16" s="2165" t="s">
        <v>771</v>
      </c>
      <c r="E16" s="2169" t="s">
        <v>782</v>
      </c>
      <c r="F16" s="2169" t="s">
        <v>782</v>
      </c>
      <c r="H16" s="2134"/>
      <c r="I16" s="1742">
        <v>2</v>
      </c>
      <c r="J16" s="2176" t="s">
        <v>788</v>
      </c>
      <c r="K16" s="2175" t="s">
        <v>710</v>
      </c>
      <c r="L16" s="2181"/>
      <c r="M16" s="1789"/>
      <c r="N16" s="656" t="s">
        <v>784</v>
      </c>
      <c r="O16" s="1638" t="s">
        <v>789</v>
      </c>
      <c r="P16" s="656" t="s">
        <v>784</v>
      </c>
      <c r="AK16" s="1744">
        <v>34</v>
      </c>
    </row>
    <row s="8192" customFormat="1" customHeight="1" ht="17.25" hidden="1">
      <c r="A17" s="1280"/>
      <c r="B17" s="1280"/>
      <c r="C17" s="1280"/>
      <c r="D17" s="1280"/>
      <c r="E17" s="1280"/>
      <c r="H17" s="1437"/>
      <c r="I17" s="1126" t="s">
        <v>790</v>
      </c>
      <c r="J17" s="1104"/>
      <c r="K17" s="1126"/>
      <c r="L17" s="1105"/>
      <c r="M17" s="1105"/>
      <c r="O17" s="1498"/>
      <c r="AK17" s="1749">
        <v>1</v>
      </c>
    </row>
    <row s="8191" customFormat="1" customHeight="1" ht="24">
      <c r="A18" s="1100"/>
      <c r="B18" s="1100"/>
      <c r="C18" s="1100"/>
      <c r="D18" s="1100"/>
      <c r="E18" s="1100"/>
      <c r="G18" s="1749"/>
      <c r="H18" s="1746"/>
      <c r="I18" s="683"/>
      <c r="J18" s="684" t="s">
        <v>740</v>
      </c>
      <c r="K18" s="685"/>
      <c r="L18" s="2183"/>
      <c r="M18" s="686"/>
      <c r="N18" s="656"/>
      <c r="O18" s="1638" t="s">
        <v>741</v>
      </c>
      <c r="P18" s="656"/>
      <c r="Q18" s="1749"/>
      <c r="R18" s="1749"/>
      <c r="W18" s="1749"/>
      <c r="Z18" s="657"/>
      <c r="AF18" s="1745"/>
      <c r="AG18" s="1745"/>
      <c r="AH18" s="1745"/>
      <c r="AI18" s="1745"/>
      <c r="AJ18" s="1745"/>
      <c r="AK18" s="1479">
        <v>23</v>
      </c>
    </row>
    <row customHeight="1" ht="19.95">
      <c r="A19" s="2167"/>
      <c r="B19" s="2166" t="s">
        <v>791</v>
      </c>
      <c r="C19" s="2166" t="s">
        <v>792</v>
      </c>
      <c r="D19" s="2165" t="s">
        <v>771</v>
      </c>
      <c r="E19" s="2169" t="s">
        <v>782</v>
      </c>
      <c r="F19" s="2169" t="s">
        <v>782</v>
      </c>
      <c r="H19" s="2134"/>
      <c r="I19" s="1777">
        <v>3</v>
      </c>
      <c r="J19" s="2135" t="s">
        <v>792</v>
      </c>
      <c r="K19" s="2131" t="s">
        <v>710</v>
      </c>
      <c r="L19" s="840"/>
      <c r="M19" s="670"/>
      <c r="N19" s="656"/>
      <c r="O19" s="1638" t="s">
        <v>793</v>
      </c>
      <c r="P19" s="656"/>
      <c r="AK19" s="1744">
        <v>19</v>
      </c>
    </row>
    <row customHeight="1" ht="77.7">
      <c r="A20" s="2167"/>
      <c r="B20" s="2166" t="s">
        <v>794</v>
      </c>
      <c r="C20" s="2166" t="s">
        <v>795</v>
      </c>
      <c r="D20" s="2165" t="s">
        <v>771</v>
      </c>
      <c r="E20" s="2169" t="s">
        <v>782</v>
      </c>
      <c r="F20" s="2169" t="s">
        <v>782</v>
      </c>
      <c r="H20" s="2134"/>
      <c r="I20" s="1777">
        <v>4</v>
      </c>
      <c r="J20" s="2135" t="s">
        <v>796</v>
      </c>
      <c r="K20" s="2131" t="s">
        <v>737</v>
      </c>
      <c r="L20" s="840"/>
      <c r="M20" s="670"/>
      <c r="N20" s="656"/>
      <c r="O20" s="1638"/>
      <c r="P20" s="656"/>
      <c r="AK20" s="1744">
        <v>74</v>
      </c>
    </row>
    <row customHeight="1" ht="35.699999999999996">
      <c r="A21" s="2167"/>
      <c r="B21" s="2166" t="s">
        <v>797</v>
      </c>
      <c r="C21" s="2166" t="s">
        <v>798</v>
      </c>
      <c r="D21" s="2165" t="s">
        <v>771</v>
      </c>
      <c r="E21" s="2169" t="s">
        <v>782</v>
      </c>
      <c r="F21" s="2169" t="s">
        <v>782</v>
      </c>
      <c r="H21" s="2134"/>
      <c r="I21" s="1777">
        <v>5</v>
      </c>
      <c r="J21" s="2135" t="s">
        <v>799</v>
      </c>
      <c r="K21" s="2131" t="s">
        <v>737</v>
      </c>
      <c r="L21" s="840"/>
      <c r="M21" s="670"/>
      <c r="N21" s="656"/>
      <c r="O21" s="1638" t="s">
        <v>793</v>
      </c>
      <c r="P21" s="656"/>
      <c r="AK21" s="1744">
        <v>34</v>
      </c>
    </row>
    <row customHeight="1" ht="48.29999999999999">
      <c r="A22" s="2167"/>
      <c r="B22" s="2166" t="s">
        <v>800</v>
      </c>
      <c r="C22" s="2166" t="s">
        <v>801</v>
      </c>
      <c r="D22" s="2165" t="s">
        <v>771</v>
      </c>
      <c r="E22" s="2169" t="s">
        <v>782</v>
      </c>
      <c r="F22" s="2169" t="s">
        <v>782</v>
      </c>
      <c r="H22" s="2134"/>
      <c r="I22" s="1777">
        <v>6</v>
      </c>
      <c r="J22" s="2135" t="s">
        <v>802</v>
      </c>
      <c r="K22" s="2131" t="s">
        <v>737</v>
      </c>
      <c r="L22" s="840"/>
      <c r="M22" s="670"/>
      <c r="N22" s="656"/>
      <c r="O22" s="1638" t="s">
        <v>803</v>
      </c>
      <c r="P22" s="656"/>
      <c r="AK22" s="1744">
        <v>46</v>
      </c>
    </row>
    <row customHeight="1" ht="19.95">
      <c r="A23" s="2167"/>
      <c r="B23" s="2166" t="s">
        <v>804</v>
      </c>
      <c r="C23" s="2166" t="s">
        <v>805</v>
      </c>
      <c r="D23" s="2165" t="s">
        <v>771</v>
      </c>
      <c r="E23" s="2169" t="s">
        <v>782</v>
      </c>
      <c r="F23" s="2169" t="s">
        <v>782</v>
      </c>
      <c r="H23" s="2134"/>
      <c r="I23" s="1777" t="s">
        <v>806</v>
      </c>
      <c r="J23" s="1637" t="s">
        <v>807</v>
      </c>
      <c r="K23" s="2131" t="s">
        <v>737</v>
      </c>
      <c r="L23" s="840"/>
      <c r="M23" s="670"/>
      <c r="N23" s="656"/>
      <c r="O23" s="1638" t="s">
        <v>793</v>
      </c>
      <c r="P23" s="656"/>
      <c r="AK23" s="1744">
        <v>19</v>
      </c>
    </row>
    <row customHeight="1" ht="19.95">
      <c r="A24" s="2167"/>
      <c r="B24" s="2166" t="s">
        <v>808</v>
      </c>
      <c r="C24" s="2166" t="s">
        <v>809</v>
      </c>
      <c r="D24" s="2165" t="s">
        <v>771</v>
      </c>
      <c r="E24" s="2169" t="s">
        <v>782</v>
      </c>
      <c r="F24" s="2169" t="s">
        <v>782</v>
      </c>
      <c r="H24" s="2134"/>
      <c r="I24" s="1777" t="s">
        <v>810</v>
      </c>
      <c r="J24" s="1637" t="s">
        <v>811</v>
      </c>
      <c r="K24" s="2131" t="s">
        <v>737</v>
      </c>
      <c r="L24" s="840"/>
      <c r="M24" s="670"/>
      <c r="N24" s="656"/>
      <c r="O24" s="1638"/>
      <c r="P24" s="656"/>
      <c r="AK24" s="1744">
        <v>19</v>
      </c>
    </row>
    <row customHeight="1" ht="24">
      <c r="A25" s="2167"/>
      <c r="B25" s="2166" t="s">
        <v>812</v>
      </c>
      <c r="C25" s="2166" t="s">
        <v>813</v>
      </c>
      <c r="D25" s="2165" t="s">
        <v>771</v>
      </c>
      <c r="E25" s="2169" t="s">
        <v>782</v>
      </c>
      <c r="F25" s="2169" t="s">
        <v>782</v>
      </c>
      <c r="H25" s="2134"/>
      <c r="I25" s="1777" t="s">
        <v>814</v>
      </c>
      <c r="J25" s="1637" t="s">
        <v>815</v>
      </c>
      <c r="K25" s="2131" t="s">
        <v>737</v>
      </c>
      <c r="L25" s="840"/>
      <c r="M25" s="670"/>
      <c r="N25" s="656"/>
      <c r="O25" s="1638"/>
      <c r="P25" s="656"/>
      <c r="AK25" s="1744">
        <v>23</v>
      </c>
    </row>
    <row customHeight="1" ht="24">
      <c r="A26" s="2167"/>
      <c r="B26" s="2166" t="s">
        <v>816</v>
      </c>
      <c r="C26" s="2166" t="s">
        <v>817</v>
      </c>
      <c r="D26" s="2165" t="s">
        <v>771</v>
      </c>
      <c r="E26" s="2169" t="s">
        <v>782</v>
      </c>
      <c r="F26" s="2169" t="s">
        <v>782</v>
      </c>
      <c r="H26" s="2134"/>
      <c r="I26" s="1777">
        <v>7</v>
      </c>
      <c r="J26" s="2135" t="s">
        <v>817</v>
      </c>
      <c r="K26" s="2131" t="s">
        <v>818</v>
      </c>
      <c r="L26" s="840"/>
      <c r="M26" s="670"/>
      <c r="N26" s="656"/>
      <c r="O26" s="1638"/>
      <c r="P26" s="656"/>
      <c r="AK26" s="1744">
        <v>23</v>
      </c>
    </row>
    <row customHeight="1" ht="24">
      <c r="A27" s="2167"/>
      <c r="B27" s="2166" t="s">
        <v>819</v>
      </c>
      <c r="C27" s="2166" t="s">
        <v>820</v>
      </c>
      <c r="D27" s="2165" t="s">
        <v>771</v>
      </c>
      <c r="E27" s="2169" t="s">
        <v>782</v>
      </c>
      <c r="F27" s="2169" t="s">
        <v>782</v>
      </c>
      <c r="H27" s="2134"/>
      <c r="I27" s="1777">
        <v>8</v>
      </c>
      <c r="J27" s="2135" t="s">
        <v>820</v>
      </c>
      <c r="K27" s="2131" t="s">
        <v>743</v>
      </c>
      <c r="L27" s="840"/>
      <c r="M27" s="670"/>
      <c r="N27" s="656"/>
      <c r="O27" s="1638"/>
      <c r="P27" s="656"/>
      <c r="AK27" s="1744">
        <v>23</v>
      </c>
    </row>
    <row customHeight="1" ht="35.699999999999996">
      <c r="A28" s="2167"/>
      <c r="B28" s="2166" t="s">
        <v>821</v>
      </c>
      <c r="C28" s="2166" t="s">
        <v>822</v>
      </c>
      <c r="D28" s="2165" t="s">
        <v>771</v>
      </c>
      <c r="E28" s="2169" t="s">
        <v>782</v>
      </c>
      <c r="F28" s="2169" t="s">
        <v>782</v>
      </c>
      <c r="H28" s="2134"/>
      <c r="I28" s="1788">
        <v>9</v>
      </c>
      <c r="J28" s="2135" t="s">
        <v>823</v>
      </c>
      <c r="K28" s="2131" t="s">
        <v>714</v>
      </c>
      <c r="L28" s="840"/>
      <c r="M28" s="670"/>
      <c r="N28" s="656"/>
      <c r="O28" s="1638"/>
      <c r="P28" s="656"/>
      <c r="AK28" s="1744">
        <v>34</v>
      </c>
    </row>
    <row customHeight="1" ht="35.699999999999996">
      <c r="A29" s="2167"/>
      <c r="B29" s="2166" t="s">
        <v>824</v>
      </c>
      <c r="C29" s="2166" t="s">
        <v>825</v>
      </c>
      <c r="D29" s="2165" t="s">
        <v>771</v>
      </c>
      <c r="E29" s="2169" t="s">
        <v>782</v>
      </c>
      <c r="F29" s="2169" t="s">
        <v>782</v>
      </c>
      <c r="H29" s="2134"/>
      <c r="I29" s="1788">
        <v>10</v>
      </c>
      <c r="J29" s="2135" t="s">
        <v>826</v>
      </c>
      <c r="K29" s="2131" t="s">
        <v>714</v>
      </c>
      <c r="L29" s="840"/>
      <c r="M29" s="670"/>
      <c r="N29" s="656"/>
      <c r="O29" s="1638"/>
      <c r="P29" s="656"/>
      <c r="AK29" s="1744">
        <v>34</v>
      </c>
    </row>
    <row customHeight="1" ht="24">
      <c r="A30" s="2167"/>
      <c r="B30" s="2166" t="s">
        <v>827</v>
      </c>
      <c r="C30" s="2166" t="s">
        <v>828</v>
      </c>
      <c r="D30" s="2165" t="s">
        <v>771</v>
      </c>
      <c r="E30" s="2169" t="s">
        <v>782</v>
      </c>
      <c r="F30" s="2169" t="s">
        <v>782</v>
      </c>
      <c r="H30" s="2134"/>
      <c r="I30" s="1788">
        <v>11</v>
      </c>
      <c r="J30" s="2135" t="s">
        <v>828</v>
      </c>
      <c r="K30" s="2131" t="s">
        <v>744</v>
      </c>
      <c r="L30" s="2182"/>
      <c r="M30" s="1734"/>
      <c r="N30" s="656"/>
      <c r="O30" s="1638"/>
      <c r="P30" s="656"/>
      <c r="AK30" s="1744">
        <v>23</v>
      </c>
    </row>
    <row customHeight="1" ht="24">
      <c r="A31" s="2167"/>
      <c r="B31" s="2166" t="s">
        <v>829</v>
      </c>
      <c r="C31" s="2166" t="s">
        <v>830</v>
      </c>
      <c r="D31" s="2165" t="s">
        <v>771</v>
      </c>
      <c r="E31" s="2169" t="s">
        <v>782</v>
      </c>
      <c r="F31" s="2169" t="s">
        <v>782</v>
      </c>
      <c r="H31" s="2134"/>
      <c r="I31" s="1788">
        <v>12</v>
      </c>
      <c r="J31" s="2135" t="s">
        <v>830</v>
      </c>
      <c r="K31" s="2131" t="s">
        <v>744</v>
      </c>
      <c r="L31" s="2182"/>
      <c r="M31" s="1734"/>
      <c r="N31" s="656"/>
      <c r="O31" s="1638"/>
      <c r="P31" s="656"/>
      <c r="AK31" s="1744">
        <v>23</v>
      </c>
    </row>
    <row customHeight="1" ht="48.29999999999999">
      <c r="A32" s="2167"/>
      <c r="B32" s="2166" t="s">
        <v>831</v>
      </c>
      <c r="C32" s="2166" t="s">
        <v>832</v>
      </c>
      <c r="D32" s="2165" t="s">
        <v>771</v>
      </c>
      <c r="E32" s="2169" t="s">
        <v>782</v>
      </c>
      <c r="F32" s="2169" t="s">
        <v>782</v>
      </c>
      <c r="H32" s="2134"/>
      <c r="I32" s="1788">
        <v>13</v>
      </c>
      <c r="J32" s="2135" t="s">
        <v>833</v>
      </c>
      <c r="K32" s="2131" t="s">
        <v>754</v>
      </c>
      <c r="L32" s="840"/>
      <c r="M32" s="670"/>
      <c r="N32" s="656"/>
      <c r="O32" s="1638" t="s">
        <v>793</v>
      </c>
      <c r="P32" s="656"/>
      <c r="AK32" s="1744">
        <v>46</v>
      </c>
    </row>
    <row s="8191" customFormat="1" customHeight="1" ht="48.29999999999999">
      <c r="A33" s="2167"/>
      <c r="B33" s="2166" t="s">
        <v>834</v>
      </c>
      <c r="C33" s="2166" t="s">
        <v>835</v>
      </c>
      <c r="D33" s="2165" t="s">
        <v>771</v>
      </c>
      <c r="E33" s="2169" t="s">
        <v>782</v>
      </c>
      <c r="F33" s="2169" t="s">
        <v>782</v>
      </c>
      <c r="G33" s="1749"/>
      <c r="H33" s="2134"/>
      <c r="I33" s="1788">
        <v>14</v>
      </c>
      <c r="J33" s="2147" t="s">
        <v>836</v>
      </c>
      <c r="K33" s="2136" t="s">
        <v>837</v>
      </c>
      <c r="L33" s="840"/>
      <c r="M33" s="670"/>
      <c r="N33" s="656"/>
      <c r="O33" s="1638" t="s">
        <v>793</v>
      </c>
      <c r="P33" s="656"/>
      <c r="Q33" s="1749"/>
      <c r="R33" s="1749"/>
      <c r="W33" s="1749"/>
      <c r="Z33" s="657"/>
      <c r="AF33" s="1745"/>
      <c r="AG33" s="1745"/>
      <c r="AH33" s="1745"/>
      <c r="AI33" s="1745"/>
      <c r="AJ33" s="1745"/>
      <c r="AK33" s="1479">
        <v>46</v>
      </c>
    </row>
    <row customHeight="1" ht="108">
      <c r="A34" s="2167"/>
      <c r="B34" s="2166" t="s">
        <v>838</v>
      </c>
      <c r="C34" s="2166" t="s">
        <v>839</v>
      </c>
      <c r="D34" s="2165" t="s">
        <v>781</v>
      </c>
      <c r="E34" s="2169" t="s">
        <v>782</v>
      </c>
      <c r="F34" s="2169" t="s">
        <v>782</v>
      </c>
      <c r="G34" s="1749" t="s">
        <v>742</v>
      </c>
      <c r="H34" s="2134"/>
      <c r="I34" s="2145">
        <v>15</v>
      </c>
      <c r="J34" s="2146" t="s">
        <v>840</v>
      </c>
      <c r="K34" s="2131" t="s">
        <v>461</v>
      </c>
      <c r="L34" s="498"/>
      <c r="M34" s="1277"/>
      <c r="N34" s="656"/>
      <c r="O34" s="1638" t="s">
        <v>785</v>
      </c>
      <c r="P34" s="656"/>
      <c r="AK34" s="1744">
        <v>103</v>
      </c>
    </row>
    <row s="880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880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880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880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880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880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880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880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880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880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880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880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880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880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880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880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880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880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880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880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880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880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880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880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880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880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880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880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880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880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880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880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880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880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880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880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880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880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880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880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880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880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880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880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880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880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880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880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880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880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880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880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880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880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880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880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880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880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880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880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880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880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880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880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880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880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880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880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880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880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880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880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880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880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880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880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880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880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880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880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880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880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880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880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880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880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880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880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880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880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880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880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880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880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880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880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880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880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880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880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880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880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880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880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880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880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880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880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880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880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880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880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880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880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880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880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880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880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880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880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880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880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880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880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880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880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880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880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880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880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880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880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880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880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880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880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880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880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880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880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880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880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880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880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880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880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880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880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880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880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880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880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880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880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880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144</v>
      </c>
      <c r="C204" s="1100" t="s">
        <v>144</v>
      </c>
      <c r="D204" s="1100" t="s">
        <v>144</v>
      </c>
      <c r="E204" s="1100" t="s">
        <v>144</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58124-744A-45B4-60D2-4FBEF1A5DDD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13" width="10.57421875" hidden="1"/>
    <col min="5" max="5" style="9045" width="9.140625" hidden="1" customWidth="1"/>
    <col min="6" max="7" style="8191" width="9.140625" hidden="1" customWidth="1"/>
    <col min="8" max="8" style="9046" width="3.00390625" customWidth="1"/>
    <col min="9" max="9" style="8113" width="6.00390625" customWidth="1"/>
    <col min="10" max="10" style="8113" width="63.00390625" customWidth="1"/>
    <col min="11" max="11" style="8113" width="9.00390625" customWidth="1"/>
    <col min="12" max="12" style="8113" width="39.00390625" customWidth="1"/>
    <col min="13" max="13" style="8113" width="89.00390625" customWidth="1"/>
    <col min="14" max="14" style="8113" width="10.00390625" customWidth="1"/>
    <col min="15" max="16" style="8291" width="10.00390625" customWidth="1"/>
    <col min="17" max="22" style="8113" width="10.00390625" customWidth="1"/>
    <col min="23" max="23" style="8113" width="10.57421875" hidden="1"/>
  </cols>
  <sheetData>
    <row customHeight="1" ht="22.5" hidden="1">
      <c r="S1" s="368"/>
      <c r="T1" s="368"/>
      <c r="V1" s="368"/>
      <c r="W1" s="1744" t="s">
        <v>14</v>
      </c>
    </row>
    <row customHeight="1" ht="22.5" hidden="1">
      <c r="B2" s="2166" t="s">
        <v>841</v>
      </c>
      <c r="C2" s="2166" t="s">
        <v>842</v>
      </c>
      <c r="D2" s="2165" t="s">
        <v>781</v>
      </c>
      <c r="E2" s="2171">
        <f>I2-3</f>
        <v>-3</v>
      </c>
      <c r="F2" s="2171">
        <f>J2</f>
        <v>0</v>
      </c>
      <c r="H2" s="1843" t="s">
        <v>106</v>
      </c>
      <c r="I2" s="2137"/>
      <c r="J2" s="1795"/>
      <c r="K2" s="2131" t="s">
        <v>461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843</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455</v>
      </c>
      <c r="J8" s="2500"/>
      <c r="K8" s="2500"/>
      <c r="L8" s="2501"/>
      <c r="M8" s="2502" t="s">
        <v>456</v>
      </c>
      <c r="W8" s="1744">
        <v>14</v>
      </c>
    </row>
    <row customHeight="1" ht="35.699999999999996">
      <c r="E9" s="2164" t="s">
        <v>772</v>
      </c>
      <c r="F9" s="2164" t="s">
        <v>778</v>
      </c>
      <c r="H9" s="489"/>
      <c r="I9" s="2138" t="s">
        <v>90</v>
      </c>
      <c r="J9" s="2139" t="s">
        <v>457</v>
      </c>
      <c r="K9" s="2177" t="s">
        <v>720</v>
      </c>
      <c r="L9" s="2178" t="s">
        <v>458</v>
      </c>
      <c r="M9" s="2502"/>
      <c r="W9" s="1744">
        <v>34</v>
      </c>
    </row>
    <row customHeight="1" ht="35.699999999999996">
      <c r="B10" s="2166" t="s">
        <v>844</v>
      </c>
      <c r="C10" s="2166" t="s">
        <v>845</v>
      </c>
      <c r="D10" s="2165" t="s">
        <v>781</v>
      </c>
      <c r="E10" s="2169" t="s">
        <v>782</v>
      </c>
      <c r="F10" s="2169" t="s">
        <v>782</v>
      </c>
      <c r="H10" s="489"/>
      <c r="I10" s="2137" t="s">
        <v>155</v>
      </c>
      <c r="J10" s="1999" t="s">
        <v>846</v>
      </c>
      <c r="K10" s="2131" t="s">
        <v>461</v>
      </c>
      <c r="L10" s="931"/>
      <c r="M10" s="410" t="s">
        <v>847</v>
      </c>
      <c r="W10" s="1744">
        <v>34</v>
      </c>
    </row>
    <row customHeight="1" ht="50.25">
      <c r="B11" s="2166" t="s">
        <v>848</v>
      </c>
      <c r="C11" s="2166" t="s">
        <v>849</v>
      </c>
      <c r="D11" s="2165" t="s">
        <v>781</v>
      </c>
      <c r="E11" s="2169" t="s">
        <v>782</v>
      </c>
      <c r="F11" s="2169" t="s">
        <v>782</v>
      </c>
      <c r="H11" s="489"/>
      <c r="I11" s="2137" t="s">
        <v>105</v>
      </c>
      <c r="J11" s="1999" t="s">
        <v>850</v>
      </c>
      <c r="K11" s="2131" t="s">
        <v>461</v>
      </c>
      <c r="L11" s="931"/>
      <c r="M11" s="410" t="s">
        <v>847</v>
      </c>
      <c r="W11" s="1744">
        <v>48</v>
      </c>
    </row>
    <row customHeight="1" ht="48.29999999999999">
      <c r="B12" s="2166" t="s">
        <v>851</v>
      </c>
      <c r="C12" s="2166" t="s">
        <v>852</v>
      </c>
      <c r="D12" s="2165" t="s">
        <v>781</v>
      </c>
      <c r="E12" s="2169" t="s">
        <v>782</v>
      </c>
      <c r="F12" s="2169" t="s">
        <v>782</v>
      </c>
      <c r="H12" s="1801"/>
      <c r="I12" s="2137" t="s">
        <v>92</v>
      </c>
      <c r="J12" s="2144" t="s">
        <v>853</v>
      </c>
      <c r="K12" s="2131" t="s">
        <v>461</v>
      </c>
      <c r="L12" s="931"/>
      <c r="M12" s="410" t="s">
        <v>854</v>
      </c>
      <c r="N12" s="1737"/>
      <c r="P12" s="1744"/>
      <c r="W12" s="1744">
        <v>46</v>
      </c>
    </row>
    <row customHeight="1" ht="14.699999999999998">
      <c r="E13" s="456"/>
      <c r="H13" s="489"/>
      <c r="I13" s="460"/>
      <c r="J13" s="764" t="s">
        <v>855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139</v>
      </c>
      <c r="F16" s="2168" t="s">
        <v>139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5E80C-C9AF-E1DE-2F39-7ECA5BBEA5E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121" width="10.7109375" hidden="1" customWidth="1"/>
    <col min="2" max="2" style="8191" width="16.8515625" hidden="1" customWidth="1"/>
    <col min="3" max="3" style="8192" width="5.57421875" hidden="1" customWidth="1"/>
    <col min="4" max="4" style="8113" width="3.00390625" customWidth="1"/>
    <col min="5" max="5" style="8113" width="7.00390625" customWidth="1"/>
    <col min="6" max="6" style="8113" width="56.00390625" customWidth="1"/>
    <col min="7" max="7" style="8113" width="10.00390625" customWidth="1"/>
    <col min="8" max="8" style="8113" width="40.7109375" hidden="1" customWidth="1"/>
    <col min="9" max="9" style="8113" width="40.00390625" customWidth="1"/>
    <col min="10" max="10" style="8113" width="102.00390625" customWidth="1"/>
    <col min="11" max="11" style="8191" width="9.00390625" customWidth="1"/>
    <col min="12" max="12" style="8192" width="5.00390625" customWidth="1"/>
    <col min="13" max="13" style="8192" width="3.00390625" customWidth="1"/>
    <col min="14" max="17" style="8191" width="3.00390625" customWidth="1"/>
    <col min="18" max="18" style="8192" width="10.00390625" customWidth="1"/>
    <col min="19" max="19" style="8191" width="34.00390625" customWidth="1"/>
    <col min="20" max="20" style="8191" width="9.00390625" customWidth="1"/>
    <col min="21" max="21" style="12122" width="8.00390625" customWidth="1"/>
    <col min="22" max="26" style="8191" width="8.00390625" customWidth="1"/>
    <col min="27" max="31" style="8077" width="8.00390625" customWidth="1"/>
    <col min="32" max="32" style="8113" width="10.421875" hidden="1" customWidth="1"/>
  </cols>
  <sheetData>
    <row s="8191" customFormat="1" customHeight="1" ht="22.5" hidden="1">
      <c r="A1" s="1100"/>
      <c r="C1" s="1749"/>
      <c r="D1" s="650"/>
      <c r="H1" s="1273">
        <v>4</v>
      </c>
      <c r="I1" s="1273">
        <v>4</v>
      </c>
      <c r="L1" s="1749"/>
      <c r="M1" s="1749"/>
      <c r="R1" s="1749"/>
      <c r="AF1" s="1273" t="s">
        <v>14</v>
      </c>
    </row>
    <row s="8191" customFormat="1" customHeight="1" ht="22.5" hidden="1">
      <c r="A2" s="1100"/>
      <c r="C2" s="1749"/>
      <c r="D2" s="651"/>
      <c r="E2" s="1750"/>
      <c r="F2" s="653"/>
      <c r="G2" s="1752" t="s">
        <v>706</v>
      </c>
      <c r="H2" s="654"/>
      <c r="I2" s="654"/>
      <c r="J2" s="655" t="s">
        <v>856</v>
      </c>
      <c r="K2" s="656"/>
      <c r="L2" s="1749"/>
      <c r="M2" s="1749"/>
      <c r="R2" s="1749"/>
      <c r="U2" s="657"/>
      <c r="AA2" s="1745"/>
      <c r="AB2" s="1745"/>
      <c r="AC2" s="1745"/>
      <c r="AD2" s="1745"/>
      <c r="AE2" s="1745"/>
      <c r="AF2" s="1273">
        <v>0</v>
      </c>
    </row>
    <row customHeight="1" ht="11.25" hidden="1">
      <c r="AF3" s="1744">
        <v>0</v>
      </c>
    </row>
    <row s="807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857</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8192" customFormat="1" customHeight="1" ht="4.2">
      <c r="A9" s="1280"/>
      <c r="D9" s="1755"/>
      <c r="H9" s="1002"/>
      <c r="I9" s="1002" t="s">
        <v>194</v>
      </c>
      <c r="AF9" s="1749">
        <v>4</v>
      </c>
    </row>
    <row customHeight="1" ht="11.549999999999999">
      <c r="E10" s="824"/>
      <c r="F10" s="2480" t="s">
        <v>186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718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719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455</v>
      </c>
      <c r="F13" s="2483"/>
      <c r="G13" s="2483"/>
      <c r="H13" s="1664"/>
      <c r="I13" s="1664"/>
      <c r="J13" s="2240"/>
      <c r="AF13" s="1744">
        <v>11</v>
      </c>
    </row>
    <row customHeight="1" ht="24">
      <c r="E14" s="1752" t="s">
        <v>90</v>
      </c>
      <c r="F14" s="1747" t="s">
        <v>457</v>
      </c>
      <c r="G14" s="1747" t="s">
        <v>720</v>
      </c>
      <c r="H14" s="1747" t="s">
        <v>458</v>
      </c>
      <c r="I14" s="1747" t="s">
        <v>458</v>
      </c>
      <c r="J14" s="2240"/>
      <c r="AF14" s="1744">
        <v>23</v>
      </c>
    </row>
    <row customHeight="1" ht="19.95">
      <c r="D15" s="1751"/>
      <c r="E15" s="1743" t="s">
        <v>155</v>
      </c>
      <c r="F15" s="820" t="s">
        <v>858</v>
      </c>
      <c r="G15" s="1759" t="s">
        <v>706</v>
      </c>
      <c r="H15" s="670"/>
      <c r="I15" s="670"/>
      <c r="J15" s="402" t="s">
        <v>859</v>
      </c>
      <c r="K15" s="656" t="s">
        <v>784</v>
      </c>
      <c r="AF15" s="1744">
        <v>19</v>
      </c>
    </row>
    <row customHeight="1" ht="35.699999999999996">
      <c r="D16" s="1751"/>
      <c r="E16" s="1743" t="s">
        <v>105</v>
      </c>
      <c r="F16" s="820" t="s">
        <v>860</v>
      </c>
      <c r="G16" s="1759" t="s">
        <v>706</v>
      </c>
      <c r="H16" s="671">
        <f>SUM(H17,H20:H32)</f>
        <v>0</v>
      </c>
      <c r="I16" s="671">
        <f>SUM(I17,I20,I23,I26,I29:I32)</f>
        <v>0</v>
      </c>
      <c r="J16" s="402" t="s">
        <v>861</v>
      </c>
      <c r="K16" s="656" t="s">
        <v>784</v>
      </c>
      <c r="AF16" s="1744">
        <v>34</v>
      </c>
    </row>
    <row customHeight="1" ht="19.95">
      <c r="D17" s="1751"/>
      <c r="E17" s="1777" t="s">
        <v>862</v>
      </c>
      <c r="F17" s="1067" t="s">
        <v>863</v>
      </c>
      <c r="G17" s="1756" t="s">
        <v>706</v>
      </c>
      <c r="H17" s="670"/>
      <c r="I17" s="670"/>
      <c r="J17" s="402" t="s">
        <v>864</v>
      </c>
      <c r="K17" s="656"/>
      <c r="AF17" s="1744">
        <v>19</v>
      </c>
    </row>
    <row customHeight="1" ht="24">
      <c r="D18" s="1751"/>
      <c r="E18" s="1777" t="s">
        <v>865</v>
      </c>
      <c r="F18" s="1763" t="s">
        <v>866</v>
      </c>
      <c r="G18" s="1756" t="s">
        <v>706</v>
      </c>
      <c r="H18" s="670"/>
      <c r="I18" s="670"/>
      <c r="J18" s="402" t="s">
        <v>867</v>
      </c>
      <c r="K18" s="656"/>
      <c r="AF18" s="1744">
        <v>23</v>
      </c>
    </row>
    <row customHeight="1" ht="35.699999999999996">
      <c r="D19" s="1751"/>
      <c r="E19" s="1777" t="s">
        <v>868</v>
      </c>
      <c r="F19" s="1763" t="s">
        <v>869</v>
      </c>
      <c r="G19" s="1756" t="s">
        <v>706</v>
      </c>
      <c r="H19" s="670"/>
      <c r="I19" s="670"/>
      <c r="J19" s="402"/>
      <c r="K19" s="656"/>
      <c r="AF19" s="1744">
        <v>34</v>
      </c>
    </row>
    <row customHeight="1" ht="19.95">
      <c r="D20" s="1751"/>
      <c r="E20" s="1777" t="s">
        <v>462</v>
      </c>
      <c r="F20" s="1067" t="s">
        <v>870</v>
      </c>
      <c r="G20" s="1756" t="s">
        <v>706</v>
      </c>
      <c r="H20" s="670"/>
      <c r="I20" s="670"/>
      <c r="J20" s="402" t="s">
        <v>871</v>
      </c>
      <c r="K20" s="656"/>
      <c r="AF20" s="1744">
        <v>19</v>
      </c>
    </row>
    <row customHeight="1" ht="19.95">
      <c r="D21" s="1751"/>
      <c r="E21" s="1777" t="s">
        <v>872</v>
      </c>
      <c r="F21" s="1763" t="s">
        <v>873</v>
      </c>
      <c r="G21" s="1756" t="s">
        <v>706</v>
      </c>
      <c r="H21" s="670"/>
      <c r="I21" s="670"/>
      <c r="J21" s="402"/>
      <c r="K21" s="656"/>
      <c r="AF21" s="1744">
        <v>19</v>
      </c>
    </row>
    <row customHeight="1" ht="19.95">
      <c r="D22" s="1751"/>
      <c r="E22" s="1777" t="s">
        <v>874</v>
      </c>
      <c r="F22" s="1763" t="s">
        <v>875</v>
      </c>
      <c r="G22" s="1756" t="s">
        <v>706</v>
      </c>
      <c r="H22" s="670"/>
      <c r="I22" s="670"/>
      <c r="J22" s="402"/>
      <c r="K22" s="656"/>
      <c r="AF22" s="1744">
        <v>19</v>
      </c>
    </row>
    <row customHeight="1" ht="24">
      <c r="D23" s="1751"/>
      <c r="E23" s="1777" t="s">
        <v>465</v>
      </c>
      <c r="F23" s="1067" t="s">
        <v>876</v>
      </c>
      <c r="G23" s="1756" t="s">
        <v>706</v>
      </c>
      <c r="H23" s="670"/>
      <c r="I23" s="670"/>
      <c r="J23" s="402" t="s">
        <v>877</v>
      </c>
      <c r="K23" s="656"/>
      <c r="AF23" s="1744">
        <v>23</v>
      </c>
    </row>
    <row customHeight="1" ht="19.95">
      <c r="D24" s="1751"/>
      <c r="E24" s="1777" t="s">
        <v>878</v>
      </c>
      <c r="F24" s="1763" t="s">
        <v>879</v>
      </c>
      <c r="G24" s="1756" t="s">
        <v>706</v>
      </c>
      <c r="H24" s="670"/>
      <c r="I24" s="670"/>
      <c r="J24" s="402"/>
      <c r="K24" s="656"/>
      <c r="AF24" s="1744">
        <v>19</v>
      </c>
    </row>
    <row customHeight="1" ht="35.699999999999996">
      <c r="D25" s="1751"/>
      <c r="E25" s="1777" t="s">
        <v>880</v>
      </c>
      <c r="F25" s="1763" t="s">
        <v>881</v>
      </c>
      <c r="G25" s="1756" t="s">
        <v>706</v>
      </c>
      <c r="H25" s="670"/>
      <c r="I25" s="670"/>
      <c r="J25" s="402"/>
      <c r="K25" s="656"/>
      <c r="AF25" s="1744">
        <v>34</v>
      </c>
    </row>
    <row customHeight="1" ht="24">
      <c r="D26" s="1751"/>
      <c r="E26" s="1777" t="s">
        <v>882</v>
      </c>
      <c r="F26" s="1067" t="s">
        <v>883</v>
      </c>
      <c r="G26" s="1756" t="s">
        <v>706</v>
      </c>
      <c r="H26" s="670"/>
      <c r="I26" s="670"/>
      <c r="J26" s="402" t="s">
        <v>884</v>
      </c>
      <c r="K26" s="656"/>
      <c r="AF26" s="1744">
        <v>23</v>
      </c>
    </row>
    <row customHeight="1" ht="19.95">
      <c r="D27" s="1751"/>
      <c r="E27" s="1788" t="s">
        <v>885</v>
      </c>
      <c r="F27" s="1763" t="s">
        <v>886</v>
      </c>
      <c r="G27" s="1767" t="s">
        <v>706</v>
      </c>
      <c r="H27" s="1789"/>
      <c r="I27" s="1789"/>
      <c r="J27" s="402"/>
      <c r="K27" s="656"/>
      <c r="AF27" s="1744">
        <v>19</v>
      </c>
    </row>
    <row customHeight="1" ht="19.95">
      <c r="D28" s="1751"/>
      <c r="E28" s="1788" t="s">
        <v>887</v>
      </c>
      <c r="F28" s="1763" t="s">
        <v>888</v>
      </c>
      <c r="G28" s="1767" t="s">
        <v>706</v>
      </c>
      <c r="H28" s="1789"/>
      <c r="I28" s="1789"/>
      <c r="J28" s="402"/>
      <c r="K28" s="656"/>
      <c r="AF28" s="1744">
        <v>19</v>
      </c>
    </row>
    <row customHeight="1" ht="19.95">
      <c r="D29" s="1751"/>
      <c r="E29" s="1788" t="s">
        <v>889</v>
      </c>
      <c r="F29" s="1067" t="s">
        <v>890</v>
      </c>
      <c r="G29" s="1767" t="s">
        <v>706</v>
      </c>
      <c r="H29" s="1789"/>
      <c r="I29" s="1789"/>
      <c r="J29" s="402"/>
      <c r="K29" s="656"/>
      <c r="AF29" s="1744">
        <v>19</v>
      </c>
    </row>
    <row customHeight="1" ht="19.95">
      <c r="D30" s="1751"/>
      <c r="E30" s="1788" t="s">
        <v>891</v>
      </c>
      <c r="F30" s="1067" t="s">
        <v>892</v>
      </c>
      <c r="G30" s="1767" t="s">
        <v>706</v>
      </c>
      <c r="H30" s="1789"/>
      <c r="I30" s="1789"/>
      <c r="J30" s="402"/>
      <c r="K30" s="656"/>
      <c r="AF30" s="1744">
        <v>19</v>
      </c>
    </row>
    <row customHeight="1" ht="19.95">
      <c r="D31" s="1751"/>
      <c r="E31" s="1788" t="s">
        <v>893</v>
      </c>
      <c r="F31" s="1067" t="s">
        <v>894</v>
      </c>
      <c r="G31" s="1767" t="s">
        <v>706</v>
      </c>
      <c r="H31" s="1789"/>
      <c r="I31" s="1789"/>
      <c r="J31" s="402"/>
      <c r="K31" s="656"/>
      <c r="AF31" s="1744">
        <v>19</v>
      </c>
    </row>
    <row s="8191" customFormat="1" customHeight="1" ht="35.699999999999996">
      <c r="A32" s="1100"/>
      <c r="C32" s="1749"/>
      <c r="D32" s="1751"/>
      <c r="E32" s="1788" t="s">
        <v>895</v>
      </c>
      <c r="F32" s="1067" t="s">
        <v>896</v>
      </c>
      <c r="G32" s="1757" t="s">
        <v>706</v>
      </c>
      <c r="H32" s="692">
        <f>SUM(H33:H34)</f>
        <v>0</v>
      </c>
      <c r="I32" s="692">
        <f>SUM(I33:I34)</f>
        <v>0</v>
      </c>
      <c r="J32" s="402" t="s">
        <v>897</v>
      </c>
      <c r="K32" s="656"/>
      <c r="L32" s="1749"/>
      <c r="M32" s="1749"/>
      <c r="R32" s="1749"/>
      <c r="U32" s="657"/>
      <c r="AA32" s="1745"/>
      <c r="AB32" s="1745"/>
      <c r="AC32" s="1745"/>
      <c r="AD32" s="1745"/>
      <c r="AE32" s="1745"/>
      <c r="AF32" s="1273">
        <v>34</v>
      </c>
    </row>
    <row s="8192" customFormat="1" customHeight="1" ht="1.05">
      <c r="A33" s="1280"/>
      <c r="D33" s="661"/>
      <c r="E33" s="915" t="str">
        <f>E32&amp;".0"</f>
        <v>2.8.0</v>
      </c>
      <c r="F33" s="1104"/>
      <c r="G33" s="664"/>
      <c r="H33" s="1105"/>
      <c r="I33" s="1105"/>
      <c r="J33" s="1106"/>
      <c r="AF33" s="1749">
        <v>1</v>
      </c>
    </row>
    <row s="8191" customFormat="1" customHeight="1" ht="19.95">
      <c r="A34" s="1100"/>
      <c r="C34" s="1749"/>
      <c r="D34" s="1746"/>
      <c r="E34" s="683"/>
      <c r="F34" s="1779" t="s">
        <v>731</v>
      </c>
      <c r="G34" s="685"/>
      <c r="H34" s="686"/>
      <c r="I34" s="686"/>
      <c r="J34" s="414" t="s">
        <v>898</v>
      </c>
      <c r="K34" s="656"/>
      <c r="L34" s="1749"/>
      <c r="M34" s="1749"/>
      <c r="R34" s="1749"/>
      <c r="U34" s="657"/>
      <c r="AA34" s="1745"/>
      <c r="AB34" s="1745"/>
      <c r="AC34" s="1745"/>
      <c r="AD34" s="1745"/>
      <c r="AE34" s="1745"/>
      <c r="AF34" s="1273">
        <v>19</v>
      </c>
    </row>
    <row customHeight="1" ht="60">
      <c r="D35" s="1751"/>
      <c r="E35" s="1788" t="s">
        <v>899</v>
      </c>
      <c r="F35" s="1067" t="s">
        <v>900</v>
      </c>
      <c r="G35" s="1767" t="s">
        <v>706</v>
      </c>
      <c r="H35" s="1789"/>
      <c r="I35" s="1789"/>
      <c r="J35" s="402" t="s">
        <v>901</v>
      </c>
      <c r="K35" s="656"/>
      <c r="AF35" s="1744">
        <v>57</v>
      </c>
    </row>
    <row s="8191" customFormat="1" customHeight="1" ht="24">
      <c r="A36" s="1102" t="s">
        <v>732</v>
      </c>
      <c r="C36" s="1749"/>
      <c r="D36" s="1751"/>
      <c r="E36" s="1777" t="s">
        <v>92</v>
      </c>
      <c r="F36" s="820" t="s">
        <v>902</v>
      </c>
      <c r="G36" s="1756" t="s">
        <v>706</v>
      </c>
      <c r="H36" s="670"/>
      <c r="I36" s="670"/>
      <c r="J36" s="402" t="s">
        <v>903</v>
      </c>
      <c r="K36" s="656"/>
      <c r="L36" s="1749"/>
      <c r="M36" s="1749"/>
      <c r="R36" s="1749"/>
      <c r="U36" s="657"/>
      <c r="AA36" s="1745"/>
      <c r="AB36" s="1745"/>
      <c r="AC36" s="1745"/>
      <c r="AD36" s="1745"/>
      <c r="AE36" s="1745"/>
      <c r="AF36" s="1273">
        <v>23</v>
      </c>
    </row>
    <row s="8191" customFormat="1" customHeight="1" ht="35.699999999999996">
      <c r="A37" s="1102"/>
      <c r="C37" s="1749"/>
      <c r="D37" s="1751"/>
      <c r="E37" s="1777" t="s">
        <v>479</v>
      </c>
      <c r="F37" s="1067" t="s">
        <v>904</v>
      </c>
      <c r="G37" s="1767"/>
      <c r="H37" s="670"/>
      <c r="I37" s="670"/>
      <c r="J37" s="402"/>
      <c r="K37" s="656"/>
      <c r="L37" s="1749"/>
      <c r="M37" s="1749"/>
      <c r="R37" s="1749"/>
      <c r="U37" s="657"/>
      <c r="AA37" s="1745"/>
      <c r="AB37" s="1745"/>
      <c r="AC37" s="1745"/>
      <c r="AD37" s="1745"/>
      <c r="AE37" s="1745"/>
      <c r="AF37" s="1273">
        <v>34</v>
      </c>
    </row>
    <row s="8191" customFormat="1" customHeight="1" ht="19.95">
      <c r="A38" s="1100"/>
      <c r="C38" s="1749"/>
      <c r="D38" s="688"/>
      <c r="E38" s="1777" t="s">
        <v>93</v>
      </c>
      <c r="F38" s="820" t="s">
        <v>905</v>
      </c>
      <c r="G38" s="1756" t="s">
        <v>706</v>
      </c>
      <c r="H38" s="670"/>
      <c r="I38" s="670"/>
      <c r="J38" s="402" t="s">
        <v>906</v>
      </c>
      <c r="K38" s="656"/>
      <c r="L38" s="1749"/>
      <c r="M38" s="1749"/>
      <c r="R38" s="1749"/>
      <c r="U38" s="657"/>
      <c r="AA38" s="1745"/>
      <c r="AB38" s="1745"/>
      <c r="AC38" s="1745"/>
      <c r="AD38" s="1745"/>
      <c r="AE38" s="1745"/>
      <c r="AF38" s="1273">
        <v>19</v>
      </c>
    </row>
    <row s="8191" customFormat="1" customHeight="1" ht="24">
      <c r="A39" s="1100"/>
      <c r="C39" s="1749"/>
      <c r="D39" s="688"/>
      <c r="E39" s="1777" t="s">
        <v>907</v>
      </c>
      <c r="F39" s="1067" t="s">
        <v>908</v>
      </c>
      <c r="G39" s="1767" t="s">
        <v>706</v>
      </c>
      <c r="H39" s="670"/>
      <c r="I39" s="670"/>
      <c r="J39" s="402" t="s">
        <v>909</v>
      </c>
      <c r="K39" s="656"/>
      <c r="L39" s="1749"/>
      <c r="M39" s="1749"/>
      <c r="R39" s="1749"/>
      <c r="U39" s="657"/>
      <c r="AA39" s="1745"/>
      <c r="AB39" s="1745"/>
      <c r="AC39" s="1745"/>
      <c r="AD39" s="1745"/>
      <c r="AE39" s="1745"/>
      <c r="AF39" s="1273">
        <v>23</v>
      </c>
    </row>
    <row s="8191" customFormat="1" customHeight="1" ht="24">
      <c r="A40" s="1100"/>
      <c r="C40" s="1749"/>
      <c r="D40" s="1751"/>
      <c r="E40" s="1777" t="s">
        <v>910</v>
      </c>
      <c r="F40" s="1763" t="s">
        <v>911</v>
      </c>
      <c r="G40" s="1756" t="s">
        <v>706</v>
      </c>
      <c r="H40" s="670"/>
      <c r="I40" s="670"/>
      <c r="J40" s="402" t="s">
        <v>912</v>
      </c>
      <c r="K40" s="656"/>
      <c r="L40" s="1749"/>
      <c r="M40" s="1749"/>
      <c r="R40" s="1749"/>
      <c r="U40" s="657"/>
      <c r="AA40" s="1745"/>
      <c r="AB40" s="1745"/>
      <c r="AC40" s="1745"/>
      <c r="AD40" s="1745"/>
      <c r="AE40" s="1745"/>
      <c r="AF40" s="1273">
        <v>23</v>
      </c>
    </row>
    <row s="8191" customFormat="1" customHeight="1" ht="24">
      <c r="A41" s="1100"/>
      <c r="C41" s="1749"/>
      <c r="D41" s="1751"/>
      <c r="E41" s="1777" t="s">
        <v>913</v>
      </c>
      <c r="F41" s="1763" t="s">
        <v>914</v>
      </c>
      <c r="G41" s="1756" t="s">
        <v>706</v>
      </c>
      <c r="H41" s="670"/>
      <c r="I41" s="670"/>
      <c r="J41" s="402" t="s">
        <v>915</v>
      </c>
      <c r="K41" s="656"/>
      <c r="L41" s="1749"/>
      <c r="M41" s="1749"/>
      <c r="R41" s="1749"/>
      <c r="U41" s="657"/>
      <c r="AA41" s="1745"/>
      <c r="AB41" s="1745"/>
      <c r="AC41" s="1745"/>
      <c r="AD41" s="1745"/>
      <c r="AE41" s="1745"/>
      <c r="AF41" s="1273">
        <v>23</v>
      </c>
    </row>
    <row s="8191" customFormat="1" customHeight="1" ht="24">
      <c r="A42" s="1100"/>
      <c r="C42" s="1749"/>
      <c r="D42" s="1751"/>
      <c r="E42" s="1777" t="s">
        <v>916</v>
      </c>
      <c r="F42" s="1763" t="s">
        <v>917</v>
      </c>
      <c r="G42" s="1756" t="s">
        <v>706</v>
      </c>
      <c r="H42" s="670"/>
      <c r="I42" s="670"/>
      <c r="J42" s="402" t="s">
        <v>918</v>
      </c>
      <c r="K42" s="656"/>
      <c r="L42" s="1749"/>
      <c r="M42" s="1749"/>
      <c r="R42" s="1749"/>
      <c r="U42" s="657"/>
      <c r="AA42" s="1745"/>
      <c r="AB42" s="1745"/>
      <c r="AC42" s="1745"/>
      <c r="AD42" s="1745"/>
      <c r="AE42" s="1745"/>
      <c r="AF42" s="1273">
        <v>23</v>
      </c>
    </row>
    <row s="8191" customFormat="1" customHeight="1" ht="35.699999999999996">
      <c r="A43" s="1100"/>
      <c r="C43" s="1749" t="s">
        <v>742</v>
      </c>
      <c r="D43" s="1751"/>
      <c r="E43" s="1777" t="s">
        <v>120</v>
      </c>
      <c r="F43" s="820" t="s">
        <v>783</v>
      </c>
      <c r="G43" s="1759" t="s">
        <v>919</v>
      </c>
      <c r="H43" s="514"/>
      <c r="I43" s="514"/>
      <c r="J43" s="402" t="s">
        <v>920</v>
      </c>
      <c r="K43" s="656"/>
      <c r="L43" s="1749"/>
      <c r="M43" s="1749"/>
      <c r="R43" s="1749"/>
      <c r="U43" s="657"/>
      <c r="AA43" s="1745"/>
      <c r="AB43" s="1745"/>
      <c r="AC43" s="1745"/>
      <c r="AD43" s="1745"/>
      <c r="AE43" s="1745"/>
      <c r="AF43" s="1273">
        <v>34</v>
      </c>
    </row>
    <row s="8191" customFormat="1" customHeight="1" ht="35.699999999999996">
      <c r="A44" s="1100"/>
      <c r="C44" s="1749"/>
      <c r="D44" s="1751"/>
      <c r="E44" s="1777" t="s">
        <v>94</v>
      </c>
      <c r="F44" s="820" t="s">
        <v>921</v>
      </c>
      <c r="G44" s="1756" t="s">
        <v>922</v>
      </c>
      <c r="H44" s="658"/>
      <c r="I44" s="658"/>
      <c r="J44" s="402" t="s">
        <v>923</v>
      </c>
      <c r="K44" s="656"/>
      <c r="L44" s="1749"/>
      <c r="M44" s="1749"/>
      <c r="R44" s="1749"/>
      <c r="U44" s="657"/>
      <c r="AA44" s="1745"/>
      <c r="AB44" s="1745"/>
      <c r="AC44" s="1745"/>
      <c r="AD44" s="1745"/>
      <c r="AE44" s="1745"/>
      <c r="AF44" s="1273">
        <v>34</v>
      </c>
    </row>
    <row s="8191" customFormat="1" customHeight="1" ht="24">
      <c r="A45" s="1100"/>
      <c r="C45" s="1749"/>
      <c r="D45" s="1751"/>
      <c r="E45" s="1777" t="s">
        <v>95</v>
      </c>
      <c r="F45" s="820" t="s">
        <v>924</v>
      </c>
      <c r="G45" s="1767" t="s">
        <v>925</v>
      </c>
      <c r="H45" s="658"/>
      <c r="I45" s="658"/>
      <c r="J45" s="402" t="s">
        <v>926</v>
      </c>
      <c r="K45" s="656"/>
      <c r="L45" s="1749"/>
      <c r="M45" s="1749"/>
      <c r="R45" s="1749"/>
      <c r="U45" s="657"/>
      <c r="AA45" s="1745"/>
      <c r="AB45" s="1745"/>
      <c r="AC45" s="1745"/>
      <c r="AD45" s="1745"/>
      <c r="AE45" s="1745"/>
      <c r="AF45" s="1273">
        <v>23</v>
      </c>
    </row>
    <row s="8191" customFormat="1" customHeight="1" ht="19.95">
      <c r="A46" s="1100"/>
      <c r="C46" s="1749"/>
      <c r="D46" s="1751"/>
      <c r="E46" s="1777" t="s">
        <v>134</v>
      </c>
      <c r="F46" s="820" t="s">
        <v>927</v>
      </c>
      <c r="G46" s="1756" t="s">
        <v>744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88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8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80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8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8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8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8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8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8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8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8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8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8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8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8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8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8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8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8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8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8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8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8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8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8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8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8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8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8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8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8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8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8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8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8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8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8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8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8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8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8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8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8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8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8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8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8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8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8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8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8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8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8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8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8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8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8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8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8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8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8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8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8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8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8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8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8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8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8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8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8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8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8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8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8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8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8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8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8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8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8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8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8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8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8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8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8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8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8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8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8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8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8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8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8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8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8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8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8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8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8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8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8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8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8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8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8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8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8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8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8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8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8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8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8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8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8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8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8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8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8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8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8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8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8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8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8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8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8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8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8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8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8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8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8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8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8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8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8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8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8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8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8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8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8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8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8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8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880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880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880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880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880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880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880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47862-CE71-8EEF-203C-E48A279AC53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121" width="10.7109375" hidden="1" customWidth="1"/>
    <col min="2" max="2" style="8191" width="16.8515625" hidden="1" customWidth="1"/>
    <col min="3" max="3" style="8192" width="5.57421875" hidden="1" customWidth="1"/>
    <col min="4" max="4" style="8113" width="3.00390625" customWidth="1"/>
    <col min="5" max="5" style="8113" width="7.00390625" customWidth="1"/>
    <col min="6" max="6" style="8113" width="54.00390625" customWidth="1"/>
    <col min="7" max="7" style="8113" width="10.00390625" customWidth="1"/>
    <col min="8" max="8" style="8113" width="40.7109375" hidden="1" customWidth="1"/>
    <col min="9" max="9" style="8113" width="40.00390625" customWidth="1"/>
    <col min="10" max="10" style="8113" width="102.00390625" customWidth="1"/>
    <col min="11" max="11" style="8191" width="9.00390625" customWidth="1"/>
    <col min="12" max="12" style="8192" width="5.00390625" customWidth="1"/>
    <col min="13" max="13" style="8192" width="3.00390625" customWidth="1"/>
    <col min="14" max="17" style="8191" width="3.00390625" customWidth="1"/>
    <col min="18" max="18" style="8192" width="10.00390625" customWidth="1"/>
    <col min="19" max="19" style="8191" width="34.00390625" customWidth="1"/>
    <col min="20" max="20" style="8191" width="9.00390625" customWidth="1"/>
    <col min="21" max="21" style="12122" width="8.00390625" customWidth="1"/>
    <col min="22" max="26" style="8191" width="8.00390625" customWidth="1"/>
    <col min="27" max="31" style="8077" width="8.00390625" customWidth="1"/>
    <col min="32" max="32" style="8113" width="9.140625" hidden="1"/>
  </cols>
  <sheetData>
    <row s="8191" customFormat="1" customHeight="1" ht="22.5" hidden="1">
      <c r="A1" s="1100"/>
      <c r="C1" s="1749"/>
      <c r="D1" s="650"/>
      <c r="H1" s="1273">
        <v>4</v>
      </c>
      <c r="I1" s="1273">
        <v>4</v>
      </c>
      <c r="L1" s="1749"/>
      <c r="M1" s="1749"/>
      <c r="R1" s="1749"/>
      <c r="AF1" s="1273" t="s">
        <v>14</v>
      </c>
    </row>
    <row s="8191" customFormat="1" customHeight="1" ht="22.5" hidden="1">
      <c r="A2" s="1100"/>
      <c r="C2" s="1749"/>
      <c r="D2" s="651"/>
      <c r="E2" s="1771"/>
      <c r="F2" s="653"/>
      <c r="G2" s="1770" t="s">
        <v>706</v>
      </c>
      <c r="H2" s="654"/>
      <c r="I2" s="654"/>
      <c r="J2" s="655" t="s">
        <v>709</v>
      </c>
      <c r="K2" s="656"/>
      <c r="L2" s="1749"/>
      <c r="M2" s="1749"/>
      <c r="R2" s="1749"/>
      <c r="U2" s="657"/>
      <c r="AA2" s="1745"/>
      <c r="AB2" s="1745"/>
      <c r="AC2" s="1745"/>
      <c r="AD2" s="1745"/>
      <c r="AE2" s="1745"/>
      <c r="AF2" s="1273">
        <v>0</v>
      </c>
    </row>
    <row customHeight="1" ht="11.25" hidden="1">
      <c r="AF3" s="1744">
        <v>0</v>
      </c>
    </row>
    <row s="807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928</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8192" customFormat="1" customHeight="1" ht="1.05">
      <c r="A9" s="1280"/>
      <c r="D9" s="1755"/>
      <c r="H9" s="1002"/>
      <c r="I9" s="1002" t="s">
        <v>194</v>
      </c>
      <c r="AF9" s="1749">
        <v>1</v>
      </c>
    </row>
    <row customHeight="1" ht="11.549999999999999">
      <c r="E10" s="824"/>
      <c r="F10" s="2480" t="s">
        <v>186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718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719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455</v>
      </c>
      <c r="F13" s="2483"/>
      <c r="G13" s="2483"/>
      <c r="H13" s="1769"/>
      <c r="I13" s="1769"/>
      <c r="J13" s="2240"/>
      <c r="AF13" s="1744">
        <v>11</v>
      </c>
    </row>
    <row customHeight="1" ht="24">
      <c r="E14" s="1770" t="s">
        <v>90</v>
      </c>
      <c r="F14" s="1773" t="s">
        <v>457</v>
      </c>
      <c r="G14" s="1773" t="s">
        <v>720</v>
      </c>
      <c r="H14" s="1773" t="s">
        <v>458</v>
      </c>
      <c r="I14" s="1773" t="s">
        <v>458</v>
      </c>
      <c r="J14" s="2240"/>
      <c r="AF14" s="1744">
        <v>23</v>
      </c>
    </row>
    <row customHeight="1" ht="19.95">
      <c r="D15" s="1751"/>
      <c r="E15" s="1743" t="s">
        <v>155</v>
      </c>
      <c r="F15" s="820" t="s">
        <v>929</v>
      </c>
      <c r="G15" s="1770" t="s">
        <v>706</v>
      </c>
      <c r="H15" s="670"/>
      <c r="I15" s="670"/>
      <c r="J15" s="402" t="s">
        <v>930</v>
      </c>
      <c r="K15" s="656" t="s">
        <v>784</v>
      </c>
      <c r="AF15" s="1744">
        <v>19</v>
      </c>
    </row>
    <row customHeight="1" ht="24">
      <c r="D16" s="1751"/>
      <c r="E16" s="1743" t="s">
        <v>105</v>
      </c>
      <c r="F16" s="1778" t="s">
        <v>931</v>
      </c>
      <c r="G16" s="1770" t="s">
        <v>706</v>
      </c>
      <c r="H16" s="671">
        <f>SUM(H17,H20:H27)</f>
        <v>0</v>
      </c>
      <c r="I16" s="671">
        <f>SUM(I17,I20:I27)</f>
        <v>0</v>
      </c>
      <c r="J16" s="402" t="s">
        <v>932</v>
      </c>
      <c r="K16" s="656" t="s">
        <v>784</v>
      </c>
      <c r="AF16" s="1744">
        <v>23</v>
      </c>
    </row>
    <row customHeight="1" ht="35.699999999999996">
      <c r="D17" s="1751"/>
      <c r="E17" s="1777" t="s">
        <v>862</v>
      </c>
      <c r="F17" s="1780" t="s">
        <v>933</v>
      </c>
      <c r="G17" s="1767" t="s">
        <v>706</v>
      </c>
      <c r="H17" s="670"/>
      <c r="I17" s="670"/>
      <c r="J17" s="402" t="s">
        <v>934</v>
      </c>
      <c r="K17" s="656"/>
      <c r="AF17" s="1744">
        <v>34</v>
      </c>
    </row>
    <row customHeight="1" ht="19.95">
      <c r="D18" s="1751"/>
      <c r="E18" s="1777" t="s">
        <v>865</v>
      </c>
      <c r="F18" s="1781" t="s">
        <v>935</v>
      </c>
      <c r="G18" s="1767" t="s">
        <v>706</v>
      </c>
      <c r="H18" s="670"/>
      <c r="I18" s="670"/>
      <c r="J18" s="402"/>
      <c r="K18" s="656"/>
      <c r="AF18" s="1744">
        <v>19</v>
      </c>
    </row>
    <row customHeight="1" ht="24">
      <c r="D19" s="1751"/>
      <c r="E19" s="1777" t="s">
        <v>868</v>
      </c>
      <c r="F19" s="1781" t="s">
        <v>936</v>
      </c>
      <c r="G19" s="1767" t="s">
        <v>706</v>
      </c>
      <c r="H19" s="670"/>
      <c r="I19" s="670"/>
      <c r="J19" s="402"/>
      <c r="K19" s="656"/>
      <c r="AF19" s="1744">
        <v>23</v>
      </c>
    </row>
    <row customHeight="1" ht="35.699999999999996">
      <c r="D20" s="1751"/>
      <c r="E20" s="1777" t="s">
        <v>462</v>
      </c>
      <c r="F20" s="1780" t="s">
        <v>937</v>
      </c>
      <c r="G20" s="1767" t="s">
        <v>706</v>
      </c>
      <c r="H20" s="670"/>
      <c r="I20" s="670"/>
      <c r="J20" s="402"/>
      <c r="K20" s="656"/>
      <c r="AF20" s="1744">
        <v>34</v>
      </c>
    </row>
    <row customHeight="1" ht="48.29999999999999">
      <c r="D21" s="1751"/>
      <c r="E21" s="1777" t="s">
        <v>465</v>
      </c>
      <c r="F21" s="1780" t="s">
        <v>938</v>
      </c>
      <c r="G21" s="1767" t="s">
        <v>706</v>
      </c>
      <c r="H21" s="670"/>
      <c r="I21" s="670"/>
      <c r="J21" s="402"/>
      <c r="K21" s="656"/>
      <c r="AF21" s="1744">
        <v>46</v>
      </c>
    </row>
    <row customHeight="1" ht="60">
      <c r="D22" s="1751"/>
      <c r="E22" s="1777" t="s">
        <v>882</v>
      </c>
      <c r="F22" s="1780" t="s">
        <v>939</v>
      </c>
      <c r="G22" s="1767" t="s">
        <v>706</v>
      </c>
      <c r="H22" s="670"/>
      <c r="I22" s="670"/>
      <c r="J22" s="402"/>
      <c r="K22" s="656"/>
      <c r="AF22" s="1744">
        <v>57</v>
      </c>
    </row>
    <row customHeight="1" ht="35.699999999999996">
      <c r="D23" s="1751"/>
      <c r="E23" s="1777" t="s">
        <v>889</v>
      </c>
      <c r="F23" s="1780" t="s">
        <v>940</v>
      </c>
      <c r="G23" s="1767" t="s">
        <v>706</v>
      </c>
      <c r="H23" s="670"/>
      <c r="I23" s="670"/>
      <c r="J23" s="402"/>
      <c r="K23" s="656"/>
      <c r="AF23" s="1744">
        <v>34</v>
      </c>
    </row>
    <row customHeight="1" ht="35.699999999999996">
      <c r="D24" s="1751"/>
      <c r="E24" s="1777" t="s">
        <v>891</v>
      </c>
      <c r="F24" s="1780" t="s">
        <v>941</v>
      </c>
      <c r="G24" s="1767" t="s">
        <v>706</v>
      </c>
      <c r="H24" s="670"/>
      <c r="I24" s="670"/>
      <c r="J24" s="402"/>
      <c r="K24" s="656"/>
      <c r="AF24" s="1744">
        <v>34</v>
      </c>
    </row>
    <row customHeight="1" ht="24">
      <c r="D25" s="1751"/>
      <c r="E25" s="1777" t="s">
        <v>893</v>
      </c>
      <c r="F25" s="1780" t="s">
        <v>942</v>
      </c>
      <c r="G25" s="1767" t="s">
        <v>706</v>
      </c>
      <c r="H25" s="670"/>
      <c r="I25" s="670"/>
      <c r="J25" s="402"/>
      <c r="K25" s="656"/>
      <c r="AF25" s="1744">
        <v>23</v>
      </c>
    </row>
    <row customHeight="1" ht="76.5">
      <c r="D26" s="1751"/>
      <c r="E26" s="1777" t="s">
        <v>895</v>
      </c>
      <c r="F26" s="1780" t="s">
        <v>943</v>
      </c>
      <c r="G26" s="1767" t="s">
        <v>706</v>
      </c>
      <c r="H26" s="670"/>
      <c r="I26" s="670"/>
      <c r="J26" s="402"/>
      <c r="K26" s="656"/>
      <c r="AF26" s="1744">
        <v>73</v>
      </c>
    </row>
    <row s="8191" customFormat="1" customHeight="1" ht="35.699999999999996">
      <c r="A27" s="1100"/>
      <c r="C27" s="1749"/>
      <c r="D27" s="1751"/>
      <c r="E27" s="1742" t="s">
        <v>899</v>
      </c>
      <c r="F27" s="1741" t="s">
        <v>944</v>
      </c>
      <c r="G27" s="1768" t="s">
        <v>706</v>
      </c>
      <c r="H27" s="692">
        <f>SUM(H28:H29)</f>
        <v>0</v>
      </c>
      <c r="I27" s="692">
        <f>SUM(I28:I29)</f>
        <v>0</v>
      </c>
      <c r="J27" s="402" t="s">
        <v>897</v>
      </c>
      <c r="K27" s="656"/>
      <c r="L27" s="1749"/>
      <c r="M27" s="1749"/>
      <c r="R27" s="1749"/>
      <c r="U27" s="657"/>
      <c r="AA27" s="1745"/>
      <c r="AB27" s="1745"/>
      <c r="AC27" s="1745"/>
      <c r="AD27" s="1745"/>
      <c r="AE27" s="1745"/>
      <c r="AF27" s="1273">
        <v>34</v>
      </c>
    </row>
    <row s="8192" customFormat="1" customHeight="1" ht="1.05">
      <c r="A28" s="1280"/>
      <c r="D28" s="661"/>
      <c r="E28" s="915" t="str">
        <f>E27&amp;".0"</f>
        <v>2.9.0</v>
      </c>
      <c r="F28" s="1104"/>
      <c r="G28" s="664"/>
      <c r="H28" s="1105"/>
      <c r="I28" s="1105"/>
      <c r="J28" s="1106"/>
      <c r="AF28" s="1749">
        <v>1</v>
      </c>
    </row>
    <row s="8191" customFormat="1" customHeight="1" ht="19.95">
      <c r="A29" s="1100"/>
      <c r="C29" s="1749"/>
      <c r="D29" s="1746"/>
      <c r="E29" s="683"/>
      <c r="F29" s="1779" t="s">
        <v>731</v>
      </c>
      <c r="G29" s="685"/>
      <c r="H29" s="686"/>
      <c r="I29" s="686"/>
      <c r="J29" s="414" t="s">
        <v>898</v>
      </c>
      <c r="K29" s="656"/>
      <c r="L29" s="1749"/>
      <c r="M29" s="1749"/>
      <c r="R29" s="1749"/>
      <c r="U29" s="657"/>
      <c r="AA29" s="1745"/>
      <c r="AB29" s="1745"/>
      <c r="AC29" s="1745"/>
      <c r="AD29" s="1745"/>
      <c r="AE29" s="1745"/>
      <c r="AF29" s="1273">
        <v>19</v>
      </c>
    </row>
    <row s="8191" customFormat="1" customHeight="1" ht="24">
      <c r="A30" s="1100"/>
      <c r="C30" s="1749"/>
      <c r="D30" s="1751"/>
      <c r="E30" s="1777" t="s">
        <v>92</v>
      </c>
      <c r="F30" s="1774" t="s">
        <v>945</v>
      </c>
      <c r="G30" s="1767" t="s">
        <v>706</v>
      </c>
      <c r="H30" s="670"/>
      <c r="I30" s="670"/>
      <c r="J30" s="402"/>
      <c r="K30" s="656"/>
      <c r="L30" s="1749"/>
      <c r="M30" s="1749"/>
      <c r="R30" s="1749"/>
      <c r="U30" s="657"/>
      <c r="AA30" s="1745"/>
      <c r="AB30" s="1745"/>
      <c r="AC30" s="1745"/>
      <c r="AD30" s="1745"/>
      <c r="AE30" s="1745"/>
      <c r="AF30" s="1273">
        <v>23</v>
      </c>
    </row>
    <row s="8191" customFormat="1" customHeight="1" ht="35.699999999999996">
      <c r="A31" s="1100"/>
      <c r="C31" s="1749"/>
      <c r="D31" s="688"/>
      <c r="E31" s="1777" t="s">
        <v>93</v>
      </c>
      <c r="F31" s="1774" t="s">
        <v>946</v>
      </c>
      <c r="G31" s="1767" t="s">
        <v>706</v>
      </c>
      <c r="H31" s="670"/>
      <c r="I31" s="670"/>
      <c r="J31" s="402" t="s">
        <v>947</v>
      </c>
      <c r="K31" s="656"/>
      <c r="L31" s="1749"/>
      <c r="M31" s="1749"/>
      <c r="R31" s="1749"/>
      <c r="U31" s="657"/>
      <c r="AA31" s="1745"/>
      <c r="AB31" s="1745"/>
      <c r="AC31" s="1745"/>
      <c r="AD31" s="1745"/>
      <c r="AE31" s="1745"/>
      <c r="AF31" s="1273">
        <v>34</v>
      </c>
    </row>
    <row s="8191" customFormat="1" customHeight="1" ht="24">
      <c r="A32" s="1100"/>
      <c r="C32" s="1749"/>
      <c r="D32" s="1751"/>
      <c r="E32" s="1777" t="s">
        <v>907</v>
      </c>
      <c r="F32" s="803" t="s">
        <v>911</v>
      </c>
      <c r="G32" s="1767" t="s">
        <v>706</v>
      </c>
      <c r="H32" s="670"/>
      <c r="I32" s="670"/>
      <c r="J32" s="402" t="s">
        <v>948</v>
      </c>
      <c r="K32" s="656"/>
      <c r="L32" s="1749"/>
      <c r="M32" s="1749"/>
      <c r="R32" s="1749"/>
      <c r="U32" s="657"/>
      <c r="AA32" s="1745"/>
      <c r="AB32" s="1745"/>
      <c r="AC32" s="1745"/>
      <c r="AD32" s="1745"/>
      <c r="AE32" s="1745"/>
      <c r="AF32" s="1273">
        <v>23</v>
      </c>
    </row>
    <row s="8191" customFormat="1" customHeight="1" ht="24">
      <c r="A33" s="1100"/>
      <c r="C33" s="1749"/>
      <c r="D33" s="1751"/>
      <c r="E33" s="1777" t="s">
        <v>949</v>
      </c>
      <c r="F33" s="803" t="s">
        <v>950</v>
      </c>
      <c r="G33" s="1767" t="s">
        <v>706</v>
      </c>
      <c r="H33" s="670"/>
      <c r="I33" s="670"/>
      <c r="J33" s="402" t="s">
        <v>951</v>
      </c>
      <c r="K33" s="656"/>
      <c r="L33" s="1749"/>
      <c r="M33" s="1749"/>
      <c r="R33" s="1749"/>
      <c r="U33" s="657"/>
      <c r="AA33" s="1745"/>
      <c r="AB33" s="1745"/>
      <c r="AC33" s="1745"/>
      <c r="AD33" s="1745"/>
      <c r="AE33" s="1745"/>
      <c r="AF33" s="1273">
        <v>23</v>
      </c>
    </row>
    <row s="8191" customFormat="1" customHeight="1" ht="24">
      <c r="A34" s="1100"/>
      <c r="C34" s="1749"/>
      <c r="D34" s="1751"/>
      <c r="E34" s="1777" t="s">
        <v>952</v>
      </c>
      <c r="F34" s="803" t="s">
        <v>917</v>
      </c>
      <c r="G34" s="1767" t="s">
        <v>706</v>
      </c>
      <c r="H34" s="670"/>
      <c r="I34" s="670"/>
      <c r="J34" s="402" t="s">
        <v>953</v>
      </c>
      <c r="K34" s="656"/>
      <c r="L34" s="1749"/>
      <c r="M34" s="1749"/>
      <c r="R34" s="1749"/>
      <c r="U34" s="657"/>
      <c r="AA34" s="1745"/>
      <c r="AB34" s="1745"/>
      <c r="AC34" s="1745"/>
      <c r="AD34" s="1745"/>
      <c r="AE34" s="1745"/>
      <c r="AF34" s="1273">
        <v>23</v>
      </c>
    </row>
    <row s="8191" customFormat="1" customHeight="1" ht="35.699999999999996">
      <c r="A35" s="1100"/>
      <c r="C35" s="1749" t="s">
        <v>742</v>
      </c>
      <c r="D35" s="1751"/>
      <c r="E35" s="1777" t="s">
        <v>120</v>
      </c>
      <c r="F35" s="1774" t="s">
        <v>783</v>
      </c>
      <c r="G35" s="1770" t="s">
        <v>461</v>
      </c>
      <c r="H35" s="514"/>
      <c r="I35" s="514"/>
      <c r="J35" s="402" t="s">
        <v>954</v>
      </c>
      <c r="K35" s="656"/>
      <c r="L35" s="1749"/>
      <c r="M35" s="1749"/>
      <c r="R35" s="1749"/>
      <c r="U35" s="657"/>
      <c r="AA35" s="1745"/>
      <c r="AB35" s="1745"/>
      <c r="AC35" s="1745"/>
      <c r="AD35" s="1745"/>
      <c r="AE35" s="1745"/>
      <c r="AF35" s="1273">
        <v>34</v>
      </c>
    </row>
    <row s="8191" customFormat="1" customHeight="1" ht="35.699999999999996">
      <c r="A36" s="1100"/>
      <c r="C36" s="1749"/>
      <c r="D36" s="1751"/>
      <c r="E36" s="1777" t="s">
        <v>94</v>
      </c>
      <c r="F36" s="1774" t="s">
        <v>955</v>
      </c>
      <c r="G36" s="1767" t="s">
        <v>922</v>
      </c>
      <c r="H36" s="658"/>
      <c r="I36" s="658"/>
      <c r="J36" s="402" t="s">
        <v>923</v>
      </c>
      <c r="K36" s="656"/>
      <c r="L36" s="1749"/>
      <c r="M36" s="1749"/>
      <c r="R36" s="1749"/>
      <c r="U36" s="657"/>
      <c r="AA36" s="1745"/>
      <c r="AB36" s="1745"/>
      <c r="AC36" s="1745"/>
      <c r="AD36" s="1745"/>
      <c r="AE36" s="1745"/>
      <c r="AF36" s="1273">
        <v>34</v>
      </c>
    </row>
    <row s="8191" customFormat="1" customHeight="1" ht="24">
      <c r="A37" s="1100"/>
      <c r="C37" s="1749"/>
      <c r="D37" s="1751"/>
      <c r="E37" s="1777" t="s">
        <v>95</v>
      </c>
      <c r="F37" s="1774" t="s">
        <v>956</v>
      </c>
      <c r="G37" s="1767" t="s">
        <v>925</v>
      </c>
      <c r="H37" s="658"/>
      <c r="I37" s="658"/>
      <c r="J37" s="402" t="s">
        <v>926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957</v>
      </c>
      <c r="F39" s="2398" t="s">
        <v>958</v>
      </c>
      <c r="G39" s="2398"/>
      <c r="H39" s="482"/>
      <c r="I39" s="482"/>
      <c r="J39" s="482"/>
      <c r="AF39" s="1744">
        <v>26</v>
      </c>
    </row>
    <row s="8801" customFormat="1" customHeight="1" ht="39.75">
      <c r="A40" s="1100"/>
      <c r="B40" s="1749"/>
      <c r="C40" s="1749"/>
      <c r="D40" s="464"/>
      <c r="F40" s="2398" t="s">
        <v>959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880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880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880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880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880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880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880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880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880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880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880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880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880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880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880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880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880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880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880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880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880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880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880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880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880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880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880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880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880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880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880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880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880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880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880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880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880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880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880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880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880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880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880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880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880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880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880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880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880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880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880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880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880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880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880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880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880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880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880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880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880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880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880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880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880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880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880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880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880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880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880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880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880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880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880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880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880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880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880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880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880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880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880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880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880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880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880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880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880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880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880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880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880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880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880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880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880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880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880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880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880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880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880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880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880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880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880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880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880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880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880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880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880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880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880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880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880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880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880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880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880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880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880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880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880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880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880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880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880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880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880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880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880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880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880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880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880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880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880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880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880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880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880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880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880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880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880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880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880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880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880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880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880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880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880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44A38-FBBD-7DB4-0A2B-9363E86651A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348" width="9.140625" hidden="1" customWidth="1"/>
    <col min="2" max="2" style="8192" width="3.57421875" hidden="1" customWidth="1"/>
    <col min="3" max="3" style="8113" width="3.00390625" customWidth="1"/>
    <col min="4" max="4" style="8113" width="7.00390625" customWidth="1"/>
    <col min="5" max="5" style="8113" width="69.00390625" customWidth="1"/>
    <col min="6" max="6" style="8113" width="10.00390625" customWidth="1"/>
    <col min="7" max="8" style="8113" width="44.00390625" hidden="1" customWidth="1"/>
    <col min="9" max="9" style="8113" width="44.00390625" customWidth="1"/>
    <col min="10" max="10" style="8113" width="43.00390625" customWidth="1"/>
    <col min="11" max="11" style="8113" width="73.00390625" customWidth="1"/>
    <col min="12" max="12" style="8113" width="3.00390625" customWidth="1"/>
    <col min="13" max="23" style="8113" width="10.00390625" customWidth="1"/>
    <col min="24" max="24" style="8113" width="10.57421875" hidden="1"/>
  </cols>
  <sheetData>
    <row s="8191"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8113"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194</v>
      </c>
      <c r="J6" s="1135"/>
      <c r="X6" s="618">
        <v>1</v>
      </c>
    </row>
    <row customHeight="1" ht="11.549999999999999">
      <c r="D7" s="824"/>
      <c r="E7" s="2480" t="s">
        <v>186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718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719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8113" customFormat="1" customHeight="1" ht="11.549999999999999">
      <c r="A10" s="1134"/>
      <c r="B10" s="624"/>
      <c r="D10" s="2214" t="s">
        <v>455</v>
      </c>
      <c r="E10" s="2215"/>
      <c r="F10" s="2215"/>
      <c r="G10" s="2215"/>
      <c r="H10" s="2215"/>
      <c r="I10" s="2215"/>
      <c r="J10" s="2216"/>
      <c r="K10" s="2312"/>
      <c r="L10" s="622"/>
      <c r="X10" s="871">
        <v>11</v>
      </c>
    </row>
    <row s="8113" customFormat="1" customHeight="1" ht="24">
      <c r="A11" s="2498"/>
      <c r="B11" s="2498"/>
      <c r="C11" s="770"/>
      <c r="D11" s="816" t="s">
        <v>90</v>
      </c>
      <c r="E11" s="818" t="s">
        <v>960</v>
      </c>
      <c r="F11" s="818" t="s">
        <v>720</v>
      </c>
      <c r="G11" s="578" t="s">
        <v>458</v>
      </c>
      <c r="H11" s="578" t="s">
        <v>545</v>
      </c>
      <c r="I11" s="920" t="s">
        <v>458</v>
      </c>
      <c r="J11" s="921" t="s">
        <v>545</v>
      </c>
      <c r="K11" s="2345"/>
      <c r="L11" s="771"/>
      <c r="X11" s="622">
        <v>23</v>
      </c>
    </row>
    <row s="8192" customFormat="1" customHeight="1" ht="10.5">
      <c r="A12" s="1065"/>
      <c r="D12" s="1138" t="s">
        <v>155</v>
      </c>
      <c r="E12" s="1138" t="s">
        <v>105</v>
      </c>
      <c r="F12" s="1138" t="s">
        <v>92</v>
      </c>
      <c r="G12" s="1139" t="str">
        <f>G1&amp;".1"</f>
        <v>4.1</v>
      </c>
      <c r="H12" s="1139" t="str">
        <f>G1&amp;".2"</f>
        <v>4.2</v>
      </c>
      <c r="I12" s="1139" t="str">
        <f>I1&amp;".1"</f>
        <v>4.1</v>
      </c>
      <c r="J12" s="1139" t="str">
        <f>I1&amp;".2"</f>
        <v>4.2</v>
      </c>
      <c r="K12" s="1139"/>
      <c r="X12" s="624">
        <v>10</v>
      </c>
    </row>
    <row customHeight="1" ht="22.5">
      <c r="A13" s="2505" t="s">
        <v>961</v>
      </c>
      <c r="D13" s="1066" t="s">
        <v>155</v>
      </c>
      <c r="E13" s="392" t="s">
        <v>962</v>
      </c>
      <c r="F13" s="773" t="s">
        <v>963</v>
      </c>
      <c r="G13" s="670"/>
      <c r="H13" s="774"/>
      <c r="I13" s="670"/>
      <c r="J13" s="774"/>
      <c r="K13" s="402" t="s">
        <v>964</v>
      </c>
      <c r="L13" s="833"/>
      <c r="X13" s="618">
        <v>0</v>
      </c>
    </row>
    <row customHeight="1" ht="22.5">
      <c r="A14" s="2505"/>
      <c r="D14" s="652" t="s">
        <v>105</v>
      </c>
      <c r="E14" s="392" t="s">
        <v>965</v>
      </c>
      <c r="F14" s="773" t="s">
        <v>966</v>
      </c>
      <c r="G14" s="670"/>
      <c r="H14" s="775"/>
      <c r="I14" s="670"/>
      <c r="J14" s="775"/>
      <c r="K14" s="402" t="s">
        <v>967</v>
      </c>
      <c r="L14" s="833"/>
      <c r="X14" s="618">
        <v>0</v>
      </c>
    </row>
    <row s="8113" customFormat="1" customHeight="1" ht="78.75">
      <c r="A15" s="2505"/>
      <c r="B15" s="624"/>
      <c r="D15" s="1066" t="s">
        <v>92</v>
      </c>
      <c r="E15" s="820" t="s">
        <v>968</v>
      </c>
      <c r="F15" s="1063" t="s">
        <v>461</v>
      </c>
      <c r="G15" s="1063" t="s">
        <v>461</v>
      </c>
      <c r="H15" s="219"/>
      <c r="I15" s="1063" t="s">
        <v>461</v>
      </c>
      <c r="J15" s="219"/>
      <c r="K15" s="402" t="s">
        <v>969</v>
      </c>
      <c r="L15" s="833"/>
      <c r="X15" s="871">
        <v>0</v>
      </c>
    </row>
    <row s="8113" customFormat="1" customHeight="1" ht="22.5">
      <c r="A16" s="2505"/>
      <c r="B16" s="624"/>
      <c r="D16" s="1066" t="s">
        <v>479</v>
      </c>
      <c r="E16" s="1067" t="s">
        <v>970</v>
      </c>
      <c r="F16" s="1063" t="s">
        <v>971</v>
      </c>
      <c r="G16" s="930"/>
      <c r="H16" s="219"/>
      <c r="I16" s="930"/>
      <c r="J16" s="219"/>
      <c r="K16" s="402"/>
      <c r="L16" s="833"/>
      <c r="X16" s="871">
        <v>0</v>
      </c>
    </row>
    <row s="8113" customFormat="1" customHeight="1" ht="22.5">
      <c r="A17" s="2505"/>
      <c r="B17" s="624"/>
      <c r="D17" s="1066" t="s">
        <v>487</v>
      </c>
      <c r="E17" s="1067" t="s">
        <v>972</v>
      </c>
      <c r="F17" s="1063" t="s">
        <v>973</v>
      </c>
      <c r="G17" s="930"/>
      <c r="H17" s="219"/>
      <c r="I17" s="930"/>
      <c r="J17" s="219"/>
      <c r="K17" s="402"/>
      <c r="L17" s="833"/>
      <c r="X17" s="871">
        <v>0</v>
      </c>
    </row>
    <row s="8113" customFormat="1" customHeight="1" ht="33.75">
      <c r="A18" s="2505"/>
      <c r="B18" s="624"/>
      <c r="D18" s="1066" t="s">
        <v>489</v>
      </c>
      <c r="E18" s="1067" t="s">
        <v>974</v>
      </c>
      <c r="F18" s="1063" t="s">
        <v>725</v>
      </c>
      <c r="G18" s="793"/>
      <c r="H18" s="219"/>
      <c r="I18" s="793"/>
      <c r="J18" s="219"/>
      <c r="K18" s="402"/>
      <c r="L18" s="833"/>
      <c r="X18" s="871">
        <v>0</v>
      </c>
    </row>
    <row customHeight="1" ht="101.25">
      <c r="A19" s="2505"/>
      <c r="D19" s="1066" t="s">
        <v>93</v>
      </c>
      <c r="E19" s="392" t="s">
        <v>975</v>
      </c>
      <c r="F19" s="773" t="s">
        <v>700</v>
      </c>
      <c r="G19" s="776"/>
      <c r="H19" s="775"/>
      <c r="I19" s="1068"/>
      <c r="J19" s="775"/>
      <c r="K19" s="402" t="s">
        <v>976</v>
      </c>
      <c r="L19" s="833"/>
      <c r="X19" s="618">
        <v>0</v>
      </c>
    </row>
    <row s="8113" customFormat="1" customHeight="1" ht="18.75">
      <c r="A20" s="2505"/>
      <c r="C20" s="1069"/>
      <c r="D20" s="1066" t="s">
        <v>907</v>
      </c>
      <c r="E20" s="1067" t="s">
        <v>977</v>
      </c>
      <c r="F20" s="1063" t="s">
        <v>461</v>
      </c>
      <c r="G20" s="1063" t="s">
        <v>461</v>
      </c>
      <c r="H20" s="1062" t="s">
        <v>461</v>
      </c>
      <c r="I20" s="1063" t="s">
        <v>461</v>
      </c>
      <c r="J20" s="1062" t="s">
        <v>461</v>
      </c>
      <c r="K20" s="1061"/>
      <c r="L20" s="833"/>
      <c r="W20" s="788"/>
      <c r="X20" s="871">
        <v>0</v>
      </c>
    </row>
    <row s="8113" customFormat="1" customHeight="1" ht="33.75">
      <c r="A21" s="2505"/>
      <c r="C21" s="1069"/>
      <c r="D21" s="1066" t="s">
        <v>910</v>
      </c>
      <c r="E21" s="689" t="s">
        <v>978</v>
      </c>
      <c r="F21" s="1063" t="s">
        <v>979</v>
      </c>
      <c r="G21" s="793"/>
      <c r="H21" s="219"/>
      <c r="I21" s="793"/>
      <c r="J21" s="219"/>
      <c r="K21" s="1061"/>
      <c r="L21" s="833"/>
      <c r="W21" s="788"/>
      <c r="X21" s="871">
        <v>0</v>
      </c>
    </row>
    <row s="8113" customFormat="1" customHeight="1" ht="33.75">
      <c r="A22" s="2505"/>
      <c r="C22" s="1069"/>
      <c r="D22" s="1066" t="s">
        <v>913</v>
      </c>
      <c r="E22" s="689" t="s">
        <v>980</v>
      </c>
      <c r="F22" s="1063" t="s">
        <v>981</v>
      </c>
      <c r="G22" s="793"/>
      <c r="H22" s="219"/>
      <c r="I22" s="793"/>
      <c r="J22" s="219"/>
      <c r="K22" s="1061"/>
      <c r="L22" s="833"/>
      <c r="W22" s="788"/>
      <c r="X22" s="871">
        <v>0</v>
      </c>
    </row>
    <row s="8113" customFormat="1" customHeight="1" ht="22.5">
      <c r="A23" s="2505"/>
      <c r="C23" s="1069"/>
      <c r="D23" s="1066" t="s">
        <v>949</v>
      </c>
      <c r="E23" s="1067" t="s">
        <v>982</v>
      </c>
      <c r="F23" s="1063" t="s">
        <v>461</v>
      </c>
      <c r="G23" s="1063" t="s">
        <v>461</v>
      </c>
      <c r="H23" s="1062" t="s">
        <v>461</v>
      </c>
      <c r="I23" s="1063" t="s">
        <v>461</v>
      </c>
      <c r="J23" s="1062" t="s">
        <v>461</v>
      </c>
      <c r="K23" s="1061"/>
      <c r="L23" s="833"/>
      <c r="W23" s="788"/>
      <c r="X23" s="871">
        <v>0</v>
      </c>
    </row>
    <row s="8113" customFormat="1" customHeight="1" ht="22.5">
      <c r="A24" s="2505"/>
      <c r="C24" s="1069"/>
      <c r="D24" s="1066" t="s">
        <v>983</v>
      </c>
      <c r="E24" s="689" t="s">
        <v>984</v>
      </c>
      <c r="F24" s="1063" t="s">
        <v>985</v>
      </c>
      <c r="G24" s="793"/>
      <c r="H24" s="799"/>
      <c r="I24" s="793"/>
      <c r="J24" s="799"/>
      <c r="K24" s="1061"/>
      <c r="L24" s="833"/>
      <c r="W24" s="788"/>
      <c r="X24" s="871">
        <v>0</v>
      </c>
    </row>
    <row s="8113" customFormat="1" customHeight="1" ht="22.5">
      <c r="A25" s="2505"/>
      <c r="C25" s="1069"/>
      <c r="D25" s="1066" t="s">
        <v>986</v>
      </c>
      <c r="E25" s="689" t="s">
        <v>987</v>
      </c>
      <c r="F25" s="1063" t="s">
        <v>461</v>
      </c>
      <c r="G25" s="1063" t="s">
        <v>461</v>
      </c>
      <c r="H25" s="1062" t="s">
        <v>461</v>
      </c>
      <c r="I25" s="1063" t="s">
        <v>461</v>
      </c>
      <c r="J25" s="1062" t="s">
        <v>461</v>
      </c>
      <c r="K25" s="1061"/>
      <c r="L25" s="833"/>
      <c r="W25" s="788"/>
      <c r="X25" s="871">
        <v>0</v>
      </c>
    </row>
    <row s="8113" customFormat="1" customHeight="1" ht="18.75">
      <c r="A26" s="2505"/>
      <c r="C26" s="1069"/>
      <c r="D26" s="1066" t="s">
        <v>988</v>
      </c>
      <c r="E26" s="666" t="s">
        <v>989</v>
      </c>
      <c r="F26" s="1063" t="s">
        <v>990</v>
      </c>
      <c r="G26" s="793"/>
      <c r="H26" s="799"/>
      <c r="I26" s="793"/>
      <c r="J26" s="799"/>
      <c r="K26" s="1061"/>
      <c r="L26" s="833"/>
      <c r="W26" s="788"/>
      <c r="X26" s="871">
        <v>0</v>
      </c>
    </row>
    <row s="8113" customFormat="1" customHeight="1" ht="18.75">
      <c r="A27" s="2505"/>
      <c r="C27" s="1069"/>
      <c r="D27" s="1066" t="s">
        <v>991</v>
      </c>
      <c r="E27" s="666" t="s">
        <v>992</v>
      </c>
      <c r="F27" s="1063" t="s">
        <v>993</v>
      </c>
      <c r="G27" s="793"/>
      <c r="H27" s="799"/>
      <c r="I27" s="793"/>
      <c r="J27" s="799"/>
      <c r="K27" s="1061"/>
      <c r="L27" s="833"/>
      <c r="W27" s="788"/>
      <c r="X27" s="871">
        <v>0</v>
      </c>
    </row>
    <row s="8113" customFormat="1" customHeight="1" ht="18.75">
      <c r="A28" s="2505"/>
      <c r="C28" s="1069"/>
      <c r="D28" s="1066" t="s">
        <v>994</v>
      </c>
      <c r="E28" s="689" t="s">
        <v>995</v>
      </c>
      <c r="F28" s="1063" t="s">
        <v>461</v>
      </c>
      <c r="G28" s="1063" t="s">
        <v>461</v>
      </c>
      <c r="H28" s="1062" t="s">
        <v>461</v>
      </c>
      <c r="I28" s="1063" t="s">
        <v>461</v>
      </c>
      <c r="J28" s="1062" t="s">
        <v>461</v>
      </c>
      <c r="K28" s="1061"/>
      <c r="L28" s="833"/>
      <c r="W28" s="788"/>
      <c r="X28" s="871">
        <v>0</v>
      </c>
    </row>
    <row s="8113" customFormat="1" customHeight="1" ht="18.75">
      <c r="A29" s="2505"/>
      <c r="C29" s="1069"/>
      <c r="D29" s="1066" t="s">
        <v>996</v>
      </c>
      <c r="E29" s="666" t="s">
        <v>989</v>
      </c>
      <c r="F29" s="1063" t="s">
        <v>997</v>
      </c>
      <c r="G29" s="793"/>
      <c r="H29" s="799"/>
      <c r="I29" s="793"/>
      <c r="J29" s="799"/>
      <c r="K29" s="1061"/>
      <c r="L29" s="833"/>
      <c r="W29" s="788"/>
      <c r="X29" s="871">
        <v>0</v>
      </c>
    </row>
    <row s="8113" customFormat="1" customHeight="1" ht="18.75">
      <c r="A30" s="2505"/>
      <c r="C30" s="1069"/>
      <c r="D30" s="1066" t="s">
        <v>998</v>
      </c>
      <c r="E30" s="666" t="s">
        <v>999</v>
      </c>
      <c r="F30" s="1063" t="s">
        <v>1000</v>
      </c>
      <c r="G30" s="793"/>
      <c r="H30" s="799"/>
      <c r="I30" s="793"/>
      <c r="J30" s="799"/>
      <c r="K30" s="1061"/>
      <c r="L30" s="833"/>
      <c r="W30" s="788"/>
      <c r="X30" s="871">
        <v>0</v>
      </c>
    </row>
    <row customHeight="1" ht="126.75">
      <c r="A31" s="2505"/>
      <c r="D31" s="1066" t="s">
        <v>120</v>
      </c>
      <c r="E31" s="392" t="s">
        <v>1001</v>
      </c>
      <c r="F31" s="773" t="s">
        <v>712</v>
      </c>
      <c r="G31" s="670"/>
      <c r="H31" s="775"/>
      <c r="I31" s="670"/>
      <c r="J31" s="775"/>
      <c r="K31" s="402" t="s">
        <v>1002</v>
      </c>
      <c r="L31" s="833"/>
      <c r="X31" s="618">
        <v>0</v>
      </c>
    </row>
    <row customHeight="1" ht="56.25">
      <c r="A32" s="2505"/>
      <c r="D32" s="1066" t="s">
        <v>94</v>
      </c>
      <c r="E32" s="392" t="s">
        <v>1003</v>
      </c>
      <c r="F32" s="652" t="s">
        <v>973</v>
      </c>
      <c r="G32" s="670"/>
      <c r="H32" s="775"/>
      <c r="I32" s="670"/>
      <c r="J32" s="775"/>
      <c r="K32" s="402" t="s">
        <v>1004</v>
      </c>
      <c r="L32" s="833"/>
      <c r="X32" s="618">
        <v>0</v>
      </c>
    </row>
    <row customHeight="1" ht="11.25">
      <c r="A33" s="2505"/>
      <c r="E33" s="777"/>
      <c r="F33" s="294"/>
      <c r="G33" s="294"/>
      <c r="H33" s="294"/>
      <c r="I33" s="294"/>
      <c r="J33" s="294"/>
      <c r="K33" s="294"/>
      <c r="X33" s="618">
        <v>0</v>
      </c>
    </row>
    <row customHeight="1" ht="12.75">
      <c r="A34" s="2505"/>
      <c r="D34" s="178">
        <v>1</v>
      </c>
      <c r="E34" s="448" t="s">
        <v>1005</v>
      </c>
      <c r="X34" s="618">
        <v>0</v>
      </c>
    </row>
    <row customHeight="1" ht="11.25">
      <c r="A35" s="2505"/>
      <c r="D35" s="482"/>
      <c r="E35" s="448" t="s">
        <v>1006</v>
      </c>
      <c r="X35" s="618">
        <v>0</v>
      </c>
    </row>
    <row s="8113" customFormat="1" customHeight="1" ht="11.549999999999999">
      <c r="A36" s="1146"/>
      <c r="B36" s="631"/>
      <c r="D36" s="1147"/>
      <c r="E36" s="1148"/>
      <c r="X36" s="622">
        <v>11</v>
      </c>
    </row>
    <row s="8113" customFormat="1" customHeight="1" ht="22.5" hidden="1">
      <c r="A37" s="2505" t="s">
        <v>1007</v>
      </c>
      <c r="B37" s="624"/>
      <c r="D37" s="1066">
        <v>1</v>
      </c>
      <c r="E37" s="820" t="s">
        <v>1008</v>
      </c>
      <c r="F37" s="773" t="s">
        <v>963</v>
      </c>
      <c r="G37" s="670"/>
      <c r="H37" s="632"/>
      <c r="I37" s="670"/>
      <c r="J37" s="632"/>
      <c r="K37" s="402" t="s">
        <v>1009</v>
      </c>
      <c r="X37" s="871">
        <v>0</v>
      </c>
    </row>
    <row s="8113" customFormat="1" customHeight="1" ht="22.5" hidden="1">
      <c r="A38" s="2505"/>
      <c r="B38" s="624"/>
      <c r="D38" s="782" t="s">
        <v>105</v>
      </c>
      <c r="E38" s="1145" t="s">
        <v>1010</v>
      </c>
      <c r="F38" s="1149" t="s">
        <v>700</v>
      </c>
      <c r="G38" s="1149" t="s">
        <v>700</v>
      </c>
      <c r="H38" s="1143"/>
      <c r="I38" s="1149" t="s">
        <v>700</v>
      </c>
      <c r="J38" s="1143"/>
      <c r="K38" s="1144"/>
      <c r="X38" s="871">
        <v>0</v>
      </c>
    </row>
    <row s="8113" customFormat="1" customHeight="1" ht="33.75" hidden="1">
      <c r="A39" s="2505"/>
      <c r="B39" s="624"/>
      <c r="D39" s="778" t="s">
        <v>865</v>
      </c>
      <c r="E39" s="836" t="s">
        <v>1011</v>
      </c>
      <c r="F39" s="773" t="s">
        <v>1012</v>
      </c>
      <c r="G39" s="781"/>
      <c r="H39" s="1136"/>
      <c r="I39" s="781"/>
      <c r="J39" s="1136"/>
      <c r="K39" s="402" t="s">
        <v>1013</v>
      </c>
      <c r="X39" s="871">
        <v>0</v>
      </c>
    </row>
    <row s="8113" customFormat="1" customHeight="1" ht="33.75" hidden="1">
      <c r="A40" s="2505"/>
      <c r="B40" s="624"/>
      <c r="D40" s="778" t="s">
        <v>868</v>
      </c>
      <c r="E40" s="836" t="s">
        <v>1014</v>
      </c>
      <c r="F40" s="1140" t="s">
        <v>1015</v>
      </c>
      <c r="G40" s="854"/>
      <c r="H40" s="1136"/>
      <c r="I40" s="854"/>
      <c r="J40" s="1136"/>
      <c r="K40" s="402" t="s">
        <v>1016</v>
      </c>
      <c r="X40" s="871">
        <v>0</v>
      </c>
    </row>
    <row s="8113" customFormat="1" customHeight="1" ht="22.5" hidden="1">
      <c r="A41" s="2505"/>
      <c r="B41" s="624"/>
      <c r="D41" s="778" t="s">
        <v>92</v>
      </c>
      <c r="E41" s="835" t="s">
        <v>1017</v>
      </c>
      <c r="F41" s="773" t="s">
        <v>700</v>
      </c>
      <c r="G41" s="773" t="s">
        <v>700</v>
      </c>
      <c r="H41" s="1137"/>
      <c r="I41" s="773" t="s">
        <v>700</v>
      </c>
      <c r="J41" s="1137"/>
      <c r="K41" s="415"/>
      <c r="X41" s="871">
        <v>0</v>
      </c>
    </row>
    <row s="8113" customFormat="1" customHeight="1" ht="45" hidden="1">
      <c r="A42" s="2505"/>
      <c r="B42" s="624"/>
      <c r="D42" s="778" t="s">
        <v>479</v>
      </c>
      <c r="E42" s="836" t="s">
        <v>1018</v>
      </c>
      <c r="F42" s="773" t="s">
        <v>712</v>
      </c>
      <c r="G42" s="670"/>
      <c r="H42" s="1137"/>
      <c r="I42" s="670"/>
      <c r="J42" s="1137"/>
      <c r="K42" s="415" t="s">
        <v>1019</v>
      </c>
      <c r="X42" s="871">
        <v>0</v>
      </c>
    </row>
    <row s="8113" customFormat="1" customHeight="1" ht="45" hidden="1">
      <c r="A43" s="2505"/>
      <c r="B43" s="624"/>
      <c r="D43" s="778" t="s">
        <v>487</v>
      </c>
      <c r="E43" s="780" t="s">
        <v>1020</v>
      </c>
      <c r="F43" s="1141" t="s">
        <v>712</v>
      </c>
      <c r="G43" s="855"/>
      <c r="H43" s="1136"/>
      <c r="I43" s="855"/>
      <c r="J43" s="1136"/>
      <c r="K43" s="415" t="s">
        <v>1021</v>
      </c>
      <c r="X43" s="871">
        <v>0</v>
      </c>
    </row>
    <row s="8113" customFormat="1" customHeight="1" ht="11.25" hidden="1">
      <c r="A44" s="2505"/>
      <c r="B44" s="624"/>
      <c r="D44" s="778" t="s">
        <v>93</v>
      </c>
      <c r="E44" s="779" t="s">
        <v>1022</v>
      </c>
      <c r="F44" s="773" t="s">
        <v>1012</v>
      </c>
      <c r="G44" s="781"/>
      <c r="H44" s="1136"/>
      <c r="I44" s="781"/>
      <c r="J44" s="1136"/>
      <c r="K44" s="402"/>
      <c r="X44" s="871">
        <v>0</v>
      </c>
    </row>
    <row s="8113" customFormat="1" customHeight="1" ht="11.25" hidden="1">
      <c r="A45" s="2505"/>
      <c r="B45" s="624"/>
      <c r="D45" s="778" t="s">
        <v>907</v>
      </c>
      <c r="E45" s="780" t="s">
        <v>1023</v>
      </c>
      <c r="F45" s="773" t="s">
        <v>1012</v>
      </c>
      <c r="G45" s="781"/>
      <c r="H45" s="1136"/>
      <c r="I45" s="781"/>
      <c r="J45" s="1136"/>
      <c r="K45" s="402"/>
      <c r="X45" s="871">
        <v>0</v>
      </c>
    </row>
    <row s="8113" customFormat="1" customHeight="1" ht="11.25" hidden="1">
      <c r="A46" s="2505"/>
      <c r="B46" s="624"/>
      <c r="D46" s="778" t="s">
        <v>949</v>
      </c>
      <c r="E46" s="780" t="s">
        <v>1024</v>
      </c>
      <c r="F46" s="773" t="s">
        <v>1012</v>
      </c>
      <c r="G46" s="781"/>
      <c r="H46" s="1136"/>
      <c r="I46" s="781"/>
      <c r="J46" s="1136"/>
      <c r="K46" s="402"/>
      <c r="X46" s="871">
        <v>0</v>
      </c>
    </row>
    <row s="8113" customFormat="1" customHeight="1" ht="11.25" hidden="1">
      <c r="A47" s="2505"/>
      <c r="B47" s="624"/>
      <c r="D47" s="778" t="s">
        <v>952</v>
      </c>
      <c r="E47" s="780" t="s">
        <v>1025</v>
      </c>
      <c r="F47" s="773" t="s">
        <v>1012</v>
      </c>
      <c r="G47" s="781"/>
      <c r="H47" s="1136"/>
      <c r="I47" s="781"/>
      <c r="J47" s="1136"/>
      <c r="K47" s="402"/>
      <c r="X47" s="871">
        <v>0</v>
      </c>
    </row>
    <row s="8113" customFormat="1" customHeight="1" ht="11.25" hidden="1">
      <c r="A48" s="2505"/>
      <c r="B48" s="624"/>
      <c r="D48" s="778" t="s">
        <v>1026</v>
      </c>
      <c r="E48" s="784" t="s">
        <v>1027</v>
      </c>
      <c r="F48" s="773" t="s">
        <v>1012</v>
      </c>
      <c r="G48" s="781"/>
      <c r="H48" s="1136"/>
      <c r="I48" s="781"/>
      <c r="J48" s="1136"/>
      <c r="K48" s="402"/>
      <c r="X48" s="871">
        <v>0</v>
      </c>
    </row>
    <row s="8113" customFormat="1" customHeight="1" ht="11.25" hidden="1">
      <c r="A49" s="2505"/>
      <c r="B49" s="624"/>
      <c r="D49" s="778" t="s">
        <v>1028</v>
      </c>
      <c r="E49" s="784" t="s">
        <v>1029</v>
      </c>
      <c r="F49" s="773" t="s">
        <v>1012</v>
      </c>
      <c r="G49" s="781"/>
      <c r="H49" s="1136"/>
      <c r="I49" s="781"/>
      <c r="J49" s="1136"/>
      <c r="K49" s="402"/>
      <c r="X49" s="871">
        <v>0</v>
      </c>
    </row>
    <row s="8113" customFormat="1" customHeight="1" ht="11.25" hidden="1">
      <c r="A50" s="2505"/>
      <c r="B50" s="624"/>
      <c r="D50" s="778" t="s">
        <v>1030</v>
      </c>
      <c r="E50" s="780" t="s">
        <v>1031</v>
      </c>
      <c r="F50" s="773" t="s">
        <v>1012</v>
      </c>
      <c r="G50" s="781"/>
      <c r="H50" s="1136"/>
      <c r="I50" s="781"/>
      <c r="J50" s="1136"/>
      <c r="K50" s="402"/>
      <c r="X50" s="871">
        <v>0</v>
      </c>
    </row>
    <row s="8113" customFormat="1" customHeight="1" ht="11.25" hidden="1">
      <c r="A51" s="2505"/>
      <c r="B51" s="624"/>
      <c r="D51" s="778" t="s">
        <v>1032</v>
      </c>
      <c r="E51" s="780" t="s">
        <v>1033</v>
      </c>
      <c r="F51" s="773" t="s">
        <v>1012</v>
      </c>
      <c r="G51" s="781"/>
      <c r="H51" s="1136"/>
      <c r="I51" s="781"/>
      <c r="J51" s="1136"/>
      <c r="K51" s="402"/>
      <c r="X51" s="871">
        <v>0</v>
      </c>
    </row>
    <row s="8113" customFormat="1" customHeight="1" ht="45" hidden="1">
      <c r="A52" s="2505"/>
      <c r="B52" s="624"/>
      <c r="D52" s="778" t="s">
        <v>120</v>
      </c>
      <c r="E52" s="779" t="s">
        <v>1034</v>
      </c>
      <c r="F52" s="773" t="s">
        <v>1012</v>
      </c>
      <c r="G52" s="781"/>
      <c r="H52" s="1136"/>
      <c r="I52" s="781"/>
      <c r="J52" s="1136"/>
      <c r="K52" s="402"/>
      <c r="X52" s="871">
        <v>0</v>
      </c>
    </row>
    <row s="8113" customFormat="1" customHeight="1" ht="11.25" hidden="1">
      <c r="A53" s="2505"/>
      <c r="B53" s="624"/>
      <c r="D53" s="778" t="s">
        <v>468</v>
      </c>
      <c r="E53" s="780" t="s">
        <v>1023</v>
      </c>
      <c r="F53" s="773" t="s">
        <v>1012</v>
      </c>
      <c r="G53" s="781"/>
      <c r="H53" s="1136"/>
      <c r="I53" s="781"/>
      <c r="J53" s="1136"/>
      <c r="K53" s="402"/>
      <c r="X53" s="871">
        <v>0</v>
      </c>
    </row>
    <row s="8113" customFormat="1" customHeight="1" ht="11.25" hidden="1">
      <c r="A54" s="2505"/>
      <c r="B54" s="624"/>
      <c r="D54" s="778" t="s">
        <v>1035</v>
      </c>
      <c r="E54" s="780" t="s">
        <v>1024</v>
      </c>
      <c r="F54" s="773" t="s">
        <v>1012</v>
      </c>
      <c r="G54" s="781"/>
      <c r="H54" s="1136"/>
      <c r="I54" s="781"/>
      <c r="J54" s="1136"/>
      <c r="K54" s="402"/>
      <c r="X54" s="871">
        <v>0</v>
      </c>
    </row>
    <row s="8113" customFormat="1" customHeight="1" ht="11.25" hidden="1">
      <c r="A55" s="2505"/>
      <c r="B55" s="624"/>
      <c r="D55" s="778" t="s">
        <v>1036</v>
      </c>
      <c r="E55" s="780" t="s">
        <v>1025</v>
      </c>
      <c r="F55" s="773" t="s">
        <v>1012</v>
      </c>
      <c r="G55" s="781"/>
      <c r="H55" s="1136"/>
      <c r="I55" s="781"/>
      <c r="J55" s="1136"/>
      <c r="K55" s="402"/>
      <c r="X55" s="871">
        <v>0</v>
      </c>
    </row>
    <row s="8113" customFormat="1" customHeight="1" ht="11.25" hidden="1">
      <c r="A56" s="2505"/>
      <c r="B56" s="624"/>
      <c r="D56" s="778" t="s">
        <v>1037</v>
      </c>
      <c r="E56" s="784" t="s">
        <v>1027</v>
      </c>
      <c r="F56" s="773" t="s">
        <v>1012</v>
      </c>
      <c r="G56" s="781"/>
      <c r="H56" s="1136"/>
      <c r="I56" s="781"/>
      <c r="J56" s="1136"/>
      <c r="K56" s="402"/>
      <c r="X56" s="871">
        <v>0</v>
      </c>
    </row>
    <row s="8113" customFormat="1" customHeight="1" ht="11.25" hidden="1">
      <c r="A57" s="2505"/>
      <c r="B57" s="624"/>
      <c r="D57" s="778" t="s">
        <v>1038</v>
      </c>
      <c r="E57" s="784" t="s">
        <v>1029</v>
      </c>
      <c r="F57" s="773" t="s">
        <v>1012</v>
      </c>
      <c r="G57" s="781"/>
      <c r="H57" s="1136"/>
      <c r="I57" s="781"/>
      <c r="J57" s="1136"/>
      <c r="K57" s="402"/>
      <c r="X57" s="871">
        <v>0</v>
      </c>
    </row>
    <row s="8113" customFormat="1" customHeight="1" ht="11.25" hidden="1">
      <c r="A58" s="2505"/>
      <c r="B58" s="624"/>
      <c r="D58" s="778" t="s">
        <v>1039</v>
      </c>
      <c r="E58" s="780" t="s">
        <v>1031</v>
      </c>
      <c r="F58" s="773" t="s">
        <v>1012</v>
      </c>
      <c r="G58" s="781"/>
      <c r="H58" s="1136"/>
      <c r="I58" s="781"/>
      <c r="J58" s="1136"/>
      <c r="K58" s="402"/>
      <c r="X58" s="871">
        <v>0</v>
      </c>
    </row>
    <row s="8113" customFormat="1" customHeight="1" ht="11.25" hidden="1">
      <c r="A59" s="2505"/>
      <c r="B59" s="624"/>
      <c r="D59" s="778" t="s">
        <v>1040</v>
      </c>
      <c r="E59" s="780" t="s">
        <v>1033</v>
      </c>
      <c r="F59" s="773" t="s">
        <v>1012</v>
      </c>
      <c r="G59" s="781"/>
      <c r="H59" s="1136"/>
      <c r="I59" s="781"/>
      <c r="J59" s="1136"/>
      <c r="K59" s="402"/>
      <c r="X59" s="871">
        <v>0</v>
      </c>
    </row>
    <row s="8113" customFormat="1" customHeight="1" ht="33.75" hidden="1">
      <c r="A60" s="2505"/>
      <c r="B60" s="624"/>
      <c r="D60" s="778" t="s">
        <v>94</v>
      </c>
      <c r="E60" s="779" t="s">
        <v>1041</v>
      </c>
      <c r="F60" s="834" t="s">
        <v>712</v>
      </c>
      <c r="G60" s="855"/>
      <c r="H60" s="1136"/>
      <c r="I60" s="855"/>
      <c r="J60" s="1136"/>
      <c r="K60" s="415" t="s">
        <v>1042</v>
      </c>
      <c r="X60" s="871">
        <v>0</v>
      </c>
    </row>
    <row s="8113" customFormat="1" customHeight="1" ht="33.75" hidden="1">
      <c r="A61" s="2505"/>
      <c r="B61" s="624"/>
      <c r="D61" s="778" t="s">
        <v>95</v>
      </c>
      <c r="E61" s="779" t="s">
        <v>1043</v>
      </c>
      <c r="F61" s="839" t="s">
        <v>973</v>
      </c>
      <c r="G61" s="781"/>
      <c r="H61" s="1136"/>
      <c r="I61" s="781"/>
      <c r="J61" s="1136"/>
      <c r="K61" s="402"/>
      <c r="X61" s="871">
        <v>0</v>
      </c>
    </row>
    <row s="8113" customFormat="1" customHeight="1" ht="22.5" hidden="1">
      <c r="A62" s="2505"/>
      <c r="B62" s="624" t="s">
        <v>742</v>
      </c>
      <c r="D62" s="778" t="s">
        <v>134</v>
      </c>
      <c r="E62" s="779" t="s">
        <v>1044</v>
      </c>
      <c r="F62" s="839" t="s">
        <v>461</v>
      </c>
      <c r="G62" s="495"/>
      <c r="H62" s="1136"/>
      <c r="I62" s="495"/>
      <c r="J62" s="1136"/>
      <c r="K62" s="402" t="s">
        <v>785</v>
      </c>
      <c r="X62" s="871">
        <v>0</v>
      </c>
    </row>
    <row s="8113" customFormat="1" customHeight="1" ht="45" hidden="1">
      <c r="A63" s="2505"/>
      <c r="B63" s="624" t="s">
        <v>742</v>
      </c>
      <c r="D63" s="778" t="s">
        <v>1045</v>
      </c>
      <c r="E63" s="780" t="s">
        <v>1046</v>
      </c>
      <c r="F63" s="834" t="s">
        <v>461</v>
      </c>
      <c r="G63" s="495"/>
      <c r="H63" s="1136"/>
      <c r="I63" s="495"/>
      <c r="J63" s="1136"/>
      <c r="K63" s="402" t="s">
        <v>785</v>
      </c>
      <c r="X63" s="871">
        <v>0</v>
      </c>
    </row>
    <row s="8113" customFormat="1" customHeight="1" ht="11.549999999999999">
      <c r="A64" s="1146"/>
      <c r="B64" s="631"/>
      <c r="D64" s="1147"/>
      <c r="E64" s="1148"/>
      <c r="X64" s="622">
        <v>11</v>
      </c>
    </row>
    <row s="8113" customFormat="1" customHeight="1" ht="22.5" hidden="1">
      <c r="A65" s="2505" t="s">
        <v>1047</v>
      </c>
      <c r="B65" s="624"/>
      <c r="D65" s="778">
        <v>1</v>
      </c>
      <c r="E65" s="857" t="s">
        <v>1048</v>
      </c>
      <c r="F65" s="853" t="s">
        <v>963</v>
      </c>
      <c r="G65" s="854"/>
      <c r="H65" s="1142"/>
      <c r="I65" s="854"/>
      <c r="J65" s="1142"/>
      <c r="K65" s="414" t="s">
        <v>1049</v>
      </c>
      <c r="X65" s="871">
        <v>0</v>
      </c>
    </row>
    <row s="8113" customFormat="1" customHeight="1" ht="56.25" hidden="1">
      <c r="A66" s="2505"/>
      <c r="B66" s="624"/>
      <c r="D66" s="856" t="s">
        <v>105</v>
      </c>
      <c r="E66" s="820" t="s">
        <v>1050</v>
      </c>
      <c r="F66" s="773" t="s">
        <v>700</v>
      </c>
      <c r="G66" s="773" t="s">
        <v>700</v>
      </c>
      <c r="H66" s="632"/>
      <c r="I66" s="773" t="s">
        <v>700</v>
      </c>
      <c r="J66" s="632"/>
      <c r="K66" s="402"/>
      <c r="X66" s="871">
        <v>0</v>
      </c>
    </row>
    <row s="8113" customFormat="1" customHeight="1" ht="33.75" hidden="1">
      <c r="A67" s="2505"/>
      <c r="B67" s="624"/>
      <c r="D67" s="856" t="s">
        <v>862</v>
      </c>
      <c r="E67" s="1067" t="s">
        <v>1051</v>
      </c>
      <c r="F67" s="773" t="s">
        <v>1015</v>
      </c>
      <c r="G67" s="840"/>
      <c r="H67" s="632"/>
      <c r="I67" s="840"/>
      <c r="J67" s="632"/>
      <c r="K67" s="402"/>
      <c r="X67" s="871">
        <v>0</v>
      </c>
    </row>
    <row s="8113" customFormat="1" customHeight="1" ht="22.5" hidden="1">
      <c r="A68" s="2505"/>
      <c r="B68" s="624"/>
      <c r="D68" s="856" t="s">
        <v>462</v>
      </c>
      <c r="E68" s="1067" t="s">
        <v>1052</v>
      </c>
      <c r="F68" s="773" t="s">
        <v>1015</v>
      </c>
      <c r="G68" s="840"/>
      <c r="H68" s="632"/>
      <c r="I68" s="840"/>
      <c r="J68" s="632"/>
      <c r="K68" s="402"/>
      <c r="X68" s="871">
        <v>0</v>
      </c>
    </row>
    <row s="8113" customFormat="1" customHeight="1" ht="22.5" hidden="1">
      <c r="A69" s="2505"/>
      <c r="B69" s="624"/>
      <c r="D69" s="856" t="s">
        <v>465</v>
      </c>
      <c r="E69" s="1067" t="s">
        <v>1053</v>
      </c>
      <c r="F69" s="834" t="s">
        <v>712</v>
      </c>
      <c r="G69" s="855"/>
      <c r="H69" s="632"/>
      <c r="I69" s="855"/>
      <c r="J69" s="632"/>
      <c r="K69" s="402"/>
      <c r="X69" s="871">
        <v>0</v>
      </c>
    </row>
    <row s="8113" customFormat="1" customHeight="1" ht="22.5" hidden="1">
      <c r="A70" s="2505"/>
      <c r="B70" s="624"/>
      <c r="D70" s="856" t="s">
        <v>882</v>
      </c>
      <c r="E70" s="1067" t="s">
        <v>1054</v>
      </c>
      <c r="F70" s="834" t="s">
        <v>712</v>
      </c>
      <c r="G70" s="855"/>
      <c r="H70" s="632"/>
      <c r="I70" s="855"/>
      <c r="J70" s="632"/>
      <c r="K70" s="402"/>
      <c r="X70" s="871">
        <v>0</v>
      </c>
    </row>
    <row s="8113" customFormat="1" customHeight="1" ht="22.5" hidden="1">
      <c r="A71" s="2505"/>
      <c r="B71" s="624"/>
      <c r="D71" s="778" t="s">
        <v>92</v>
      </c>
      <c r="E71" s="779" t="s">
        <v>1055</v>
      </c>
      <c r="F71" s="773" t="s">
        <v>1015</v>
      </c>
      <c r="G71" s="670"/>
      <c r="H71" s="1143"/>
      <c r="I71" s="670"/>
      <c r="J71" s="1143"/>
      <c r="K71" s="415"/>
      <c r="X71" s="871">
        <v>0</v>
      </c>
    </row>
    <row s="8113" customFormat="1" customHeight="1" ht="56.25" hidden="1">
      <c r="A72" s="2505"/>
      <c r="B72" s="624"/>
      <c r="D72" s="778" t="s">
        <v>93</v>
      </c>
      <c r="E72" s="779" t="s">
        <v>1056</v>
      </c>
      <c r="F72" s="834" t="s">
        <v>712</v>
      </c>
      <c r="G72" s="855"/>
      <c r="H72" s="1136"/>
      <c r="I72" s="855"/>
      <c r="J72" s="1136"/>
      <c r="K72" s="415"/>
      <c r="X72" s="871">
        <v>0</v>
      </c>
    </row>
    <row s="8113" customFormat="1" customHeight="1" ht="33.75" hidden="1">
      <c r="A73" s="2505"/>
      <c r="B73" s="624"/>
      <c r="D73" s="778" t="s">
        <v>120</v>
      </c>
      <c r="E73" s="779" t="s">
        <v>1057</v>
      </c>
      <c r="F73" s="839" t="s">
        <v>973</v>
      </c>
      <c r="G73" s="781"/>
      <c r="H73" s="1136"/>
      <c r="I73" s="781"/>
      <c r="J73" s="1136"/>
      <c r="K73" s="402"/>
      <c r="X73" s="871">
        <v>0</v>
      </c>
    </row>
    <row s="8113" customFormat="1" customHeight="1" ht="22.5" hidden="1">
      <c r="A74" s="2505"/>
      <c r="B74" s="624" t="s">
        <v>742</v>
      </c>
      <c r="D74" s="778" t="s">
        <v>94</v>
      </c>
      <c r="E74" s="779" t="s">
        <v>1058</v>
      </c>
      <c r="F74" s="839" t="s">
        <v>461</v>
      </c>
      <c r="G74" s="495"/>
      <c r="H74" s="1136"/>
      <c r="I74" s="495"/>
      <c r="J74" s="1136"/>
      <c r="K74" s="402" t="s">
        <v>785</v>
      </c>
      <c r="X74" s="871">
        <v>0</v>
      </c>
    </row>
    <row s="8113" customFormat="1" customHeight="1" ht="45" hidden="1">
      <c r="A75" s="2505"/>
      <c r="B75" s="624" t="s">
        <v>742</v>
      </c>
      <c r="D75" s="778" t="s">
        <v>806</v>
      </c>
      <c r="E75" s="780" t="s">
        <v>1059</v>
      </c>
      <c r="F75" s="834" t="s">
        <v>461</v>
      </c>
      <c r="G75" s="495"/>
      <c r="H75" s="1136"/>
      <c r="I75" s="495"/>
      <c r="J75" s="1136"/>
      <c r="K75" s="402" t="s">
        <v>785</v>
      </c>
      <c r="X75" s="871">
        <v>0</v>
      </c>
    </row>
    <row s="8113" customFormat="1" customHeight="1" ht="11.549999999999999">
      <c r="A76" s="1146"/>
      <c r="B76" s="631"/>
      <c r="D76" s="1147"/>
      <c r="E76" s="1148"/>
      <c r="X76" s="622">
        <v>11</v>
      </c>
    </row>
    <row s="8113" customFormat="1" customHeight="1" ht="11.25" hidden="1">
      <c r="A77" s="2505" t="s">
        <v>1060</v>
      </c>
      <c r="B77" s="624"/>
      <c r="D77" s="778">
        <v>1</v>
      </c>
      <c r="E77" s="779" t="s">
        <v>1061</v>
      </c>
      <c r="F77" s="834" t="s">
        <v>963</v>
      </c>
      <c r="G77" s="837"/>
      <c r="H77" s="1136"/>
      <c r="I77" s="837"/>
      <c r="J77" s="1136"/>
      <c r="K77" s="402" t="s">
        <v>1062</v>
      </c>
      <c r="X77" s="871">
        <v>0</v>
      </c>
    </row>
    <row s="8113" customFormat="1" customHeight="1" ht="11.25" hidden="1">
      <c r="A78" s="2505"/>
      <c r="B78" s="624"/>
      <c r="D78" s="778" t="s">
        <v>105</v>
      </c>
      <c r="E78" s="779" t="s">
        <v>1063</v>
      </c>
      <c r="F78" s="834" t="s">
        <v>963</v>
      </c>
      <c r="G78" s="837"/>
      <c r="H78" s="1136"/>
      <c r="I78" s="837"/>
      <c r="J78" s="1136"/>
      <c r="K78" s="402" t="s">
        <v>1064</v>
      </c>
      <c r="X78" s="871">
        <v>0</v>
      </c>
    </row>
    <row s="8113" customFormat="1" customHeight="1" ht="22.5" hidden="1">
      <c r="A79" s="2505"/>
      <c r="B79" s="624"/>
      <c r="D79" s="778" t="s">
        <v>92</v>
      </c>
      <c r="E79" s="835" t="s">
        <v>1065</v>
      </c>
      <c r="F79" s="773" t="s">
        <v>1012</v>
      </c>
      <c r="G79" s="837"/>
      <c r="H79" s="1136"/>
      <c r="I79" s="837"/>
      <c r="J79" s="1136"/>
      <c r="K79" s="402" t="s">
        <v>1066</v>
      </c>
      <c r="X79" s="871">
        <v>0</v>
      </c>
    </row>
    <row s="8113" customFormat="1" customHeight="1" ht="11.25" hidden="1">
      <c r="A80" s="2505"/>
      <c r="B80" s="624"/>
      <c r="D80" s="778" t="s">
        <v>479</v>
      </c>
      <c r="E80" s="836" t="s">
        <v>1067</v>
      </c>
      <c r="F80" s="773" t="s">
        <v>1012</v>
      </c>
      <c r="G80" s="837"/>
      <c r="H80" s="1136"/>
      <c r="I80" s="837"/>
      <c r="J80" s="1136"/>
      <c r="K80" s="402"/>
      <c r="X80" s="871">
        <v>0</v>
      </c>
    </row>
    <row s="8113" customFormat="1" customHeight="1" ht="11.25" hidden="1">
      <c r="A81" s="2505"/>
      <c r="B81" s="624"/>
      <c r="D81" s="778" t="s">
        <v>487</v>
      </c>
      <c r="E81" s="836" t="s">
        <v>1068</v>
      </c>
      <c r="F81" s="773" t="s">
        <v>1012</v>
      </c>
      <c r="G81" s="837"/>
      <c r="H81" s="1136"/>
      <c r="I81" s="837"/>
      <c r="J81" s="1136"/>
      <c r="K81" s="402"/>
      <c r="X81" s="871">
        <v>0</v>
      </c>
    </row>
    <row s="8113" customFormat="1" customHeight="1" ht="11.25" hidden="1">
      <c r="A82" s="2505"/>
      <c r="B82" s="624"/>
      <c r="D82" s="778" t="s">
        <v>489</v>
      </c>
      <c r="E82" s="836" t="s">
        <v>1069</v>
      </c>
      <c r="F82" s="773" t="s">
        <v>1012</v>
      </c>
      <c r="G82" s="837"/>
      <c r="H82" s="1136"/>
      <c r="I82" s="837"/>
      <c r="J82" s="1136"/>
      <c r="K82" s="402"/>
      <c r="X82" s="871">
        <v>0</v>
      </c>
    </row>
    <row s="8113" customFormat="1" customHeight="1" ht="11.25" hidden="1">
      <c r="A83" s="2505"/>
      <c r="B83" s="624"/>
      <c r="D83" s="778" t="s">
        <v>491</v>
      </c>
      <c r="E83" s="836" t="s">
        <v>1070</v>
      </c>
      <c r="F83" s="773" t="s">
        <v>1012</v>
      </c>
      <c r="G83" s="837"/>
      <c r="H83" s="1136"/>
      <c r="I83" s="837"/>
      <c r="J83" s="1136"/>
      <c r="K83" s="402"/>
      <c r="X83" s="871">
        <v>0</v>
      </c>
    </row>
    <row s="8113" customFormat="1" customHeight="1" ht="11.25" hidden="1">
      <c r="A84" s="2505"/>
      <c r="B84" s="624"/>
      <c r="D84" s="778" t="s">
        <v>1071</v>
      </c>
      <c r="E84" s="836" t="s">
        <v>1072</v>
      </c>
      <c r="F84" s="773" t="s">
        <v>1012</v>
      </c>
      <c r="G84" s="837"/>
      <c r="H84" s="1136"/>
      <c r="I84" s="837"/>
      <c r="J84" s="1136"/>
      <c r="K84" s="402"/>
      <c r="X84" s="871">
        <v>0</v>
      </c>
    </row>
    <row s="8113" customFormat="1" customHeight="1" ht="11.25" hidden="1">
      <c r="A85" s="2505"/>
      <c r="B85" s="624"/>
      <c r="D85" s="778" t="s">
        <v>1073</v>
      </c>
      <c r="E85" s="836" t="s">
        <v>1074</v>
      </c>
      <c r="F85" s="773" t="s">
        <v>1012</v>
      </c>
      <c r="G85" s="837"/>
      <c r="H85" s="1136"/>
      <c r="I85" s="837"/>
      <c r="J85" s="1136"/>
      <c r="K85" s="402"/>
      <c r="X85" s="871">
        <v>0</v>
      </c>
    </row>
    <row s="8113" customFormat="1" customHeight="1" ht="11.25" hidden="1">
      <c r="A86" s="2505"/>
      <c r="B86" s="624"/>
      <c r="D86" s="778" t="s">
        <v>1075</v>
      </c>
      <c r="E86" s="836" t="s">
        <v>1076</v>
      </c>
      <c r="F86" s="773" t="s">
        <v>1012</v>
      </c>
      <c r="G86" s="837"/>
      <c r="H86" s="1136"/>
      <c r="I86" s="837"/>
      <c r="J86" s="1136"/>
      <c r="K86" s="402"/>
      <c r="X86" s="871">
        <v>0</v>
      </c>
    </row>
    <row s="8113" customFormat="1" customHeight="1" ht="45" hidden="1">
      <c r="A87" s="2505"/>
      <c r="B87" s="624"/>
      <c r="D87" s="778" t="s">
        <v>93</v>
      </c>
      <c r="E87" s="779" t="s">
        <v>1077</v>
      </c>
      <c r="F87" s="773" t="s">
        <v>1012</v>
      </c>
      <c r="G87" s="837"/>
      <c r="H87" s="1136"/>
      <c r="I87" s="837"/>
      <c r="J87" s="1136"/>
      <c r="K87" s="402" t="s">
        <v>1078</v>
      </c>
      <c r="X87" s="871">
        <v>0</v>
      </c>
    </row>
    <row s="8113" customFormat="1" customHeight="1" ht="11.25" hidden="1">
      <c r="A88" s="2505"/>
      <c r="B88" s="624"/>
      <c r="D88" s="778" t="s">
        <v>907</v>
      </c>
      <c r="E88" s="836" t="s">
        <v>1067</v>
      </c>
      <c r="F88" s="773" t="s">
        <v>1012</v>
      </c>
      <c r="G88" s="837"/>
      <c r="H88" s="1136"/>
      <c r="I88" s="837"/>
      <c r="J88" s="1136"/>
      <c r="K88" s="402"/>
      <c r="X88" s="871">
        <v>0</v>
      </c>
    </row>
    <row s="8113" customFormat="1" customHeight="1" ht="11.25" hidden="1">
      <c r="A89" s="2505"/>
      <c r="B89" s="624"/>
      <c r="D89" s="778" t="s">
        <v>949</v>
      </c>
      <c r="E89" s="836" t="s">
        <v>1068</v>
      </c>
      <c r="F89" s="773" t="s">
        <v>1012</v>
      </c>
      <c r="G89" s="837"/>
      <c r="H89" s="1136"/>
      <c r="I89" s="837"/>
      <c r="J89" s="1136"/>
      <c r="K89" s="402"/>
      <c r="X89" s="871">
        <v>0</v>
      </c>
    </row>
    <row s="8113" customFormat="1" customHeight="1" ht="11.25" hidden="1">
      <c r="A90" s="2505"/>
      <c r="B90" s="624"/>
      <c r="D90" s="778" t="s">
        <v>952</v>
      </c>
      <c r="E90" s="836" t="s">
        <v>1069</v>
      </c>
      <c r="F90" s="773" t="s">
        <v>1012</v>
      </c>
      <c r="G90" s="837"/>
      <c r="H90" s="1136"/>
      <c r="I90" s="837"/>
      <c r="J90" s="1136"/>
      <c r="K90" s="402"/>
      <c r="X90" s="871">
        <v>0</v>
      </c>
    </row>
    <row s="8113" customFormat="1" customHeight="1" ht="11.25" hidden="1">
      <c r="A91" s="2505"/>
      <c r="B91" s="624"/>
      <c r="D91" s="778" t="s">
        <v>1030</v>
      </c>
      <c r="E91" s="836" t="s">
        <v>1070</v>
      </c>
      <c r="F91" s="773" t="s">
        <v>1012</v>
      </c>
      <c r="G91" s="837"/>
      <c r="H91" s="1136"/>
      <c r="I91" s="837"/>
      <c r="J91" s="1136"/>
      <c r="K91" s="402"/>
      <c r="X91" s="871">
        <v>0</v>
      </c>
    </row>
    <row s="8113" customFormat="1" customHeight="1" ht="11.25" hidden="1">
      <c r="A92" s="2505"/>
      <c r="B92" s="624"/>
      <c r="D92" s="778" t="s">
        <v>1032</v>
      </c>
      <c r="E92" s="836" t="s">
        <v>1072</v>
      </c>
      <c r="F92" s="773" t="s">
        <v>1012</v>
      </c>
      <c r="G92" s="837"/>
      <c r="H92" s="1136"/>
      <c r="I92" s="837"/>
      <c r="J92" s="1136"/>
      <c r="K92" s="402"/>
      <c r="X92" s="871">
        <v>0</v>
      </c>
    </row>
    <row s="8113" customFormat="1" customHeight="1" ht="11.25" hidden="1">
      <c r="A93" s="2505"/>
      <c r="B93" s="624"/>
      <c r="D93" s="778" t="s">
        <v>1079</v>
      </c>
      <c r="E93" s="836" t="s">
        <v>1074</v>
      </c>
      <c r="F93" s="773" t="s">
        <v>1012</v>
      </c>
      <c r="G93" s="837"/>
      <c r="H93" s="1136"/>
      <c r="I93" s="837"/>
      <c r="J93" s="1136"/>
      <c r="K93" s="402"/>
      <c r="X93" s="871">
        <v>0</v>
      </c>
    </row>
    <row s="8113" customFormat="1" customHeight="1" ht="11.25" hidden="1">
      <c r="A94" s="2505"/>
      <c r="B94" s="624"/>
      <c r="D94" s="778" t="s">
        <v>1080</v>
      </c>
      <c r="E94" s="836" t="s">
        <v>1076</v>
      </c>
      <c r="F94" s="773" t="s">
        <v>1012</v>
      </c>
      <c r="G94" s="837"/>
      <c r="H94" s="1136"/>
      <c r="I94" s="837"/>
      <c r="J94" s="1136"/>
      <c r="K94" s="402"/>
      <c r="X94" s="871">
        <v>0</v>
      </c>
    </row>
    <row s="8113" customFormat="1" customHeight="1" ht="24.75" hidden="1">
      <c r="A95" s="2505"/>
      <c r="B95" s="624"/>
      <c r="D95" s="778" t="s">
        <v>120</v>
      </c>
      <c r="E95" s="779" t="s">
        <v>1081</v>
      </c>
      <c r="F95" s="838" t="s">
        <v>712</v>
      </c>
      <c r="G95" s="840"/>
      <c r="H95" s="1136"/>
      <c r="I95" s="840"/>
      <c r="J95" s="1136"/>
      <c r="K95" s="402" t="s">
        <v>1082</v>
      </c>
      <c r="X95" s="871">
        <v>0</v>
      </c>
    </row>
    <row s="8113" customFormat="1" customHeight="1" ht="33.75" hidden="1">
      <c r="A96" s="2505"/>
      <c r="B96" s="624"/>
      <c r="D96" s="778" t="s">
        <v>94</v>
      </c>
      <c r="E96" s="779" t="s">
        <v>1083</v>
      </c>
      <c r="F96" s="839" t="s">
        <v>973</v>
      </c>
      <c r="G96" s="841"/>
      <c r="H96" s="1136"/>
      <c r="I96" s="841"/>
      <c r="J96" s="1136"/>
      <c r="K96" s="402"/>
      <c r="X96" s="871">
        <v>0</v>
      </c>
    </row>
    <row s="8113" customFormat="1" customHeight="1" ht="22.5" hidden="1">
      <c r="A97" s="2505"/>
      <c r="B97" s="624" t="s">
        <v>742</v>
      </c>
      <c r="D97" s="778" t="s">
        <v>95</v>
      </c>
      <c r="E97" s="779" t="s">
        <v>1084</v>
      </c>
      <c r="F97" s="839" t="s">
        <v>461</v>
      </c>
      <c r="G97" s="498"/>
      <c r="H97" s="1136"/>
      <c r="I97" s="498"/>
      <c r="J97" s="1136"/>
      <c r="K97" s="402" t="s">
        <v>785</v>
      </c>
      <c r="X97" s="871">
        <v>0</v>
      </c>
    </row>
    <row s="8113" customFormat="1" customHeight="1" ht="45" hidden="1">
      <c r="A98" s="2505"/>
      <c r="B98" s="624" t="s">
        <v>742</v>
      </c>
      <c r="D98" s="778" t="s">
        <v>1085</v>
      </c>
      <c r="E98" s="780" t="s">
        <v>1086</v>
      </c>
      <c r="F98" s="834" t="s">
        <v>461</v>
      </c>
      <c r="G98" s="498"/>
      <c r="H98" s="1136"/>
      <c r="I98" s="498"/>
      <c r="J98" s="1136"/>
      <c r="K98" s="402" t="s">
        <v>785</v>
      </c>
      <c r="X98" s="871">
        <v>0</v>
      </c>
    </row>
    <row s="8113" customFormat="1" customHeight="1" ht="95.25" hidden="1">
      <c r="A99" s="2505"/>
      <c r="B99" s="624" t="s">
        <v>742</v>
      </c>
      <c r="D99" s="778" t="s">
        <v>134</v>
      </c>
      <c r="E99" s="779" t="s">
        <v>1087</v>
      </c>
      <c r="F99" s="834" t="s">
        <v>461</v>
      </c>
      <c r="G99" s="498"/>
      <c r="H99" s="1136"/>
      <c r="I99" s="498"/>
      <c r="J99" s="1136"/>
      <c r="K99" s="402" t="s">
        <v>785</v>
      </c>
      <c r="X99" s="871">
        <v>0</v>
      </c>
    </row>
    <row s="8113" customFormat="1" customHeight="1" ht="22.5" hidden="1">
      <c r="A100" s="2505"/>
      <c r="B100" s="624" t="s">
        <v>742</v>
      </c>
      <c r="D100" s="778" t="s">
        <v>139</v>
      </c>
      <c r="E100" s="779" t="s">
        <v>1088</v>
      </c>
      <c r="F100" s="834" t="s">
        <v>461</v>
      </c>
      <c r="G100" s="498"/>
      <c r="H100" s="1136"/>
      <c r="I100" s="498"/>
      <c r="J100" s="1136"/>
      <c r="K100" s="402" t="s">
        <v>785</v>
      </c>
      <c r="X100" s="871">
        <v>0</v>
      </c>
    </row>
    <row s="8113"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78469-9BD9-2AFC-54C8-2A78F7C8BBA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077" width="9.140625" hidden="1" customWidth="1"/>
    <col min="2" max="2" style="8113" width="9.140625" hidden="1" customWidth="1"/>
    <col min="3" max="3" style="12377" width="4.00390625" customWidth="1"/>
    <col min="4" max="4" style="8113" width="6.00390625" customWidth="1"/>
    <col min="5" max="5" style="8113" width="36.00390625" customWidth="1"/>
    <col min="6" max="6" style="8113" width="9.00390625" customWidth="1"/>
    <col min="7" max="7" style="8113" width="25.7109375" hidden="1" customWidth="1"/>
    <col min="8" max="8" style="8113" width="33.7109375" hidden="1" customWidth="1"/>
    <col min="9" max="9" style="8113" width="25.7109375" customWidth="1"/>
    <col min="10" max="10" style="8113" width="33.00390625" customWidth="1"/>
    <col min="11" max="11" style="8191" width="93.00390625" customWidth="1"/>
    <col min="12" max="20" style="8113" width="10.00390625" customWidth="1"/>
    <col min="21" max="21" style="12378" width="10.00390625" customWidth="1"/>
    <col min="22" max="22" style="8113" width="10.57421875" hidden="1"/>
  </cols>
  <sheetData>
    <row s="8191" customFormat="1" customHeight="1" ht="22.5" hidden="1">
      <c r="C1" s="785"/>
      <c r="G1" s="530">
        <v>4</v>
      </c>
      <c r="I1" s="530">
        <v>4</v>
      </c>
      <c r="U1" s="533"/>
      <c r="V1" s="530" t="s">
        <v>14</v>
      </c>
    </row>
    <row s="8191" customFormat="1" customHeight="1" ht="15" hidden="1">
      <c r="C2" s="785"/>
      <c r="U2" s="533"/>
      <c r="V2" s="530">
        <v>0</v>
      </c>
    </row>
    <row customHeight="1" ht="22.5" hidden="1">
      <c r="A3" s="618"/>
      <c r="B3" s="2510"/>
      <c r="C3" s="2511" t="s">
        <v>106</v>
      </c>
      <c r="D3" s="802" t="str">
        <f>B3&amp;".1"</f>
        <v>.1</v>
      </c>
      <c r="E3" s="803" t="s">
        <v>1089</v>
      </c>
      <c r="F3" s="804" t="s">
        <v>461</v>
      </c>
      <c r="G3" s="799"/>
      <c r="H3" s="514"/>
      <c r="I3" s="799"/>
      <c r="J3" s="514"/>
      <c r="K3" s="402" t="s">
        <v>1090</v>
      </c>
      <c r="V3" s="618">
        <v>0</v>
      </c>
    </row>
    <row customHeight="1" ht="15" hidden="1">
      <c r="A4" s="618"/>
      <c r="B4" s="2510"/>
      <c r="C4" s="2511"/>
      <c r="D4" s="802" t="str">
        <f>B3&amp;".2"</f>
        <v>.2</v>
      </c>
      <c r="E4" s="803" t="s">
        <v>1091</v>
      </c>
      <c r="F4" s="804" t="s">
        <v>461</v>
      </c>
      <c r="G4" s="1851" t="s">
        <v>28</v>
      </c>
      <c r="H4" s="514"/>
      <c r="I4" s="1851" t="s">
        <v>28</v>
      </c>
      <c r="J4" s="514"/>
      <c r="K4" s="402" t="s">
        <v>1092</v>
      </c>
      <c r="V4" s="618">
        <v>0</v>
      </c>
    </row>
    <row s="8191" customFormat="1" customHeight="1" ht="15" hidden="1">
      <c r="C5" s="785"/>
      <c r="U5" s="533"/>
      <c r="V5" s="530">
        <v>0</v>
      </c>
    </row>
    <row customHeight="1" ht="22.5" hidden="1">
      <c r="A6" s="618"/>
      <c r="B6" s="2510"/>
      <c r="C6" s="2511" t="s">
        <v>106</v>
      </c>
      <c r="D6" s="802" t="str">
        <f>B6&amp;".1"</f>
        <v>.1</v>
      </c>
      <c r="E6" s="803" t="s">
        <v>1093</v>
      </c>
      <c r="F6" s="804" t="s">
        <v>461</v>
      </c>
      <c r="G6" s="799"/>
      <c r="H6" s="514"/>
      <c r="I6" s="799"/>
      <c r="J6" s="514"/>
      <c r="K6" s="402" t="s">
        <v>1094</v>
      </c>
      <c r="V6" s="618">
        <v>0</v>
      </c>
    </row>
    <row customHeight="1" ht="15" hidden="1">
      <c r="A7" s="618"/>
      <c r="B7" s="2510"/>
      <c r="C7" s="2511"/>
      <c r="D7" s="802" t="str">
        <f>B6&amp;".2"</f>
        <v>.2</v>
      </c>
      <c r="E7" s="803" t="s">
        <v>1091</v>
      </c>
      <c r="F7" s="804" t="s">
        <v>461</v>
      </c>
      <c r="G7" s="1851" t="s">
        <v>28</v>
      </c>
      <c r="H7" s="514"/>
      <c r="I7" s="1851" t="s">
        <v>28</v>
      </c>
      <c r="J7" s="514"/>
      <c r="K7" s="402" t="s">
        <v>1092</v>
      </c>
      <c r="V7" s="618">
        <v>0</v>
      </c>
    </row>
    <row s="8191" customFormat="1" customHeight="1" ht="15" hidden="1">
      <c r="C8" s="785"/>
      <c r="U8" s="533"/>
      <c r="V8" s="530">
        <v>0</v>
      </c>
    </row>
    <row customHeight="1" ht="22.5" hidden="1">
      <c r="A9" s="618"/>
      <c r="B9" s="2510"/>
      <c r="C9" s="2511" t="s">
        <v>106</v>
      </c>
      <c r="D9" s="802" t="str">
        <f>B9&amp;".1"</f>
        <v>.1</v>
      </c>
      <c r="E9" s="803" t="s">
        <v>1095</v>
      </c>
      <c r="F9" s="804" t="s">
        <v>461</v>
      </c>
      <c r="G9" s="810" t="s">
        <v>28</v>
      </c>
      <c r="H9" s="514" t="s">
        <v>28</v>
      </c>
      <c r="I9" s="810" t="s">
        <v>28</v>
      </c>
      <c r="J9" s="514" t="s">
        <v>28</v>
      </c>
      <c r="K9" s="402"/>
      <c r="V9" s="618">
        <v>0</v>
      </c>
    </row>
    <row customHeight="1" ht="15" hidden="1">
      <c r="A10" s="618"/>
      <c r="B10" s="2510"/>
      <c r="C10" s="2511"/>
      <c r="D10" s="802" t="str">
        <f>B9&amp;".2"</f>
        <v>.2</v>
      </c>
      <c r="E10" s="803" t="s">
        <v>1096</v>
      </c>
      <c r="F10" s="804" t="s">
        <v>461</v>
      </c>
      <c r="G10" s="1845" t="s">
        <v>28</v>
      </c>
      <c r="H10" s="514" t="s">
        <v>28</v>
      </c>
      <c r="I10" s="1845" t="s">
        <v>28</v>
      </c>
      <c r="J10" s="514" t="s">
        <v>28</v>
      </c>
      <c r="K10" s="402" t="s">
        <v>1097</v>
      </c>
      <c r="V10" s="618">
        <v>0</v>
      </c>
    </row>
    <row customHeight="1" ht="15" hidden="1">
      <c r="A11" s="618"/>
      <c r="B11" s="2510"/>
      <c r="C11" s="2511"/>
      <c r="D11" s="802" t="str">
        <f>B9&amp;".3"</f>
        <v>.3</v>
      </c>
      <c r="E11" s="803" t="s">
        <v>1098</v>
      </c>
      <c r="F11" s="804" t="s">
        <v>461</v>
      </c>
      <c r="G11" s="1845" t="s">
        <v>28</v>
      </c>
      <c r="H11" s="514" t="s">
        <v>28</v>
      </c>
      <c r="I11" s="1845" t="s">
        <v>28</v>
      </c>
      <c r="J11" s="514" t="s">
        <v>28</v>
      </c>
      <c r="K11" s="402" t="s">
        <v>1099</v>
      </c>
      <c r="V11" s="618">
        <v>0</v>
      </c>
    </row>
    <row s="8191" customFormat="1" customHeight="1" ht="15" hidden="1">
      <c r="C12" s="785"/>
      <c r="U12" s="533"/>
      <c r="V12" s="530">
        <v>0</v>
      </c>
    </row>
    <row customHeight="1" ht="33.75" hidden="1">
      <c r="A13" s="618"/>
      <c r="B13" s="2510"/>
      <c r="C13" s="2511" t="s">
        <v>106</v>
      </c>
      <c r="D13" s="802" t="str">
        <f>B13&amp;".1"</f>
        <v>.1</v>
      </c>
      <c r="E13" s="803" t="s">
        <v>1100</v>
      </c>
      <c r="F13" s="804" t="s">
        <v>461</v>
      </c>
      <c r="G13" s="810" t="s">
        <v>28</v>
      </c>
      <c r="H13" s="514" t="s">
        <v>28</v>
      </c>
      <c r="I13" s="810" t="s">
        <v>28</v>
      </c>
      <c r="J13" s="514" t="s">
        <v>28</v>
      </c>
      <c r="K13" s="402" t="s">
        <v>1101</v>
      </c>
      <c r="V13" s="618">
        <v>0</v>
      </c>
    </row>
    <row customHeight="1" ht="15" hidden="1">
      <c r="B14" s="2510"/>
      <c r="C14" s="2511"/>
      <c r="D14" s="802" t="str">
        <f>B13&amp;".2"</f>
        <v>.2</v>
      </c>
      <c r="E14" s="803" t="s">
        <v>1102</v>
      </c>
      <c r="F14" s="804" t="s">
        <v>461</v>
      </c>
      <c r="G14" s="1845" t="s">
        <v>28</v>
      </c>
      <c r="H14" s="514" t="s">
        <v>28</v>
      </c>
      <c r="I14" s="1845" t="s">
        <v>28</v>
      </c>
      <c r="J14" s="514" t="s">
        <v>28</v>
      </c>
      <c r="K14" s="402" t="s">
        <v>1103</v>
      </c>
      <c r="V14" s="618">
        <v>0</v>
      </c>
    </row>
    <row s="8191" customFormat="1" customHeight="1" ht="15" hidden="1">
      <c r="C15" s="785"/>
      <c r="U15" s="533"/>
      <c r="V15" s="530">
        <v>0</v>
      </c>
    </row>
    <row s="8191" customFormat="1" customHeight="1" ht="15" hidden="1">
      <c r="C16" s="785"/>
      <c r="U16" s="533"/>
      <c r="V16" s="530">
        <v>0</v>
      </c>
    </row>
    <row s="8191" customFormat="1" customHeight="1" ht="15" hidden="1">
      <c r="C17" s="785"/>
      <c r="U17" s="533"/>
      <c r="V17" s="530">
        <v>0</v>
      </c>
    </row>
    <row s="8191" customFormat="1" customHeight="1" ht="15" hidden="1">
      <c r="C18" s="785"/>
      <c r="U18" s="533"/>
      <c r="V18" s="530">
        <v>0</v>
      </c>
    </row>
    <row s="8191" customFormat="1" customHeight="1" ht="15" hidden="1">
      <c r="C19" s="785"/>
      <c r="U19" s="533"/>
      <c r="V19" s="530">
        <v>0</v>
      </c>
    </row>
    <row s="819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8113" customFormat="1" customHeight="1" ht="1.05">
      <c r="A25" s="872"/>
      <c r="C25" s="289"/>
      <c r="D25" s="622"/>
      <c r="E25" s="622"/>
      <c r="F25" s="622"/>
      <c r="G25" s="650"/>
      <c r="H25" s="865"/>
      <c r="I25" s="650" t="s">
        <v>194</v>
      </c>
      <c r="J25" s="865"/>
      <c r="K25" s="530"/>
      <c r="U25" s="788"/>
      <c r="V25" s="871">
        <v>1</v>
      </c>
    </row>
    <row customHeight="1" ht="15.75">
      <c r="C26" s="289"/>
      <c r="D26" s="824"/>
      <c r="E26" s="2480" t="s">
        <v>186</v>
      </c>
      <c r="F26" s="2481"/>
      <c r="G26" s="2508" t="str">
        <f>IF(G25="","",INDEX(DIFFERENTIATION_UNMERGE_VD,MATCH(G25,DIFFERENTIATION_ID_DIFF,0)))</f>
        <v/>
      </c>
      <c r="H26" s="2509"/>
      <c r="I26" s="2508">
        <f>IF(I25="","",INDEX(DIFFERENTIATION_UNMERGE_VD,MATCH(I25,DIFFERENTIATION_ID_DIFF,0)))</f>
        <v>0</v>
      </c>
      <c r="J26" s="2509"/>
      <c r="K26" s="2288" t="s">
        <v>456</v>
      </c>
      <c r="V26" s="618">
        <v>15</v>
      </c>
    </row>
    <row s="8113" customFormat="1" customHeight="1" ht="15.75">
      <c r="A27" s="872"/>
      <c r="C27" s="289"/>
      <c r="D27" s="824"/>
      <c r="E27" s="2480" t="s">
        <v>718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8113" customFormat="1" customHeight="1" ht="15.75">
      <c r="A28" s="872"/>
      <c r="C28" s="289"/>
      <c r="D28" s="824"/>
      <c r="E28" s="2480" t="s">
        <v>719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8113" customFormat="1" customHeight="1" ht="15.75">
      <c r="A29" s="872"/>
      <c r="C29" s="289"/>
      <c r="D29" s="2482" t="s">
        <v>455</v>
      </c>
      <c r="E29" s="2483"/>
      <c r="F29" s="2483"/>
      <c r="G29" s="1000"/>
      <c r="H29" s="1000"/>
      <c r="I29" s="1000"/>
      <c r="J29" s="1001"/>
      <c r="K29" s="2308"/>
      <c r="U29" s="788"/>
      <c r="V29" s="871">
        <v>15</v>
      </c>
    </row>
    <row customHeight="1" ht="35.699999999999996">
      <c r="C30" s="289"/>
      <c r="D30" s="874" t="s">
        <v>90</v>
      </c>
      <c r="E30" s="873" t="s">
        <v>457</v>
      </c>
      <c r="F30" s="873" t="s">
        <v>720</v>
      </c>
      <c r="G30" s="921" t="s">
        <v>458</v>
      </c>
      <c r="H30" s="920" t="s">
        <v>545</v>
      </c>
      <c r="I30" s="797" t="s">
        <v>458</v>
      </c>
      <c r="J30" s="578" t="s">
        <v>545</v>
      </c>
      <c r="K30" s="2314"/>
      <c r="V30" s="618">
        <v>34</v>
      </c>
    </row>
    <row customHeight="1" ht="15" hidden="1">
      <c r="C31" s="289"/>
      <c r="D31" s="706"/>
      <c r="E31" s="706"/>
      <c r="F31" s="706"/>
      <c r="G31" s="772"/>
      <c r="H31" s="772"/>
      <c r="I31" s="772"/>
      <c r="J31" s="772"/>
      <c r="K31" s="402"/>
      <c r="V31" s="618">
        <v>0</v>
      </c>
    </row>
    <row customHeight="1" ht="24">
      <c r="A32" s="618"/>
      <c r="B32" s="618" t="s">
        <v>1104</v>
      </c>
      <c r="C32" s="639"/>
      <c r="D32" s="805">
        <v>1</v>
      </c>
      <c r="E32" s="806" t="s">
        <v>1105</v>
      </c>
      <c r="F32" s="804" t="s">
        <v>461</v>
      </c>
      <c r="G32" s="926" t="s">
        <v>461</v>
      </c>
      <c r="H32" s="926" t="s">
        <v>461</v>
      </c>
      <c r="I32" s="804" t="s">
        <v>461</v>
      </c>
      <c r="J32" s="804" t="s">
        <v>461</v>
      </c>
      <c r="K32" s="402"/>
      <c r="V32" s="618">
        <v>23</v>
      </c>
    </row>
    <row customHeight="1" ht="11.549999999999999">
      <c r="A33" s="618"/>
      <c r="C33" s="618"/>
      <c r="D33" s="460"/>
      <c r="E33" s="693" t="s">
        <v>740</v>
      </c>
      <c r="F33" s="685"/>
      <c r="G33" s="685"/>
      <c r="H33" s="685"/>
      <c r="I33" s="685"/>
      <c r="J33" s="685"/>
      <c r="K33" s="686"/>
      <c r="U33" s="618"/>
      <c r="V33" s="618">
        <v>11</v>
      </c>
    </row>
    <row customHeight="1" ht="24">
      <c r="A34" s="618"/>
      <c r="B34" s="694" t="s">
        <v>790</v>
      </c>
      <c r="C34" s="639"/>
      <c r="D34" s="805">
        <v>2</v>
      </c>
      <c r="E34" s="806" t="s">
        <v>1106</v>
      </c>
      <c r="F34" s="933" t="s">
        <v>461</v>
      </c>
      <c r="G34" s="933" t="s">
        <v>461</v>
      </c>
      <c r="H34" s="933" t="s">
        <v>461</v>
      </c>
      <c r="I34" s="804"/>
      <c r="J34" s="804"/>
      <c r="K34" s="402"/>
      <c r="V34" s="618">
        <v>23</v>
      </c>
    </row>
    <row customHeight="1" ht="11.549999999999999">
      <c r="A35" s="618"/>
      <c r="C35" s="618"/>
      <c r="D35" s="460"/>
      <c r="E35" s="693" t="s">
        <v>1107</v>
      </c>
      <c r="F35" s="685"/>
      <c r="G35" s="807"/>
      <c r="H35" s="685"/>
      <c r="I35" s="807"/>
      <c r="J35" s="685"/>
      <c r="K35" s="686"/>
      <c r="U35" s="618"/>
      <c r="V35" s="618">
        <v>11</v>
      </c>
    </row>
    <row customHeight="1" ht="71.25">
      <c r="A36" s="618"/>
      <c r="B36" s="618" t="s">
        <v>1108</v>
      </c>
      <c r="C36" s="639"/>
      <c r="D36" s="805">
        <v>3</v>
      </c>
      <c r="E36" s="806" t="s">
        <v>1109</v>
      </c>
      <c r="F36" s="808" t="s">
        <v>461</v>
      </c>
      <c r="G36" s="927" t="s">
        <v>1110</v>
      </c>
      <c r="H36" s="926" t="s">
        <v>461</v>
      </c>
      <c r="I36" s="637" t="s">
        <v>1110</v>
      </c>
      <c r="J36" s="804" t="s">
        <v>461</v>
      </c>
      <c r="K36" s="402" t="s">
        <v>1111</v>
      </c>
      <c r="V36" s="618">
        <v>68</v>
      </c>
    </row>
    <row customHeight="1" ht="11.549999999999999">
      <c r="A37" s="618"/>
      <c r="C37" s="618"/>
      <c r="D37" s="460"/>
      <c r="E37" s="693" t="s">
        <v>1112</v>
      </c>
      <c r="F37" s="685"/>
      <c r="G37" s="807"/>
      <c r="H37" s="807"/>
      <c r="I37" s="807"/>
      <c r="J37" s="807"/>
      <c r="K37" s="686"/>
      <c r="U37" s="618"/>
      <c r="V37" s="618">
        <v>11</v>
      </c>
    </row>
    <row customHeight="1" ht="71.25">
      <c r="A38" s="618"/>
      <c r="B38" s="618" t="s">
        <v>1113</v>
      </c>
      <c r="C38" s="639"/>
      <c r="D38" s="805">
        <v>4</v>
      </c>
      <c r="E38" s="806" t="s">
        <v>1114</v>
      </c>
      <c r="F38" s="808" t="s">
        <v>461</v>
      </c>
      <c r="G38" s="927" t="s">
        <v>1110</v>
      </c>
      <c r="H38" s="928" t="s">
        <v>461</v>
      </c>
      <c r="I38" s="637" t="s">
        <v>1110</v>
      </c>
      <c r="J38" s="634" t="s">
        <v>461</v>
      </c>
      <c r="K38" s="792" t="s">
        <v>1115</v>
      </c>
      <c r="V38" s="618">
        <v>68</v>
      </c>
    </row>
    <row customHeight="1" ht="11.549999999999999">
      <c r="A39" s="618"/>
      <c r="C39" s="618"/>
      <c r="D39" s="460"/>
      <c r="E39" s="693" t="s">
        <v>1116</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62804-1B21-EE5D-96E8-464A9AC709B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348" width="6.7109375" hidden="1" customWidth="1"/>
    <col min="4" max="4" style="8191" width="6.7109375" hidden="1" customWidth="1"/>
    <col min="5" max="5" style="8113" width="3.00390625" customWidth="1"/>
    <col min="6" max="6" style="8113" width="6.00390625" customWidth="1"/>
    <col min="7" max="7" style="8113" width="37.00390625" customWidth="1"/>
    <col min="8" max="8" style="8113" width="16.00390625" customWidth="1"/>
    <col min="9" max="10" style="8113" width="19.00390625" customWidth="1"/>
    <col min="11" max="11" style="8113" width="24.00390625" customWidth="1"/>
    <col min="12" max="13" style="8113" width="25.00390625" customWidth="1"/>
    <col min="14" max="16" style="8113" width="17.00390625" customWidth="1"/>
    <col min="17" max="24" style="8113" width="19.00390625" customWidth="1"/>
    <col min="25" max="25" style="8113" width="7.00390625" customWidth="1"/>
    <col min="26" max="26" style="8113" width="3.00390625" customWidth="1"/>
    <col min="27" max="27" style="8113" width="6.00390625" customWidth="1"/>
    <col min="28" max="28" style="8113" width="34.00390625" customWidth="1"/>
    <col min="29" max="30" style="8113" width="8.00390625" customWidth="1"/>
    <col min="31" max="31" style="8113" width="9.140625" hidden="1"/>
  </cols>
  <sheetData>
    <row s="8191" customFormat="1" customHeight="1" ht="10.5" hidden="1">
      <c r="A1" s="1008"/>
      <c r="B1" s="1008"/>
      <c r="C1" s="1008"/>
      <c r="E1" s="650"/>
      <c r="H1" s="1273"/>
      <c r="AE1" s="530" t="s">
        <v>14</v>
      </c>
    </row>
    <row customHeight="1" ht="10.5" hidden="1">
      <c r="AE2" s="871">
        <v>0</v>
      </c>
    </row>
    <row s="8077" customFormat="1" customHeight="1" ht="10.5" hidden="1">
      <c r="A3" s="1008"/>
      <c r="B3" s="1008"/>
      <c r="C3" s="1008"/>
      <c r="D3" s="530"/>
      <c r="E3" s="475"/>
      <c r="G3" s="1745" t="s">
        <v>1117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8113"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455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1117</v>
      </c>
      <c r="H9" s="2288" t="s">
        <v>1118</v>
      </c>
      <c r="I9" s="2240" t="s">
        <v>1119</v>
      </c>
      <c r="J9" s="2240" t="s">
        <v>1120</v>
      </c>
      <c r="K9" s="2240" t="s">
        <v>1121</v>
      </c>
      <c r="L9" s="2240" t="s">
        <v>1122</v>
      </c>
      <c r="M9" s="2240" t="s">
        <v>1123</v>
      </c>
      <c r="N9" s="2322" t="s">
        <v>1124</v>
      </c>
      <c r="O9" s="2322"/>
      <c r="P9" s="2322"/>
      <c r="Q9" s="2512" t="s">
        <v>1125</v>
      </c>
      <c r="R9" s="2513"/>
      <c r="S9" s="2513"/>
      <c r="T9" s="2514"/>
      <c r="U9" s="2512" t="s">
        <v>1126</v>
      </c>
      <c r="V9" s="2513"/>
      <c r="W9" s="2513"/>
      <c r="X9" s="2514"/>
      <c r="Y9" s="2214" t="s">
        <v>1127</v>
      </c>
      <c r="Z9" s="2215"/>
      <c r="AA9" s="2215"/>
      <c r="AB9" s="2216"/>
      <c r="AE9" s="871">
        <v>41</v>
      </c>
    </row>
    <row customHeight="1" ht="43.050000000000004">
      <c r="A10" s="1018"/>
      <c r="B10" s="1018"/>
      <c r="C10" s="1018"/>
      <c r="F10" s="2288"/>
      <c r="G10" s="2288"/>
      <c r="H10" s="2345"/>
      <c r="I10" s="2288"/>
      <c r="J10" s="2288"/>
      <c r="K10" s="2288"/>
      <c r="L10" s="2288"/>
      <c r="M10" s="2288"/>
      <c r="N10" s="1016" t="s">
        <v>1128</v>
      </c>
      <c r="O10" s="1016" t="s">
        <v>1129</v>
      </c>
      <c r="P10" s="1017" t="s">
        <v>1130</v>
      </c>
      <c r="Q10" s="1028" t="s">
        <v>91</v>
      </c>
      <c r="R10" s="1028" t="s">
        <v>1131</v>
      </c>
      <c r="S10" s="1028" t="s">
        <v>1132</v>
      </c>
      <c r="T10" s="1029" t="s">
        <v>1133</v>
      </c>
      <c r="U10" s="1028" t="s">
        <v>91</v>
      </c>
      <c r="V10" s="1028" t="s">
        <v>1134</v>
      </c>
      <c r="W10" s="1028" t="s">
        <v>1132</v>
      </c>
      <c r="X10" s="1029" t="s">
        <v>1133</v>
      </c>
      <c r="Y10" s="414" t="s">
        <v>1135</v>
      </c>
      <c r="Z10" s="2214" t="s">
        <v>90</v>
      </c>
      <c r="AA10" s="2216"/>
      <c r="AB10" s="1162" t="s">
        <v>1136</v>
      </c>
      <c r="AE10" s="871">
        <v>41</v>
      </c>
    </row>
    <row s="8192" customFormat="1" customHeight="1" ht="5.25" hidden="1">
      <c r="A11" s="1165"/>
      <c r="B11" s="1165"/>
      <c r="C11" s="1165"/>
      <c r="E11" s="1163"/>
      <c r="F11" s="2519" t="s">
        <v>531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1137</v>
      </c>
      <c r="AE11" s="624">
        <v>0</v>
      </c>
    </row>
    <row s="819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1138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8192"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9380C-B8DB-A2CF-8696-EA32F713FDA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348" width="4.140625" hidden="1" customWidth="1"/>
    <col min="4" max="4" style="8191" width="4.140625" hidden="1" customWidth="1"/>
    <col min="5" max="5" style="8113" width="3.00390625" customWidth="1"/>
    <col min="6" max="6" style="8113" width="14.00390625" customWidth="1"/>
    <col min="7" max="7" style="8113" width="3.00390625" customWidth="1"/>
    <col min="8" max="8" style="8113" width="7.00390625" customWidth="1"/>
    <col min="9" max="10" style="8113" width="16.00390625" customWidth="1"/>
    <col min="11" max="11" style="8113" width="25.00390625" customWidth="1"/>
    <col min="12" max="12" style="8113" width="7.00390625" customWidth="1"/>
    <col min="13" max="13" style="8113" width="15.00390625" customWidth="1"/>
    <col min="14" max="14" style="8113" width="3.00390625" customWidth="1"/>
    <col min="15" max="15" style="8113" width="4.00390625" customWidth="1"/>
    <col min="16" max="16" style="8113" width="8.00390625" customWidth="1"/>
    <col min="17" max="17" style="8113" width="21.00390625" customWidth="1"/>
    <col min="18" max="18" style="8113" width="14.00390625" customWidth="1"/>
    <col min="19" max="20" style="8113" width="17.00390625" customWidth="1"/>
    <col min="21" max="21" style="8113" width="9.00390625" customWidth="1"/>
    <col min="22" max="22" style="8113" width="12.00390625" customWidth="1"/>
    <col min="23" max="23" style="8113" width="9.00390625" customWidth="1"/>
    <col min="24" max="24" style="8113" width="21.00390625" customWidth="1"/>
    <col min="25" max="25" style="8113" width="12.00390625" customWidth="1"/>
    <col min="26" max="26" style="8113" width="3.00390625" customWidth="1"/>
    <col min="27" max="27" style="8113" width="6.00390625" customWidth="1"/>
    <col min="28" max="28" style="8113" width="38.00390625" customWidth="1"/>
    <col min="29" max="29" style="8113" width="15.00390625" customWidth="1"/>
    <col min="30" max="30" style="8113" width="37.57421875" hidden="1" customWidth="1"/>
    <col min="31" max="31" style="8113" width="15.7109375" hidden="1" customWidth="1"/>
    <col min="32" max="34" style="8113" width="16.00390625" customWidth="1"/>
    <col min="35" max="37" style="8113" width="16.7109375" hidden="1" customWidth="1"/>
    <col min="38" max="58" style="8113" width="8.00390625" customWidth="1"/>
    <col min="59" max="59" style="8113" width="9.140625" hidden="1"/>
  </cols>
  <sheetData>
    <row s="8191" customFormat="1" customHeight="1" ht="10.5" hidden="1">
      <c r="A1" s="1008"/>
      <c r="B1" s="1008"/>
      <c r="C1" s="1008"/>
      <c r="E1" s="650"/>
      <c r="H1" s="1273"/>
      <c r="L1" s="1241"/>
      <c r="M1" s="1241"/>
      <c r="AD1" s="1241"/>
      <c r="AH1" s="1260"/>
      <c r="AI1" s="1253"/>
      <c r="BG1" s="530" t="s">
        <v>14</v>
      </c>
    </row>
    <row customHeight="1" ht="10.5" hidden="1">
      <c r="BG2" s="871">
        <v>0</v>
      </c>
    </row>
    <row s="807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455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1139</v>
      </c>
      <c r="G9" s="2522" t="s">
        <v>1140</v>
      </c>
      <c r="H9" s="2523"/>
      <c r="I9" s="2240" t="s">
        <v>1141</v>
      </c>
      <c r="J9" s="2240"/>
      <c r="K9" s="2240" t="s">
        <v>1142</v>
      </c>
      <c r="L9" s="2240"/>
      <c r="M9" s="2240"/>
      <c r="N9" s="2240"/>
      <c r="O9" s="2240"/>
      <c r="P9" s="2240"/>
      <c r="Q9" s="2240"/>
      <c r="R9" s="2240"/>
      <c r="S9" s="2240"/>
      <c r="T9" s="2240"/>
      <c r="U9" s="2240"/>
      <c r="V9" s="2240"/>
      <c r="W9" s="2240"/>
      <c r="X9" s="2240"/>
      <c r="Y9" s="2240"/>
      <c r="Z9" s="2305" t="s">
        <v>1143</v>
      </c>
      <c r="AA9" s="2306"/>
      <c r="AB9" s="2240" t="s">
        <v>1144</v>
      </c>
      <c r="AC9" s="2240"/>
      <c r="AD9" s="2240"/>
      <c r="AE9" s="2240"/>
      <c r="AF9" s="2288" t="s">
        <v>1145</v>
      </c>
      <c r="AG9" s="2240" t="s">
        <v>1146</v>
      </c>
      <c r="AH9" s="2240"/>
      <c r="AI9" s="2288" t="s">
        <v>1147</v>
      </c>
      <c r="AJ9" s="2240" t="s">
        <v>1148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1149</v>
      </c>
      <c r="L10" s="2214" t="s">
        <v>1150</v>
      </c>
      <c r="M10" s="2216"/>
      <c r="N10" s="2240" t="s">
        <v>1151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8113" customFormat="1" customHeight="1" ht="25.2">
      <c r="A11" s="1242"/>
      <c r="B11" s="1242"/>
      <c r="C11" s="1242"/>
      <c r="D11" s="1241"/>
      <c r="E11" s="1243"/>
      <c r="F11" s="2521"/>
      <c r="G11" s="2524"/>
      <c r="H11" s="2525"/>
      <c r="I11" s="2240"/>
      <c r="J11" s="2240"/>
      <c r="K11" s="2240"/>
      <c r="L11" s="2288" t="s">
        <v>1152</v>
      </c>
      <c r="M11" s="2288" t="s">
        <v>1153</v>
      </c>
      <c r="N11" s="2240" t="s">
        <v>1154</v>
      </c>
      <c r="O11" s="2240"/>
      <c r="P11" s="2531" t="s">
        <v>1135</v>
      </c>
      <c r="Q11" s="2531" t="s">
        <v>1155</v>
      </c>
      <c r="R11" s="2531" t="s">
        <v>1156</v>
      </c>
      <c r="S11" s="2531" t="s">
        <v>1157</v>
      </c>
      <c r="T11" s="2531"/>
      <c r="U11" s="2531"/>
      <c r="V11" s="2531"/>
      <c r="W11" s="2531"/>
      <c r="X11" s="2531"/>
      <c r="Y11" s="2531"/>
      <c r="Z11" s="2307"/>
      <c r="AA11" s="2308"/>
      <c r="AB11" s="2240" t="s">
        <v>1158</v>
      </c>
      <c r="AC11" s="2240"/>
      <c r="AD11" s="2214" t="s">
        <v>1159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1160</v>
      </c>
      <c r="K12" s="2240"/>
      <c r="L12" s="2345"/>
      <c r="M12" s="2345"/>
      <c r="N12" s="2240"/>
      <c r="O12" s="2240"/>
      <c r="P12" s="2531"/>
      <c r="Q12" s="2531"/>
      <c r="R12" s="2531"/>
      <c r="S12" s="1247" t="s">
        <v>88</v>
      </c>
      <c r="T12" s="1247" t="s">
        <v>89</v>
      </c>
      <c r="U12" s="1247" t="s">
        <v>87</v>
      </c>
      <c r="V12" s="1247" t="s">
        <v>1161</v>
      </c>
      <c r="W12" s="1247" t="s">
        <v>87</v>
      </c>
      <c r="X12" s="1247" t="s">
        <v>1162</v>
      </c>
      <c r="Y12" s="1247" t="s">
        <v>1163</v>
      </c>
      <c r="Z12" s="2313"/>
      <c r="AA12" s="2314"/>
      <c r="AB12" s="1254" t="s">
        <v>1164</v>
      </c>
      <c r="AC12" s="1254" t="s">
        <v>1165</v>
      </c>
      <c r="AD12" s="1254" t="s">
        <v>1164</v>
      </c>
      <c r="AE12" s="1254" t="s">
        <v>1165</v>
      </c>
      <c r="AF12" s="2345"/>
      <c r="AG12" s="1267" t="s">
        <v>1166</v>
      </c>
      <c r="AH12" s="1267" t="s">
        <v>1167</v>
      </c>
      <c r="AI12" s="2345"/>
      <c r="AJ12" s="1267" t="s">
        <v>1166</v>
      </c>
      <c r="AK12" s="1267" t="s">
        <v>1167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1168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7A3FA-7D6D-ED09-63B6-4E8E1E5FBD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348" width="4.140625" hidden="1" customWidth="1"/>
    <col min="4" max="4" style="8191" width="4.140625" hidden="1" customWidth="1"/>
    <col min="5" max="5" style="8113" width="3.00390625" customWidth="1"/>
    <col min="6" max="6" style="8113" width="6.00390625" customWidth="1"/>
    <col min="7" max="7" style="8113" width="60.00390625" customWidth="1"/>
    <col min="8" max="9" style="8113" width="21.7109375" hidden="1" customWidth="1"/>
    <col min="10" max="10" style="8113" width="0.140625" customWidth="1"/>
    <col min="11" max="11" style="8113" width="1.00390625" customWidth="1"/>
    <col min="12" max="22" style="8113" width="8.00390625" customWidth="1"/>
    <col min="23" max="23" style="8113" width="9.140625" hidden="1"/>
  </cols>
  <sheetData>
    <row s="8191" customFormat="1" customHeight="1" ht="10.5" hidden="1">
      <c r="A1" s="1279"/>
      <c r="B1" s="1279"/>
      <c r="C1" s="1279"/>
      <c r="E1" s="650"/>
      <c r="W1" s="1273" t="s">
        <v>14</v>
      </c>
    </row>
    <row customHeight="1" ht="10.5" hidden="1">
      <c r="W2" s="1268">
        <v>0</v>
      </c>
    </row>
    <row s="807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819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455</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1169</v>
      </c>
      <c r="H10" s="2539" t="s">
        <v>1170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1171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1172</v>
      </c>
      <c r="G14" s="2534" t="s">
        <v>1173</v>
      </c>
      <c r="H14" s="2534"/>
      <c r="I14" s="2534"/>
      <c r="J14" s="2534"/>
      <c r="K14" s="1347"/>
      <c r="W14" s="1268">
        <v>11</v>
      </c>
    </row>
    <row customHeight="1" ht="11.549999999999999">
      <c r="F15" s="1343">
        <v>1</v>
      </c>
      <c r="G15" s="803" t="s">
        <v>1174</v>
      </c>
      <c r="H15" s="1349">
        <f>SUM(I15:J15)</f>
        <v>0</v>
      </c>
      <c r="I15" s="1349">
        <f>SUM(I16:I27)</f>
        <v>0</v>
      </c>
      <c r="J15" s="1338"/>
      <c r="K15" s="1347"/>
      <c r="W15" s="1268">
        <v>11</v>
      </c>
    </row>
    <row customHeight="1" ht="24">
      <c r="F16" s="1343" t="s">
        <v>1175</v>
      </c>
      <c r="G16" s="1350" t="s">
        <v>1176</v>
      </c>
      <c r="H16" s="1349">
        <f>SUM(I16:J16)</f>
        <v>0</v>
      </c>
      <c r="I16" s="1348"/>
      <c r="J16" s="1338"/>
      <c r="K16" s="1347"/>
      <c r="W16" s="1268">
        <v>23</v>
      </c>
    </row>
    <row customHeight="1" ht="24">
      <c r="F17" s="1343" t="s">
        <v>1177</v>
      </c>
      <c r="G17" s="1350" t="s">
        <v>1178</v>
      </c>
      <c r="H17" s="1349">
        <f>SUM(I17:J17)</f>
        <v>0</v>
      </c>
      <c r="I17" s="1348"/>
      <c r="J17" s="1338"/>
      <c r="K17" s="1347"/>
      <c r="W17" s="1268">
        <v>23</v>
      </c>
    </row>
    <row customHeight="1" ht="35.699999999999996">
      <c r="F18" s="1343" t="s">
        <v>1179</v>
      </c>
      <c r="G18" s="1350" t="s">
        <v>1180</v>
      </c>
      <c r="H18" s="1349">
        <f>SUM(I18:J18)</f>
        <v>0</v>
      </c>
      <c r="I18" s="1348"/>
      <c r="J18" s="1338"/>
      <c r="K18" s="1347"/>
      <c r="W18" s="1268">
        <v>34</v>
      </c>
    </row>
    <row customHeight="1" ht="35.699999999999996">
      <c r="F19" s="1343" t="s">
        <v>1181</v>
      </c>
      <c r="G19" s="1350" t="s">
        <v>1182</v>
      </c>
      <c r="H19" s="1349">
        <f>SUM(I19:J19)</f>
        <v>0</v>
      </c>
      <c r="I19" s="1348"/>
      <c r="J19" s="1338"/>
      <c r="K19" s="1347"/>
      <c r="W19" s="1268">
        <v>34</v>
      </c>
    </row>
    <row customHeight="1" ht="48.29999999999999">
      <c r="F20" s="1343" t="s">
        <v>1183</v>
      </c>
      <c r="G20" s="1350" t="s">
        <v>1184</v>
      </c>
      <c r="H20" s="1349">
        <f>SUM(I20:J20)</f>
        <v>0</v>
      </c>
      <c r="I20" s="1348"/>
      <c r="J20" s="1338"/>
      <c r="K20" s="1347"/>
      <c r="W20" s="1268">
        <v>46</v>
      </c>
    </row>
    <row customHeight="1" ht="35.699999999999996">
      <c r="F21" s="1343" t="s">
        <v>1185</v>
      </c>
      <c r="G21" s="1350" t="s">
        <v>1186</v>
      </c>
      <c r="H21" s="1349">
        <f>SUM(I21:J21)</f>
        <v>0</v>
      </c>
      <c r="I21" s="1348"/>
      <c r="J21" s="1338"/>
      <c r="K21" s="1347"/>
      <c r="W21" s="1268">
        <v>34</v>
      </c>
    </row>
    <row customHeight="1" ht="35.699999999999996">
      <c r="F22" s="1343" t="s">
        <v>1187</v>
      </c>
      <c r="G22" s="1350" t="s">
        <v>1188</v>
      </c>
      <c r="H22" s="1349">
        <f>SUM(I22:J22)</f>
        <v>0</v>
      </c>
      <c r="I22" s="1348"/>
      <c r="J22" s="1338"/>
      <c r="K22" s="1347"/>
      <c r="W22" s="1268">
        <v>34</v>
      </c>
    </row>
    <row customHeight="1" ht="24">
      <c r="F23" s="1343" t="s">
        <v>1189</v>
      </c>
      <c r="G23" s="1350" t="s">
        <v>1190</v>
      </c>
      <c r="H23" s="1349">
        <f>SUM(I23:J23)</f>
        <v>0</v>
      </c>
      <c r="I23" s="1348"/>
      <c r="J23" s="1338"/>
      <c r="K23" s="1347"/>
      <c r="W23" s="1268">
        <v>23</v>
      </c>
    </row>
    <row customHeight="1" ht="24">
      <c r="F24" s="1343" t="s">
        <v>1191</v>
      </c>
      <c r="G24" s="1350" t="s">
        <v>1192</v>
      </c>
      <c r="H24" s="1349">
        <f>SUM(I24:J24)</f>
        <v>0</v>
      </c>
      <c r="I24" s="1348"/>
      <c r="J24" s="1338"/>
      <c r="K24" s="1347"/>
      <c r="W24" s="1268">
        <v>23</v>
      </c>
    </row>
    <row customHeight="1" ht="35.699999999999996">
      <c r="F25" s="1343" t="s">
        <v>1193</v>
      </c>
      <c r="G25" s="1350" t="s">
        <v>1194</v>
      </c>
      <c r="H25" s="1349">
        <f>SUM(I25:J25)</f>
        <v>0</v>
      </c>
      <c r="I25" s="1348"/>
      <c r="J25" s="1338"/>
      <c r="K25" s="1347"/>
      <c r="W25" s="1268">
        <v>34</v>
      </c>
    </row>
    <row customHeight="1" ht="35.699999999999996">
      <c r="F26" s="1343" t="s">
        <v>1195</v>
      </c>
      <c r="G26" s="1350" t="s">
        <v>1196</v>
      </c>
      <c r="H26" s="1349">
        <f>SUM(I26:J26)</f>
        <v>0</v>
      </c>
      <c r="I26" s="1348"/>
      <c r="J26" s="1338"/>
      <c r="K26" s="1347"/>
      <c r="W26" s="1268">
        <v>34</v>
      </c>
    </row>
    <row customHeight="1" ht="11.549999999999999">
      <c r="F27" s="1343" t="s">
        <v>1197</v>
      </c>
      <c r="G27" s="1350" t="s">
        <v>1198</v>
      </c>
      <c r="H27" s="1349">
        <f>SUM(I27:J27)</f>
        <v>0</v>
      </c>
      <c r="I27" s="1348"/>
      <c r="J27" s="1338"/>
      <c r="K27" s="1347"/>
      <c r="W27" s="1268">
        <v>11</v>
      </c>
    </row>
    <row customHeight="1" ht="11.549999999999999">
      <c r="F28" s="1343">
        <v>2</v>
      </c>
      <c r="G28" s="803" t="s">
        <v>1199</v>
      </c>
      <c r="H28" s="1349">
        <f>SUM(I28:J28)</f>
        <v>0</v>
      </c>
      <c r="I28" s="1349">
        <f>SUM(I29:I31)</f>
        <v>0</v>
      </c>
      <c r="J28" s="1338"/>
      <c r="K28" s="1347"/>
      <c r="W28" s="1268">
        <v>11</v>
      </c>
    </row>
    <row customHeight="1" ht="11.549999999999999">
      <c r="F29" s="1343" t="s">
        <v>862</v>
      </c>
      <c r="G29" s="1350" t="s">
        <v>1200</v>
      </c>
      <c r="H29" s="1349">
        <f>SUM(I29:J29)</f>
        <v>0</v>
      </c>
      <c r="I29" s="1348"/>
      <c r="J29" s="1338"/>
      <c r="K29" s="1347"/>
      <c r="W29" s="1268">
        <v>11</v>
      </c>
    </row>
    <row customHeight="1" ht="11.549999999999999">
      <c r="F30" s="1343" t="s">
        <v>462</v>
      </c>
      <c r="G30" s="1350" t="s">
        <v>1201</v>
      </c>
      <c r="H30" s="1349">
        <f>SUM(I30:J30)</f>
        <v>0</v>
      </c>
      <c r="I30" s="1348"/>
      <c r="J30" s="1338"/>
      <c r="K30" s="1347"/>
      <c r="W30" s="1268">
        <v>11</v>
      </c>
    </row>
    <row customHeight="1" ht="11.549999999999999">
      <c r="F31" s="1343" t="s">
        <v>465</v>
      </c>
      <c r="G31" s="1350" t="s">
        <v>1202</v>
      </c>
      <c r="H31" s="1349">
        <f>SUM(I31:J31)</f>
        <v>0</v>
      </c>
      <c r="I31" s="1348"/>
      <c r="J31" s="1338"/>
      <c r="K31" s="1347"/>
      <c r="W31" s="1268">
        <v>11</v>
      </c>
    </row>
    <row customHeight="1" ht="11.549999999999999">
      <c r="F32" s="1343">
        <v>3</v>
      </c>
      <c r="G32" s="803" t="s">
        <v>1203</v>
      </c>
      <c r="H32" s="1349">
        <f>SUM(I32:J32)</f>
        <v>0</v>
      </c>
      <c r="I32" s="1349">
        <f>SUM(I33:I34)</f>
        <v>0</v>
      </c>
      <c r="J32" s="1338"/>
      <c r="K32" s="1347"/>
      <c r="W32" s="1268">
        <v>11</v>
      </c>
    </row>
    <row customHeight="1" ht="48.29999999999999">
      <c r="F33" s="1343" t="s">
        <v>479</v>
      </c>
      <c r="G33" s="1350" t="s">
        <v>1204</v>
      </c>
      <c r="H33" s="1349">
        <f>SUM(I33:J33)</f>
        <v>0</v>
      </c>
      <c r="I33" s="1348"/>
      <c r="J33" s="1338"/>
      <c r="K33" s="1347"/>
      <c r="W33" s="1268">
        <v>46</v>
      </c>
    </row>
    <row customHeight="1" ht="11.549999999999999">
      <c r="F34" s="1343" t="s">
        <v>487</v>
      </c>
      <c r="G34" s="1350" t="s">
        <v>1205</v>
      </c>
      <c r="H34" s="1349">
        <f>SUM(I34:J34)</f>
        <v>0</v>
      </c>
      <c r="I34" s="1348"/>
      <c r="J34" s="1338"/>
      <c r="K34" s="1347"/>
      <c r="W34" s="1268">
        <v>11</v>
      </c>
    </row>
    <row customHeight="1" ht="11.549999999999999">
      <c r="F35" s="1343">
        <v>4</v>
      </c>
      <c r="G35" s="803" t="s">
        <v>1206</v>
      </c>
      <c r="H35" s="1349">
        <f>SUM(I35:J35)</f>
        <v>0</v>
      </c>
      <c r="I35" s="1348"/>
      <c r="J35" s="1338"/>
      <c r="K35" s="1347"/>
      <c r="W35" s="1268">
        <v>11</v>
      </c>
    </row>
    <row customHeight="1" ht="11.549999999999999">
      <c r="F36" s="1343"/>
      <c r="G36" s="806" t="s">
        <v>1207</v>
      </c>
      <c r="H36" s="1349">
        <f>SUM(I36:J36)</f>
        <v>0</v>
      </c>
      <c r="I36" s="1349">
        <f>SUM(I15,I28,I32,I35)</f>
        <v>0</v>
      </c>
      <c r="J36" s="1338"/>
      <c r="K36" s="1347"/>
      <c r="W36" s="1268">
        <v>11</v>
      </c>
    </row>
    <row customHeight="1" ht="29.25">
      <c r="F37" s="1344" t="s">
        <v>1208</v>
      </c>
      <c r="G37" s="2535" t="s">
        <v>1209</v>
      </c>
      <c r="H37" s="2535"/>
      <c r="I37" s="2535"/>
      <c r="J37" s="2535"/>
      <c r="K37" s="1347"/>
      <c r="W37" s="1268">
        <v>28</v>
      </c>
    </row>
    <row customHeight="1" ht="24">
      <c r="F38" s="1343" t="s">
        <v>155</v>
      </c>
      <c r="G38" s="803" t="s">
        <v>1210</v>
      </c>
      <c r="H38" s="1349">
        <f>SUM(I38:J38)</f>
        <v>0</v>
      </c>
      <c r="I38" s="1349">
        <f>SUM(I39,I44,I47)</f>
        <v>0</v>
      </c>
      <c r="J38" s="1338"/>
      <c r="K38" s="1347"/>
      <c r="W38" s="1268">
        <v>23</v>
      </c>
    </row>
    <row customHeight="1" ht="11.549999999999999">
      <c r="F39" s="1343" t="s">
        <v>1175</v>
      </c>
      <c r="G39" s="1350" t="s">
        <v>1174</v>
      </c>
      <c r="H39" s="1349">
        <f>SUM(I39:J39)</f>
        <v>0</v>
      </c>
      <c r="I39" s="1349">
        <f>SUM(I40:I43)</f>
        <v>0</v>
      </c>
      <c r="J39" s="1338"/>
      <c r="K39" s="1347"/>
      <c r="W39" s="1268">
        <v>11</v>
      </c>
    </row>
    <row customHeight="1" ht="24">
      <c r="F40" s="1343" t="s">
        <v>1211</v>
      </c>
      <c r="G40" s="1351" t="s">
        <v>1212</v>
      </c>
      <c r="H40" s="1349">
        <f>SUM(I40:J40)</f>
        <v>0</v>
      </c>
      <c r="I40" s="1348"/>
      <c r="J40" s="1338"/>
      <c r="K40" s="1347"/>
      <c r="W40" s="1268">
        <v>23</v>
      </c>
    </row>
    <row customHeight="1" ht="11.549999999999999">
      <c r="F41" s="1343" t="s">
        <v>1213</v>
      </c>
      <c r="G41" s="1351" t="s">
        <v>1214</v>
      </c>
      <c r="H41" s="1349">
        <f>SUM(I41:J41)</f>
        <v>0</v>
      </c>
      <c r="I41" s="1348"/>
      <c r="J41" s="1338"/>
      <c r="K41" s="1347"/>
      <c r="W41" s="1268">
        <v>11</v>
      </c>
    </row>
    <row customHeight="1" ht="11.549999999999999">
      <c r="F42" s="1343" t="s">
        <v>1215</v>
      </c>
      <c r="G42" s="1351" t="s">
        <v>1216</v>
      </c>
      <c r="H42" s="1349">
        <f>SUM(I42:J42)</f>
        <v>0</v>
      </c>
      <c r="I42" s="1348"/>
      <c r="J42" s="1338"/>
      <c r="K42" s="1347"/>
      <c r="W42" s="1268">
        <v>11</v>
      </c>
    </row>
    <row customHeight="1" ht="35.699999999999996">
      <c r="F43" s="1343" t="s">
        <v>1217</v>
      </c>
      <c r="G43" s="1351" t="s">
        <v>1218</v>
      </c>
      <c r="H43" s="1349">
        <f>SUM(I43:J43)</f>
        <v>0</v>
      </c>
      <c r="I43" s="1348"/>
      <c r="J43" s="1338"/>
      <c r="K43" s="1347"/>
      <c r="W43" s="1268">
        <v>34</v>
      </c>
    </row>
    <row customHeight="1" ht="11.549999999999999">
      <c r="F44" s="1343" t="s">
        <v>1177</v>
      </c>
      <c r="G44" s="1350" t="s">
        <v>1203</v>
      </c>
      <c r="H44" s="1349">
        <f>SUM(I44:J44)</f>
        <v>0</v>
      </c>
      <c r="I44" s="1349">
        <f>SUM(I45:I46)</f>
        <v>0</v>
      </c>
      <c r="J44" s="1338"/>
      <c r="K44" s="1347"/>
      <c r="W44" s="1268">
        <v>11</v>
      </c>
    </row>
    <row customHeight="1" ht="48.29999999999999">
      <c r="F45" s="1343" t="s">
        <v>1219</v>
      </c>
      <c r="G45" s="1351" t="s">
        <v>1204</v>
      </c>
      <c r="H45" s="1349">
        <f>SUM(I45:J45)</f>
        <v>0</v>
      </c>
      <c r="I45" s="1348"/>
      <c r="J45" s="1338"/>
      <c r="K45" s="1347"/>
      <c r="W45" s="1268">
        <v>46</v>
      </c>
    </row>
    <row customHeight="1" ht="11.549999999999999">
      <c r="F46" s="1343" t="s">
        <v>1220</v>
      </c>
      <c r="G46" s="1351" t="s">
        <v>1205</v>
      </c>
      <c r="H46" s="1349">
        <f>SUM(I46:J46)</f>
        <v>0</v>
      </c>
      <c r="I46" s="1348"/>
      <c r="J46" s="1338"/>
      <c r="K46" s="1347"/>
      <c r="W46" s="1268">
        <v>11</v>
      </c>
    </row>
    <row customHeight="1" ht="11.549999999999999">
      <c r="F47" s="1343" t="s">
        <v>1179</v>
      </c>
      <c r="G47" s="1350" t="s">
        <v>1221</v>
      </c>
      <c r="H47" s="1349">
        <f>SUM(I47:J47)</f>
        <v>0</v>
      </c>
      <c r="I47" s="1348"/>
      <c r="J47" s="1338"/>
      <c r="K47" s="1347"/>
      <c r="W47" s="1268">
        <v>11</v>
      </c>
    </row>
    <row customHeight="1" ht="24">
      <c r="F48" s="1343" t="s">
        <v>105</v>
      </c>
      <c r="G48" s="803" t="s">
        <v>1222</v>
      </c>
      <c r="H48" s="1349">
        <f>SUM(I48:J48)</f>
        <v>0</v>
      </c>
      <c r="I48" s="1349">
        <f>SUM(I49,I54,I57)</f>
        <v>0</v>
      </c>
      <c r="J48" s="1338"/>
      <c r="K48" s="1347"/>
      <c r="W48" s="1268">
        <v>23</v>
      </c>
    </row>
    <row customHeight="1" ht="11.549999999999999">
      <c r="F49" s="1343" t="s">
        <v>862</v>
      </c>
      <c r="G49" s="1350" t="s">
        <v>1174</v>
      </c>
      <c r="H49" s="1349">
        <f>SUM(I49:J49)</f>
        <v>0</v>
      </c>
      <c r="I49" s="1349">
        <f>SUM(I50:I53)</f>
        <v>0</v>
      </c>
      <c r="J49" s="1338"/>
      <c r="K49" s="1347"/>
      <c r="W49" s="1268">
        <v>11</v>
      </c>
    </row>
    <row customHeight="1" ht="24">
      <c r="F50" s="1343" t="s">
        <v>865</v>
      </c>
      <c r="G50" s="1351" t="s">
        <v>1212</v>
      </c>
      <c r="H50" s="1349">
        <f>SUM(I50:J50)</f>
        <v>0</v>
      </c>
      <c r="I50" s="1348"/>
      <c r="J50" s="1338"/>
      <c r="K50" s="1347"/>
      <c r="W50" s="1268">
        <v>23</v>
      </c>
    </row>
    <row customHeight="1" ht="11.549999999999999">
      <c r="F51" s="1343" t="s">
        <v>868</v>
      </c>
      <c r="G51" s="1351" t="s">
        <v>1214</v>
      </c>
      <c r="H51" s="1349">
        <f>SUM(I51:J51)</f>
        <v>0</v>
      </c>
      <c r="I51" s="1348"/>
      <c r="J51" s="1338"/>
      <c r="K51" s="1347"/>
      <c r="W51" s="1268">
        <v>11</v>
      </c>
    </row>
    <row customHeight="1" ht="11.549999999999999">
      <c r="F52" s="1343" t="s">
        <v>1223</v>
      </c>
      <c r="G52" s="1351" t="s">
        <v>1216</v>
      </c>
      <c r="H52" s="1349">
        <f>SUM(I52:J52)</f>
        <v>0</v>
      </c>
      <c r="I52" s="1348"/>
      <c r="J52" s="1338"/>
      <c r="K52" s="1347"/>
      <c r="W52" s="1268">
        <v>11</v>
      </c>
    </row>
    <row customHeight="1" ht="35.699999999999996">
      <c r="F53" s="1343" t="s">
        <v>1224</v>
      </c>
      <c r="G53" s="1351" t="s">
        <v>1218</v>
      </c>
      <c r="H53" s="1349">
        <f>SUM(I53:J53)</f>
        <v>0</v>
      </c>
      <c r="I53" s="1348"/>
      <c r="J53" s="1338"/>
      <c r="K53" s="1347"/>
      <c r="W53" s="1268">
        <v>34</v>
      </c>
    </row>
    <row customHeight="1" ht="11.549999999999999">
      <c r="F54" s="1343" t="s">
        <v>462</v>
      </c>
      <c r="G54" s="1350" t="s">
        <v>1203</v>
      </c>
      <c r="H54" s="1349">
        <f>SUM(I54:J54)</f>
        <v>0</v>
      </c>
      <c r="I54" s="1349">
        <f>SUM(I55:I56)</f>
        <v>0</v>
      </c>
      <c r="J54" s="1338"/>
      <c r="K54" s="1347"/>
      <c r="W54" s="1268">
        <v>11</v>
      </c>
    </row>
    <row customHeight="1" ht="48.29999999999999">
      <c r="F55" s="1343" t="s">
        <v>872</v>
      </c>
      <c r="G55" s="1351" t="s">
        <v>1204</v>
      </c>
      <c r="H55" s="1349">
        <f>SUM(I55:J55)</f>
        <v>0</v>
      </c>
      <c r="I55" s="1348"/>
      <c r="J55" s="1338"/>
      <c r="K55" s="1347"/>
      <c r="W55" s="1268">
        <v>46</v>
      </c>
    </row>
    <row customHeight="1" ht="11.549999999999999">
      <c r="F56" s="1343" t="s">
        <v>874</v>
      </c>
      <c r="G56" s="1351" t="s">
        <v>1205</v>
      </c>
      <c r="H56" s="1349">
        <f>SUM(I56:J56)</f>
        <v>0</v>
      </c>
      <c r="I56" s="1348"/>
      <c r="J56" s="1338"/>
      <c r="K56" s="1347"/>
      <c r="W56" s="1268">
        <v>11</v>
      </c>
    </row>
    <row customHeight="1" ht="11.549999999999999">
      <c r="F57" s="1343" t="s">
        <v>465</v>
      </c>
      <c r="G57" s="1350" t="s">
        <v>1221</v>
      </c>
      <c r="H57" s="1349">
        <f>SUM(I57:J57)</f>
        <v>0</v>
      </c>
      <c r="I57" s="1348"/>
      <c r="J57" s="1338"/>
      <c r="K57" s="1347"/>
      <c r="W57" s="1268">
        <v>11</v>
      </c>
    </row>
    <row customHeight="1" ht="11.549999999999999">
      <c r="F58" s="1343"/>
      <c r="G58" s="1352" t="s">
        <v>1207</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C642-441E-6FAA-C261-491CD957231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553" width="4.7109375" hidden="1" customWidth="1"/>
    <col min="2" max="2" style="12559" width="4.7109375" hidden="1" customWidth="1"/>
    <col min="3" max="4" style="12553" width="4.7109375" hidden="1" customWidth="1"/>
    <col min="5" max="5" style="12553" width="3.00390625" customWidth="1"/>
    <col min="6" max="6" style="12553" width="6.00390625" customWidth="1"/>
    <col min="7" max="7" style="12553" width="18.00390625" customWidth="1"/>
    <col min="8" max="8" style="12553" width="27.00390625" customWidth="1"/>
    <col min="9" max="9" style="12553" width="18.00390625" customWidth="1"/>
    <col min="10" max="14" style="12553" width="0.8515625" hidden="1" customWidth="1"/>
    <col min="15" max="28" style="12553" width="21.7109375" customWidth="1"/>
    <col min="29" max="71" style="12553" width="0.8515625" customWidth="1"/>
    <col min="72" max="79" style="12553" width="21.7109375" hidden="1" customWidth="1"/>
    <col min="80" max="81" style="12553" width="29.140625" hidden="1" customWidth="1"/>
    <col min="82" max="89" style="12553" width="21.7109375" hidden="1" customWidth="1"/>
    <col min="90" max="102" style="12553" width="0.7109375" hidden="1" customWidth="1"/>
    <col min="103" max="114" style="12553" width="21.7109375" hidden="1" customWidth="1"/>
    <col min="115" max="178" style="12553" width="0.7109375" hidden="1" customWidth="1"/>
    <col min="179" max="179" style="12553" width="0.140625" customWidth="1"/>
    <col min="180" max="184" style="12553" width="8.00390625" customWidth="1"/>
    <col min="185" max="185" style="12553" width="9.140625" hidden="1"/>
  </cols>
  <sheetData>
    <row s="12483" customFormat="1" customHeight="1" ht="12" hidden="1">
      <c r="B1" s="1036"/>
      <c r="C1" s="1037"/>
      <c r="D1" s="1037"/>
      <c r="GC1" s="1035" t="s">
        <v>14</v>
      </c>
    </row>
    <row s="12483"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2483"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2493"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2498"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2502"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2502" customFormat="1" customHeight="1" ht="11.25" hidden="1">
      <c r="B8" s="1047"/>
      <c r="F8" s="1169"/>
      <c r="G8" s="876"/>
      <c r="H8" s="473"/>
      <c r="I8" s="473"/>
      <c r="J8" s="473"/>
      <c r="K8" s="473"/>
      <c r="L8" s="473"/>
      <c r="M8" s="1169"/>
      <c r="N8" s="1169"/>
      <c r="O8" s="2563" t="s">
        <v>1225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1226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2502"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2502" customFormat="1" customHeight="1" ht="11.549999999999999">
      <c r="B10" s="1047"/>
      <c r="F10" s="2542" t="s">
        <v>455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1227</v>
      </c>
      <c r="H11" s="2550" t="s">
        <v>1228</v>
      </c>
      <c r="I11" s="2550" t="s">
        <v>1229</v>
      </c>
      <c r="J11" s="2551"/>
      <c r="K11" s="2551"/>
      <c r="L11" s="2551"/>
      <c r="M11" s="2551"/>
      <c r="N11" s="2551"/>
      <c r="O11" s="2322" t="s">
        <v>1230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1230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1230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1231</v>
      </c>
      <c r="P12" s="2322"/>
      <c r="Q12" s="2322"/>
      <c r="R12" s="2322"/>
      <c r="S12" s="2322" t="s">
        <v>1232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1233</v>
      </c>
      <c r="BU12" s="2500"/>
      <c r="BV12" s="2500"/>
      <c r="BW12" s="2546"/>
      <c r="BX12" s="2499" t="s">
        <v>1234</v>
      </c>
      <c r="BY12" s="2500"/>
      <c r="BZ12" s="2500"/>
      <c r="CA12" s="2546"/>
      <c r="CB12" s="2499" t="s">
        <v>1235</v>
      </c>
      <c r="CC12" s="2546"/>
      <c r="CD12" s="2499" t="s">
        <v>1236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1237</v>
      </c>
      <c r="CZ12" s="2500"/>
      <c r="DA12" s="2500"/>
      <c r="DB12" s="2500"/>
      <c r="DC12" s="2500"/>
      <c r="DD12" s="2546"/>
      <c r="DE12" s="2499" t="s">
        <v>1238</v>
      </c>
      <c r="DF12" s="2546"/>
      <c r="DG12" s="2499" t="s">
        <v>1236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1239</v>
      </c>
      <c r="P13" s="2322"/>
      <c r="Q13" s="2322"/>
      <c r="R13" s="2322"/>
      <c r="S13" s="2449" t="s">
        <v>1240</v>
      </c>
      <c r="T13" s="2501"/>
      <c r="U13" s="2240" t="s">
        <v>1241</v>
      </c>
      <c r="V13" s="2240"/>
      <c r="W13" s="2240"/>
      <c r="X13" s="2240"/>
      <c r="Y13" s="2240" t="s">
        <v>1242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1243</v>
      </c>
      <c r="BU13" s="2501"/>
      <c r="BV13" s="2449" t="s">
        <v>1244</v>
      </c>
      <c r="BW13" s="2501"/>
      <c r="BX13" s="2449" t="s">
        <v>1245</v>
      </c>
      <c r="BY13" s="2501"/>
      <c r="BZ13" s="2449" t="s">
        <v>1246</v>
      </c>
      <c r="CA13" s="2501"/>
      <c r="CB13" s="2449" t="s">
        <v>1247</v>
      </c>
      <c r="CC13" s="2501"/>
      <c r="CD13" s="2449" t="s">
        <v>1248</v>
      </c>
      <c r="CE13" s="2501"/>
      <c r="CF13" s="2449" t="s">
        <v>1249</v>
      </c>
      <c r="CG13" s="2501"/>
      <c r="CH13" s="2499" t="s">
        <v>1250</v>
      </c>
      <c r="CI13" s="2500"/>
      <c r="CJ13" s="2500"/>
      <c r="CK13" s="2546"/>
      <c r="CL13" s="2549"/>
      <c r="CM13" s="2547"/>
      <c r="CN13" s="2547"/>
      <c r="CO13" s="2547"/>
      <c r="CP13" s="2547"/>
      <c r="CQ13" s="2547"/>
      <c r="CR13" s="2547"/>
      <c r="CS13" s="2547"/>
      <c r="CT13" s="2547"/>
      <c r="CU13" s="2547"/>
      <c r="CV13" s="2547"/>
      <c r="CW13" s="2547"/>
      <c r="CX13" s="2566"/>
      <c r="CY13" s="2449" t="s">
        <v>1251</v>
      </c>
      <c r="CZ13" s="2501"/>
      <c r="DA13" s="2449" t="s">
        <v>1252</v>
      </c>
      <c r="DB13" s="2501"/>
      <c r="DC13" s="2449" t="s">
        <v>1253</v>
      </c>
      <c r="DD13" s="2501"/>
      <c r="DE13" s="2449" t="s">
        <v>1254</v>
      </c>
      <c r="DF13" s="2501"/>
      <c r="DG13" s="2499" t="s">
        <v>1255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1256</v>
      </c>
      <c r="P14" s="2501"/>
      <c r="Q14" s="2449" t="s">
        <v>1257</v>
      </c>
      <c r="R14" s="2501"/>
      <c r="S14" s="2450"/>
      <c r="T14" s="2326"/>
      <c r="U14" s="2449" t="s">
        <v>989</v>
      </c>
      <c r="V14" s="2501"/>
      <c r="W14" s="2449" t="s">
        <v>992</v>
      </c>
      <c r="X14" s="2501"/>
      <c r="Y14" s="2449" t="s">
        <v>989</v>
      </c>
      <c r="Z14" s="2501"/>
      <c r="AA14" s="2449" t="s">
        <v>999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1258</v>
      </c>
      <c r="CI14" s="2501"/>
      <c r="CJ14" s="2449" t="s">
        <v>1259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1260</v>
      </c>
      <c r="DH14" s="2501"/>
      <c r="DI14" s="2449" t="s">
        <v>1261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979</v>
      </c>
      <c r="P16" s="2546"/>
      <c r="Q16" s="2499" t="s">
        <v>981</v>
      </c>
      <c r="R16" s="2546"/>
      <c r="S16" s="2499" t="s">
        <v>985</v>
      </c>
      <c r="T16" s="2546"/>
      <c r="U16" s="2499" t="s">
        <v>990</v>
      </c>
      <c r="V16" s="2546"/>
      <c r="W16" s="2499" t="s">
        <v>993</v>
      </c>
      <c r="X16" s="2546"/>
      <c r="Y16" s="2499" t="s">
        <v>997</v>
      </c>
      <c r="Z16" s="2546"/>
      <c r="AA16" s="2499" t="s">
        <v>1000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712</v>
      </c>
      <c r="BU16" s="2546"/>
      <c r="BV16" s="2499" t="s">
        <v>712</v>
      </c>
      <c r="BW16" s="2546"/>
      <c r="BX16" s="2499" t="s">
        <v>712</v>
      </c>
      <c r="BY16" s="2546"/>
      <c r="BZ16" s="2499" t="s">
        <v>712</v>
      </c>
      <c r="CA16" s="2546"/>
      <c r="CB16" s="2499" t="s">
        <v>1262</v>
      </c>
      <c r="CC16" s="2546"/>
      <c r="CD16" s="2499" t="s">
        <v>712</v>
      </c>
      <c r="CE16" s="2546"/>
      <c r="CF16" s="2499" t="s">
        <v>1263</v>
      </c>
      <c r="CG16" s="2546"/>
      <c r="CH16" s="2499" t="s">
        <v>1264</v>
      </c>
      <c r="CI16" s="2546"/>
      <c r="CJ16" s="2499" t="s">
        <v>1264</v>
      </c>
      <c r="CK16" s="2546"/>
      <c r="CL16" s="2549"/>
      <c r="CM16" s="2547"/>
      <c r="CN16" s="2547"/>
      <c r="CO16" s="2547"/>
      <c r="CP16" s="2547"/>
      <c r="CQ16" s="2547"/>
      <c r="CR16" s="2547"/>
      <c r="CS16" s="2547"/>
      <c r="CT16" s="2547"/>
      <c r="CU16" s="2547"/>
      <c r="CV16" s="2547"/>
      <c r="CW16" s="2547"/>
      <c r="CX16" s="2566"/>
      <c r="CY16" s="2449" t="s">
        <v>712</v>
      </c>
      <c r="CZ16" s="2501"/>
      <c r="DA16" s="2449" t="s">
        <v>712</v>
      </c>
      <c r="DB16" s="2501"/>
      <c r="DC16" s="2449" t="s">
        <v>712</v>
      </c>
      <c r="DD16" s="2501"/>
      <c r="DE16" s="2499" t="s">
        <v>1262</v>
      </c>
      <c r="DF16" s="2546"/>
      <c r="DG16" s="2499" t="s">
        <v>1265</v>
      </c>
      <c r="DH16" s="2546"/>
      <c r="DI16" s="2499" t="s">
        <v>1265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1266</v>
      </c>
      <c r="P17" s="1304" t="s">
        <v>1267</v>
      </c>
      <c r="Q17" s="1304" t="s">
        <v>1266</v>
      </c>
      <c r="R17" s="1304" t="s">
        <v>1267</v>
      </c>
      <c r="S17" s="1304" t="s">
        <v>1266</v>
      </c>
      <c r="T17" s="1304" t="s">
        <v>1267</v>
      </c>
      <c r="U17" s="1304" t="s">
        <v>1266</v>
      </c>
      <c r="V17" s="1304" t="s">
        <v>1267</v>
      </c>
      <c r="W17" s="1304" t="s">
        <v>1266</v>
      </c>
      <c r="X17" s="1304" t="s">
        <v>1267</v>
      </c>
      <c r="Y17" s="1304" t="s">
        <v>1266</v>
      </c>
      <c r="Z17" s="1304" t="s">
        <v>1267</v>
      </c>
      <c r="AA17" s="1304" t="s">
        <v>1266</v>
      </c>
      <c r="AB17" s="1304" t="s">
        <v>1267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1266</v>
      </c>
      <c r="BU17" s="1304" t="s">
        <v>1267</v>
      </c>
      <c r="BV17" s="1304" t="s">
        <v>1266</v>
      </c>
      <c r="BW17" s="1304" t="s">
        <v>1267</v>
      </c>
      <c r="BX17" s="1304" t="s">
        <v>1266</v>
      </c>
      <c r="BY17" s="1304" t="s">
        <v>1267</v>
      </c>
      <c r="BZ17" s="1304" t="s">
        <v>1266</v>
      </c>
      <c r="CA17" s="1304" t="s">
        <v>1267</v>
      </c>
      <c r="CB17" s="1304" t="s">
        <v>1266</v>
      </c>
      <c r="CC17" s="1304" t="s">
        <v>1267</v>
      </c>
      <c r="CD17" s="1304" t="s">
        <v>1266</v>
      </c>
      <c r="CE17" s="1304" t="s">
        <v>1267</v>
      </c>
      <c r="CF17" s="1304" t="s">
        <v>1266</v>
      </c>
      <c r="CG17" s="1304" t="s">
        <v>1267</v>
      </c>
      <c r="CH17" s="1304" t="s">
        <v>1266</v>
      </c>
      <c r="CI17" s="1304" t="s">
        <v>1267</v>
      </c>
      <c r="CJ17" s="1304" t="s">
        <v>1266</v>
      </c>
      <c r="CK17" s="1304" t="s">
        <v>1267</v>
      </c>
      <c r="CL17" s="2549"/>
      <c r="CM17" s="2547"/>
      <c r="CN17" s="2547"/>
      <c r="CO17" s="2547"/>
      <c r="CP17" s="2547"/>
      <c r="CQ17" s="2547"/>
      <c r="CR17" s="2547"/>
      <c r="CS17" s="2547"/>
      <c r="CT17" s="2547"/>
      <c r="CU17" s="2547"/>
      <c r="CV17" s="2547"/>
      <c r="CW17" s="2547"/>
      <c r="CX17" s="2566"/>
      <c r="CY17" s="1304" t="s">
        <v>1266</v>
      </c>
      <c r="CZ17" s="1304" t="s">
        <v>1267</v>
      </c>
      <c r="DA17" s="1304" t="s">
        <v>1266</v>
      </c>
      <c r="DB17" s="1304" t="s">
        <v>1267</v>
      </c>
      <c r="DC17" s="1304" t="s">
        <v>1266</v>
      </c>
      <c r="DD17" s="1304" t="s">
        <v>1267</v>
      </c>
      <c r="DE17" s="1304" t="s">
        <v>1266</v>
      </c>
      <c r="DF17" s="1304" t="s">
        <v>1267</v>
      </c>
      <c r="DG17" s="1304" t="s">
        <v>1266</v>
      </c>
      <c r="DH17" s="1304" t="s">
        <v>1267</v>
      </c>
      <c r="DI17" s="1304" t="s">
        <v>1266</v>
      </c>
      <c r="DJ17" s="1304" t="s">
        <v>1267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2483"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2483"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2483" customFormat="1" customHeight="1" ht="11.25" hidden="1">
      <c r="B20" s="1053"/>
      <c r="D20" s="1037"/>
      <c r="E20" s="1052"/>
      <c r="F20" s="1310" t="s">
        <v>531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2483"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2483" customFormat="1" customHeight="1" ht="12.75">
      <c r="A22" s="1054"/>
      <c r="B22" s="1054"/>
      <c r="C22" s="1054"/>
      <c r="D22" s="1054"/>
      <c r="E22" s="1054"/>
      <c r="FX22" s="1054"/>
      <c r="FY22" s="1054"/>
      <c r="FZ22" s="1054"/>
      <c r="GA22" s="1054"/>
      <c r="GB22" s="1054"/>
      <c r="GC22" s="1035">
        <v>12</v>
      </c>
    </row>
    <row s="12553"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61FB-F234-6602-4E17-958B5754595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077" width="9.140625" hidden="1" customWidth="1"/>
    <col min="2" max="2" style="8113" width="9.140625" hidden="1" customWidth="1"/>
    <col min="3" max="3" style="12377" width="4.00390625" customWidth="1"/>
    <col min="4" max="4" style="8113" width="6.00390625" customWidth="1"/>
    <col min="5" max="5" style="8113" width="36.00390625" customWidth="1"/>
    <col min="6" max="6" style="8113" width="9.00390625" customWidth="1"/>
    <col min="7" max="7" style="8113" width="42.421875" hidden="1" customWidth="1"/>
    <col min="8" max="8" style="8113" width="40.7109375" customWidth="1"/>
    <col min="9" max="9" style="8191" width="93.00390625" customWidth="1"/>
    <col min="10" max="17" style="8113" width="10.00390625" customWidth="1"/>
    <col min="18" max="18" style="12378" width="10.00390625" customWidth="1"/>
    <col min="19" max="19" style="8113" width="10.57421875" hidden="1"/>
  </cols>
  <sheetData>
    <row s="8191" customFormat="1" customHeight="1" ht="15" hidden="1">
      <c r="C1" s="785"/>
      <c r="H1" s="530">
        <v>4</v>
      </c>
      <c r="R1" s="533"/>
      <c r="S1" s="530" t="s">
        <v>14</v>
      </c>
    </row>
    <row customHeight="1" ht="22.5" hidden="1">
      <c r="C2" s="2041" t="s">
        <v>106</v>
      </c>
      <c r="D2" s="652"/>
      <c r="E2" s="776"/>
      <c r="F2" s="1874" t="str">
        <f>IF(TEMPLATE_SPHERE="HEAT","Гкал/час","тыс. куб. м/сутки")</f>
        <v>Гкал/час</v>
      </c>
      <c r="G2" s="793"/>
      <c r="H2" s="793"/>
      <c r="I2" s="402"/>
      <c r="S2" s="618">
        <v>0</v>
      </c>
    </row>
    <row s="8191"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8113" customFormat="1" customHeight="1" ht="15.75">
      <c r="A7" s="872"/>
      <c r="C7" s="289"/>
      <c r="D7" s="789"/>
      <c r="E7" s="789"/>
      <c r="F7" s="789"/>
      <c r="G7" s="789"/>
      <c r="H7" s="865"/>
      <c r="I7" s="650"/>
      <c r="R7" s="788"/>
      <c r="S7" s="871">
        <v>15</v>
      </c>
    </row>
    <row customHeight="1" ht="1.05">
      <c r="C8" s="289"/>
      <c r="D8" s="622"/>
      <c r="E8" s="622"/>
      <c r="F8" s="622"/>
      <c r="G8" s="622"/>
      <c r="H8" s="650" t="s">
        <v>194</v>
      </c>
      <c r="S8" s="618">
        <v>1</v>
      </c>
    </row>
    <row customHeight="1" ht="15.75">
      <c r="C9" s="289"/>
      <c r="D9" s="824"/>
      <c r="E9" s="2480" t="s">
        <v>186</v>
      </c>
      <c r="F9" s="2481"/>
      <c r="G9" s="929" t="str">
        <f>IF(G8="","",INDEX(DIFFERENTIATION_UNMERGE_VD,MATCH(G8,DIFFERENTIATION_ID_DIFF,0)))</f>
        <v/>
      </c>
      <c r="H9" s="929">
        <f>IF(H8="","",INDEX(DIFFERENTIATION_UNMERGE_VD,MATCH(H8,DIFFERENTIATION_ID_DIFF,0)))</f>
        <v>0</v>
      </c>
      <c r="I9" s="2240" t="s">
        <v>456</v>
      </c>
      <c r="S9" s="618">
        <v>15</v>
      </c>
    </row>
    <row s="8113" customFormat="1" customHeight="1" ht="15.75">
      <c r="A10" s="872"/>
      <c r="C10" s="289"/>
      <c r="D10" s="824"/>
      <c r="E10" s="2480" t="s">
        <v>718</v>
      </c>
      <c r="F10" s="2481"/>
      <c r="G10" s="929" t="str">
        <f>IF(G8="","",INDEX(DIFFERENTIATION_UNMERGE_AREA,MATCH(G8,DIFFERENTIATION_ID_DIFF,0)))</f>
        <v/>
      </c>
      <c r="H10" s="929" t="str">
        <f>IF(H8="","",INDEX(DIFFERENTIATION_UNMERGE_AREA,MATCH(H8,DIFFERENTIATION_ID_DIFF,0)))</f>
        <v/>
      </c>
      <c r="I10" s="2240"/>
      <c r="R10" s="788"/>
      <c r="S10" s="871">
        <v>15</v>
      </c>
    </row>
    <row s="8113" customFormat="1" customHeight="1" ht="15.75">
      <c r="A11" s="872"/>
      <c r="C11" s="289"/>
      <c r="D11" s="824"/>
      <c r="E11" s="2480" t="s">
        <v>719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8113" customFormat="1" customHeight="1" ht="15.75">
      <c r="A12" s="872"/>
      <c r="C12" s="289"/>
      <c r="D12" s="2482" t="s">
        <v>455</v>
      </c>
      <c r="E12" s="2483"/>
      <c r="F12" s="2483"/>
      <c r="G12" s="1000"/>
      <c r="H12" s="1000"/>
      <c r="I12" s="2240"/>
      <c r="R12" s="788"/>
      <c r="S12" s="871">
        <v>15</v>
      </c>
    </row>
    <row customHeight="1" ht="35.699999999999996">
      <c r="C13" s="289"/>
      <c r="D13" s="874" t="s">
        <v>90</v>
      </c>
      <c r="E13" s="873" t="s">
        <v>457</v>
      </c>
      <c r="F13" s="873" t="s">
        <v>720</v>
      </c>
      <c r="G13" s="921" t="s">
        <v>458</v>
      </c>
      <c r="H13" s="867" t="s">
        <v>458</v>
      </c>
      <c r="I13" s="2240"/>
      <c r="S13" s="618">
        <v>34</v>
      </c>
    </row>
    <row customHeight="1" ht="15" hidden="1">
      <c r="C14" s="289"/>
      <c r="D14" s="706" t="s">
        <v>155</v>
      </c>
      <c r="E14" s="706" t="s">
        <v>105</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1268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1268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1268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461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1269</v>
      </c>
      <c r="E20" s="801"/>
      <c r="F20" s="622"/>
      <c r="G20" s="622"/>
      <c r="H20" s="622"/>
      <c r="I20" s="1876"/>
      <c r="S20" s="618">
        <v>0</v>
      </c>
    </row>
    <row customHeight="1" ht="29.25">
      <c r="C21" s="564"/>
      <c r="D21" s="652" t="s">
        <v>468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1270</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9E8AB-8875-5433-19F3-0A3F6BE4508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45" width="9.140625" hidden="1" customWidth="1"/>
    <col min="2" max="2" style="8191" width="9.140625" hidden="1" customWidth="1"/>
    <col min="3" max="3" style="9046" width="3.00390625" customWidth="1"/>
    <col min="4" max="4" style="8113" width="6.00390625" customWidth="1"/>
    <col min="5" max="6" style="8113" width="64.00390625" customWidth="1"/>
    <col min="7" max="7" style="8113" width="140.00390625" customWidth="1"/>
    <col min="8" max="8" style="8113" width="10.00390625" customWidth="1"/>
    <col min="9" max="10" style="8291" width="10.00390625" customWidth="1"/>
    <col min="11" max="16" style="8113" width="10.00390625" customWidth="1"/>
    <col min="17" max="17" style="811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8113"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8113" customFormat="1" customHeight="1" ht="1.05">
      <c r="A8" s="1782"/>
      <c r="B8" s="1273"/>
      <c r="C8" s="489"/>
      <c r="D8" s="476"/>
      <c r="E8" s="502"/>
      <c r="F8" s="865"/>
      <c r="G8" s="306"/>
      <c r="I8" s="1737"/>
      <c r="J8" s="1737"/>
      <c r="Q8" s="1744">
        <v>1</v>
      </c>
    </row>
    <row customHeight="1" ht="14.699999999999998">
      <c r="C9" s="209"/>
      <c r="D9" s="2322" t="s">
        <v>455</v>
      </c>
      <c r="E9" s="2322"/>
      <c r="F9" s="2322"/>
      <c r="G9" s="2502" t="s">
        <v>456</v>
      </c>
      <c r="Q9" s="196">
        <v>14</v>
      </c>
    </row>
    <row customHeight="1" ht="24">
      <c r="C10" s="209"/>
      <c r="D10" s="218" t="s">
        <v>90</v>
      </c>
      <c r="E10" s="221" t="s">
        <v>457</v>
      </c>
      <c r="F10" s="221" t="s">
        <v>545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461</v>
      </c>
      <c r="G12" s="264"/>
      <c r="Q12" s="196">
        <v>62</v>
      </c>
    </row>
    <row customHeight="1" ht="24">
      <c r="A13" s="305"/>
      <c r="C13" s="209"/>
      <c r="D13" s="260" t="s">
        <v>1175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461</v>
      </c>
      <c r="G13" s="264"/>
      <c r="Q13" s="196">
        <v>23</v>
      </c>
    </row>
    <row customHeight="1" ht="14.699999999999998">
      <c r="A14" s="305"/>
      <c r="C14" s="209"/>
      <c r="D14" s="260" t="s">
        <v>1211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1271</v>
      </c>
      <c r="F15" s="314"/>
      <c r="G15" s="2284"/>
      <c r="Q15" s="196">
        <v>15</v>
      </c>
    </row>
    <row customHeight="1" ht="14.699999999999998">
      <c r="A16" s="305"/>
      <c r="C16" s="209"/>
      <c r="D16" s="260" t="s">
        <v>1177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461</v>
      </c>
      <c r="G16" s="450"/>
      <c r="Q16" s="196">
        <v>14</v>
      </c>
    </row>
    <row customHeight="1" ht="14.699999999999998">
      <c r="A17" s="305"/>
      <c r="C17" s="209"/>
      <c r="D17" s="260" t="s">
        <v>1219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8113" customFormat="1" customHeight="1" ht="22.049999999999997">
      <c r="A18" s="456"/>
      <c r="B18" s="259"/>
      <c r="C18" s="420"/>
      <c r="D18" s="460"/>
      <c r="E18" s="462" t="s">
        <v>1272</v>
      </c>
      <c r="F18" s="451"/>
      <c r="G18" s="2284"/>
      <c r="I18" s="463"/>
      <c r="J18" s="463"/>
      <c r="Q18" s="455">
        <v>21</v>
      </c>
    </row>
    <row s="8113" customFormat="1" customHeight="1" ht="256.5" hidden="1">
      <c r="A19" s="456"/>
      <c r="B19" s="530"/>
      <c r="C19" s="489"/>
      <c r="D19" s="997" t="s">
        <v>1179</v>
      </c>
      <c r="E19" s="996" t="s">
        <v>1273</v>
      </c>
      <c r="F19" s="498"/>
      <c r="G19" s="450" t="s">
        <v>1274</v>
      </c>
      <c r="I19" s="613"/>
      <c r="J19" s="613"/>
      <c r="Q19" s="871">
        <v>0</v>
      </c>
    </row>
    <row s="8113" customFormat="1" customHeight="1" ht="14.699999999999998">
      <c r="A20" s="456"/>
      <c r="B20" s="259"/>
      <c r="C20" s="420"/>
      <c r="D20" s="998">
        <v>2</v>
      </c>
      <c r="E20" s="443" t="s">
        <v>1275</v>
      </c>
      <c r="F20" s="311" t="s">
        <v>461</v>
      </c>
      <c r="G20" s="450"/>
      <c r="I20" s="463"/>
      <c r="J20" s="463"/>
      <c r="Q20" s="455">
        <v>14</v>
      </c>
    </row>
    <row s="8113" customFormat="1" customHeight="1" ht="18.75" hidden="1">
      <c r="A21" s="456"/>
      <c r="B21" s="259"/>
      <c r="C21" s="420"/>
      <c r="D21" s="446" t="s">
        <v>790</v>
      </c>
      <c r="E21" s="445"/>
      <c r="F21" s="444"/>
      <c r="G21" s="454"/>
      <c r="H21" s="447"/>
      <c r="I21" s="463"/>
      <c r="J21" s="463"/>
      <c r="Q21" s="455">
        <v>0</v>
      </c>
    </row>
    <row customHeight="1" ht="15.75">
      <c r="A22" s="305"/>
      <c r="C22" s="209"/>
      <c r="D22" s="222"/>
      <c r="E22" s="316" t="s">
        <v>477</v>
      </c>
      <c r="F22" s="451"/>
      <c r="G22" s="452"/>
      <c r="Q22" s="196">
        <v>15</v>
      </c>
    </row>
    <row s="8113" customFormat="1" customHeight="1" ht="22.5" hidden="1">
      <c r="A23" s="456"/>
      <c r="B23" s="1273"/>
      <c r="C23" s="489"/>
      <c r="D23" s="1786" t="s">
        <v>105</v>
      </c>
      <c r="E23" s="310" t="s">
        <v>1276</v>
      </c>
      <c r="F23" s="1783" t="s">
        <v>461</v>
      </c>
      <c r="G23" s="458"/>
      <c r="I23" s="1737"/>
      <c r="J23" s="1737"/>
      <c r="Q23" s="1744">
        <v>0</v>
      </c>
    </row>
    <row s="8113" customFormat="1" customHeight="1" ht="14.25" hidden="1">
      <c r="A24" s="456"/>
      <c r="B24" s="1273"/>
      <c r="C24" s="489"/>
      <c r="D24" s="1786" t="s">
        <v>862</v>
      </c>
      <c r="E24" s="1785" t="s">
        <v>1277</v>
      </c>
      <c r="F24" s="1783" t="s">
        <v>461</v>
      </c>
      <c r="G24" s="450"/>
      <c r="I24" s="1737"/>
      <c r="J24" s="1737"/>
      <c r="Q24" s="1744">
        <v>0</v>
      </c>
    </row>
    <row s="8113" customFormat="1" customHeight="1" ht="14.25" hidden="1">
      <c r="A25" s="456"/>
      <c r="B25" s="1273"/>
      <c r="C25" s="489"/>
      <c r="D25" s="1786" t="s">
        <v>865</v>
      </c>
      <c r="E25" s="308"/>
      <c r="F25" s="498"/>
      <c r="G25" s="2282" t="s">
        <v>1278</v>
      </c>
      <c r="I25" s="1737"/>
      <c r="J25" s="1737"/>
      <c r="Q25" s="1744">
        <v>0</v>
      </c>
    </row>
    <row s="8113" customFormat="1" customHeight="1" ht="22.5" hidden="1">
      <c r="A26" s="456"/>
      <c r="B26" s="1273"/>
      <c r="C26" s="489"/>
      <c r="D26" s="460"/>
      <c r="E26" s="462" t="s">
        <v>1279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05BE4-19E2-0415-BA24-00F6C3CE88C8}" mc:Ignorable="x14ac xr xr2 xr3">
  <sheetPr>
    <tabColor theme="6" tint="0.4"/>
  </sheetPr>
  <dimension ref="A1:M54"/>
  <sheetViews>
    <sheetView topLeftCell="C13" showGridLines="0" zoomScale="90" workbookViewId="0" tabSelected="1">
      <selection activeCell="H35" sqref="H35"/>
    </sheetView>
  </sheetViews>
  <sheetFormatPr defaultColWidth="10.57421875" customHeight="1" defaultRowHeight="14.25"/>
  <cols>
    <col min="1" max="1" style="9044" width="9.140625" hidden="1" customWidth="1"/>
    <col min="2" max="2" style="8191" width="9.140625" hidden="1" customWidth="1"/>
    <col min="3" max="3" style="9046" width="3.00390625" customWidth="1"/>
    <col min="4" max="4" style="8113" width="6.00390625" customWidth="1"/>
    <col min="5" max="5" style="8113" width="63.00390625" customWidth="1"/>
    <col min="6" max="6" style="8113" width="1.7109375" hidden="1" customWidth="1"/>
    <col min="7" max="8" style="8113" width="35.00390625" customWidth="1"/>
    <col min="9" max="9" style="8113" width="91.00390625" customWidth="1"/>
    <col min="10" max="10" style="8113" width="68.00390625" customWidth="1"/>
    <col min="11" max="12" style="8291" width="10.00390625" customWidth="1"/>
    <col min="13" max="13" style="8113" width="10.57421875" hidden="1"/>
  </cols>
  <sheetData>
    <row customHeight="1" ht="22.5" hidden="1">
      <c r="M1" s="196" t="s">
        <v>14</v>
      </c>
    </row>
    <row s="8113" customFormat="1" customHeight="1" ht="18.75" hidden="1">
      <c r="A2" s="1796"/>
      <c r="B2" s="1273"/>
      <c r="C2" s="1843" t="s">
        <v>106</v>
      </c>
      <c r="D2" s="1786"/>
      <c r="E2" s="312"/>
      <c r="F2" s="1783"/>
      <c r="G2" s="1783" t="s">
        <v>461</v>
      </c>
      <c r="H2" s="1274"/>
      <c r="K2" s="1737"/>
      <c r="L2" s="1737"/>
      <c r="M2" s="1744">
        <v>0</v>
      </c>
    </row>
    <row s="8113" customFormat="1" customHeight="1" ht="14.25" hidden="1">
      <c r="A3" s="1475"/>
      <c r="B3" s="1273"/>
      <c r="C3" s="457"/>
      <c r="K3" s="1737"/>
      <c r="L3" s="1737"/>
      <c r="M3" s="1744">
        <v>0</v>
      </c>
    </row>
    <row s="8113" customFormat="1" customHeight="1" ht="18.75" hidden="1">
      <c r="A4" s="1796"/>
      <c r="B4" s="1273"/>
      <c r="C4" s="1843" t="s">
        <v>106</v>
      </c>
      <c r="D4" s="1786"/>
      <c r="E4" s="318" t="s">
        <v>1280</v>
      </c>
      <c r="F4" s="1783"/>
      <c r="G4" s="370"/>
      <c r="H4" s="1783" t="s">
        <v>461</v>
      </c>
      <c r="K4" s="1737"/>
      <c r="L4" s="1737"/>
      <c r="M4" s="1744">
        <v>0</v>
      </c>
    </row>
    <row s="8113" customFormat="1" customHeight="1" ht="14.25" hidden="1">
      <c r="A5" s="1475"/>
      <c r="B5" s="1273"/>
      <c r="C5" s="457"/>
      <c r="K5" s="1737"/>
      <c r="L5" s="1737"/>
      <c r="M5" s="1744">
        <v>0</v>
      </c>
    </row>
    <row s="8113" customFormat="1" customHeight="1" ht="18.75" hidden="1">
      <c r="A6" s="1796"/>
      <c r="B6" s="1273"/>
      <c r="C6" s="1843" t="s">
        <v>106</v>
      </c>
      <c r="D6" s="1786"/>
      <c r="E6" s="319" t="s">
        <v>1281</v>
      </c>
      <c r="F6" s="1783"/>
      <c r="G6" s="370"/>
      <c r="H6" s="1783" t="s">
        <v>461</v>
      </c>
      <c r="K6" s="1737"/>
      <c r="L6" s="1737"/>
      <c r="M6" s="1744">
        <v>0</v>
      </c>
    </row>
    <row s="8113" customFormat="1" customHeight="1" ht="14.25" hidden="1">
      <c r="A7" s="1475"/>
      <c r="B7" s="1273"/>
      <c r="C7" s="457"/>
      <c r="K7" s="1737"/>
      <c r="L7" s="1737"/>
      <c r="M7" s="1744">
        <v>0</v>
      </c>
    </row>
    <row s="8113" customFormat="1" customHeight="1" ht="18.75" hidden="1">
      <c r="A8" s="1796"/>
      <c r="B8" s="1273"/>
      <c r="C8" s="1843" t="s">
        <v>106</v>
      </c>
      <c r="D8" s="1786"/>
      <c r="E8" s="319" t="s">
        <v>1282</v>
      </c>
      <c r="F8" s="1783"/>
      <c r="G8" s="370"/>
      <c r="H8" s="1783" t="s">
        <v>461</v>
      </c>
      <c r="K8" s="1737"/>
      <c r="L8" s="1737"/>
      <c r="M8" s="1744">
        <v>0</v>
      </c>
    </row>
    <row s="8113" customFormat="1" customHeight="1" ht="14.25" hidden="1">
      <c r="A9" s="1475"/>
      <c r="B9" s="1273"/>
      <c r="C9" s="457"/>
      <c r="K9" s="1737"/>
      <c r="L9" s="1737"/>
      <c r="M9" s="1744">
        <v>0</v>
      </c>
    </row>
    <row s="8113" customFormat="1" customHeight="1" ht="18.75" hidden="1">
      <c r="A10" s="1796"/>
      <c r="B10" s="1273"/>
      <c r="C10" s="1843" t="s">
        <v>106</v>
      </c>
      <c r="D10" s="1786"/>
      <c r="E10" s="319" t="s">
        <v>1283</v>
      </c>
      <c r="F10" s="1783"/>
      <c r="G10" s="1787"/>
      <c r="H10" s="1783" t="s">
        <v>461</v>
      </c>
      <c r="K10" s="1737"/>
      <c r="L10" s="1737" t="s">
        <v>1284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8113"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8113" customFormat="1" customHeight="1" ht="14.25" hidden="1">
      <c r="A17" s="1475"/>
      <c r="B17" s="1273"/>
      <c r="C17" s="489"/>
      <c r="D17" s="476"/>
      <c r="E17" s="502"/>
      <c r="F17" s="502"/>
      <c r="G17" s="502"/>
      <c r="H17" s="865"/>
      <c r="I17" s="306"/>
      <c r="K17" s="1737"/>
      <c r="L17" s="1737"/>
      <c r="M17" s="1744">
        <v>0</v>
      </c>
    </row>
    <row customHeight="1" ht="22.049999999999997">
      <c r="C18" s="209"/>
      <c r="D18" s="2322" t="s">
        <v>455</v>
      </c>
      <c r="E18" s="2322"/>
      <c r="F18" s="2322"/>
      <c r="G18" s="2322"/>
      <c r="H18" s="2322"/>
      <c r="I18" s="2502" t="s">
        <v>456</v>
      </c>
      <c r="M18" s="196">
        <v>21</v>
      </c>
    </row>
    <row customHeight="1" ht="22.049999999999997">
      <c r="C19" s="209"/>
      <c r="D19" s="218" t="s">
        <v>90</v>
      </c>
      <c r="E19" s="221" t="s">
        <v>457</v>
      </c>
      <c r="F19" s="221"/>
      <c r="G19" s="221" t="s">
        <v>458</v>
      </c>
      <c r="H19" s="221" t="s">
        <v>545</v>
      </c>
      <c r="I19" s="2502"/>
      <c r="M19" s="196">
        <v>21</v>
      </c>
    </row>
    <row customHeight="1" ht="12" hidden="1">
      <c r="C20" s="209"/>
      <c r="D20" s="200"/>
      <c r="E20" s="200"/>
      <c r="F20" s="200"/>
      <c r="G20" s="200"/>
      <c r="H20" s="200"/>
      <c r="I20" s="200"/>
      <c r="M20" s="196">
        <v>0</v>
      </c>
    </row>
    <row customHeight="1" ht="14.699999999999998">
      <c r="A21" s="1796"/>
      <c r="C21" s="209"/>
      <c r="D21" s="260">
        <v>1</v>
      </c>
      <c r="E21" s="2574" t="s">
        <v>1285</v>
      </c>
      <c r="F21" s="2574"/>
      <c r="G21" s="2574"/>
      <c r="H21" s="2574"/>
      <c r="I21" s="321"/>
      <c r="M21" s="196">
        <v>14</v>
      </c>
    </row>
    <row customHeight="1" ht="21">
      <c r="A22" s="1796"/>
      <c r="C22" s="209"/>
      <c r="D22" s="260" t="s">
        <v>1175</v>
      </c>
      <c r="E22" s="307" t="s">
        <v>1286</v>
      </c>
      <c r="F22" s="311"/>
      <c r="G22" s="12627">
        <v>45646</v>
      </c>
      <c r="H22" s="311" t="s">
        <v>461</v>
      </c>
      <c r="I22" s="264" t="s">
        <v>1287</v>
      </c>
      <c r="M22" s="196">
        <v>20</v>
      </c>
    </row>
    <row customHeight="1" ht="60">
      <c r="A23" s="1796"/>
      <c r="C23" s="209"/>
      <c r="D23" s="260" t="s">
        <v>1177</v>
      </c>
      <c r="E23" s="307" t="s">
        <v>1288</v>
      </c>
      <c r="F23" s="311"/>
      <c r="G23" s="7296" t="s">
        <v>1289</v>
      </c>
      <c r="H23" s="12629" t="s">
        <v>1290</v>
      </c>
      <c r="I23" s="371" t="s">
        <v>1291</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461</v>
      </c>
      <c r="H24" s="12629" t="s">
        <v>1292</v>
      </c>
      <c r="I24" s="372" t="s">
        <v>785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479</v>
      </c>
      <c r="E26" s="312" t="s">
        <v>1293</v>
      </c>
      <c r="F26" s="311"/>
      <c r="G26" s="311" t="s">
        <v>461</v>
      </c>
      <c r="H26" s="326" t="s">
        <v>1294</v>
      </c>
      <c r="I26" s="2282" t="s">
        <v>1295</v>
      </c>
      <c r="M26" s="196">
        <v>14</v>
      </c>
    </row>
    <row s="9086" customFormat="1" customHeight="1" ht="18.75">
      <c r="A27" s="7302"/>
      <c r="B27" s="3815"/>
      <c r="C27" s="7303" t="s">
        <v>106</v>
      </c>
      <c r="D27" s="7304" t="s">
        <v>487</v>
      </c>
      <c r="E27" s="7305" t="s">
        <v>1296</v>
      </c>
      <c r="F27" s="7306"/>
      <c r="G27" s="7306" t="s">
        <v>461</v>
      </c>
      <c r="H27" s="7307" t="s">
        <v>1294</v>
      </c>
      <c r="I27" s="3775"/>
      <c r="J27" s="3775"/>
      <c r="K27" s="3897"/>
      <c r="L27" s="3897"/>
      <c r="M27" s="3775">
        <v>0</v>
      </c>
    </row>
    <row s="9086" customFormat="1" customHeight="1" ht="18.75">
      <c r="A28" s="7302"/>
      <c r="B28" s="3815"/>
      <c r="C28" s="7303" t="s">
        <v>106</v>
      </c>
      <c r="D28" s="7304" t="s">
        <v>489</v>
      </c>
      <c r="E28" s="7305" t="s">
        <v>1297</v>
      </c>
      <c r="F28" s="7306"/>
      <c r="G28" s="7306" t="s">
        <v>461</v>
      </c>
      <c r="H28" s="7307" t="s">
        <v>1294</v>
      </c>
      <c r="I28" s="3775"/>
      <c r="J28" s="3775"/>
      <c r="K28" s="3897"/>
      <c r="L28" s="3897"/>
      <c r="M28" s="3775">
        <v>0</v>
      </c>
    </row>
    <row s="9086" customFormat="1" customHeight="1" ht="18.75">
      <c r="A29" s="7302"/>
      <c r="B29" s="3815"/>
      <c r="C29" s="7303" t="s">
        <v>106</v>
      </c>
      <c r="D29" s="7304" t="s">
        <v>491</v>
      </c>
      <c r="E29" s="7305" t="s">
        <v>1298</v>
      </c>
      <c r="F29" s="7306"/>
      <c r="G29" s="7306" t="s">
        <v>461</v>
      </c>
      <c r="H29" s="7307" t="s">
        <v>1294</v>
      </c>
      <c r="I29" s="3775"/>
      <c r="J29" s="3775"/>
      <c r="K29" s="3897"/>
      <c r="L29" s="3897"/>
      <c r="M29" s="3775">
        <v>0</v>
      </c>
    </row>
    <row s="9086" customFormat="1" customHeight="1" ht="18.75">
      <c r="A30" s="7302"/>
      <c r="B30" s="3815"/>
      <c r="C30" s="7303" t="s">
        <v>106</v>
      </c>
      <c r="D30" s="7304" t="s">
        <v>1071</v>
      </c>
      <c r="E30" s="7305" t="s">
        <v>1299</v>
      </c>
      <c r="F30" s="7306"/>
      <c r="G30" s="7306" t="s">
        <v>461</v>
      </c>
      <c r="H30" s="7307" t="s">
        <v>1294</v>
      </c>
      <c r="I30" s="3775"/>
      <c r="J30" s="3775"/>
      <c r="K30" s="3897"/>
      <c r="L30" s="3897"/>
      <c r="M30" s="3775">
        <v>0</v>
      </c>
    </row>
    <row s="9086" customFormat="1" customHeight="1" ht="18.75">
      <c r="A31" s="7302"/>
      <c r="B31" s="3815"/>
      <c r="C31" s="7303" t="s">
        <v>106</v>
      </c>
      <c r="D31" s="7304" t="s">
        <v>1073</v>
      </c>
      <c r="E31" s="7305" t="s">
        <v>1300</v>
      </c>
      <c r="F31" s="7306"/>
      <c r="G31" s="7306" t="s">
        <v>461</v>
      </c>
      <c r="H31" s="7307" t="s">
        <v>1294</v>
      </c>
      <c r="I31" s="3775"/>
      <c r="J31" s="3775"/>
      <c r="K31" s="3897"/>
      <c r="L31" s="3897"/>
      <c r="M31" s="3775">
        <v>0</v>
      </c>
    </row>
    <row s="9086" customFormat="1" customHeight="1" ht="18.75">
      <c r="A32" s="7302"/>
      <c r="B32" s="3815"/>
      <c r="C32" s="7303" t="s">
        <v>106</v>
      </c>
      <c r="D32" s="7304" t="s">
        <v>1075</v>
      </c>
      <c r="E32" s="7305" t="s">
        <v>1301</v>
      </c>
      <c r="F32" s="7306"/>
      <c r="G32" s="7306" t="s">
        <v>461</v>
      </c>
      <c r="H32" s="7307" t="s">
        <v>1294</v>
      </c>
      <c r="I32" s="3775"/>
      <c r="J32" s="3775"/>
      <c r="K32" s="3897"/>
      <c r="L32" s="3897"/>
      <c r="M32" s="3775">
        <v>0</v>
      </c>
    </row>
    <row s="9086" customFormat="1" customHeight="1" ht="18.75">
      <c r="A33" s="7302"/>
      <c r="B33" s="3815"/>
      <c r="C33" s="7303" t="s">
        <v>106</v>
      </c>
      <c r="D33" s="7304" t="s">
        <v>1302</v>
      </c>
      <c r="E33" s="7305" t="s">
        <v>1303</v>
      </c>
      <c r="F33" s="7306"/>
      <c r="G33" s="7306" t="s">
        <v>461</v>
      </c>
      <c r="H33" s="7307" t="s">
        <v>1294</v>
      </c>
      <c r="I33" s="3775"/>
      <c r="J33" s="3775"/>
      <c r="K33" s="3897"/>
      <c r="L33" s="3897"/>
      <c r="M33" s="3775">
        <v>0</v>
      </c>
    </row>
    <row s="9086" customFormat="1" customHeight="1" ht="18.75">
      <c r="A34" s="7302"/>
      <c r="B34" s="3815"/>
      <c r="C34" s="7303" t="s">
        <v>106</v>
      </c>
      <c r="D34" s="7304" t="s">
        <v>1304</v>
      </c>
      <c r="E34" s="7305" t="s">
        <v>1305</v>
      </c>
      <c r="F34" s="7306"/>
      <c r="G34" s="7306" t="s">
        <v>461</v>
      </c>
      <c r="H34" s="7307" t="s">
        <v>1294</v>
      </c>
      <c r="I34" s="3775"/>
      <c r="J34" s="3775"/>
      <c r="K34" s="3897"/>
      <c r="L34" s="3897"/>
      <c r="M34" s="3775">
        <v>0</v>
      </c>
    </row>
    <row s="9086" customFormat="1" customHeight="1" ht="18.75">
      <c r="A35" s="7302"/>
      <c r="B35" s="3815"/>
      <c r="C35" s="7303" t="s">
        <v>106</v>
      </c>
      <c r="D35" s="7304" t="s">
        <v>1306</v>
      </c>
      <c r="E35" s="7305" t="s">
        <v>1307</v>
      </c>
      <c r="F35" s="7306"/>
      <c r="G35" s="7306" t="s">
        <v>461</v>
      </c>
      <c r="H35" s="7307" t="s">
        <v>1294</v>
      </c>
      <c r="I35" s="3775"/>
      <c r="J35" s="3775"/>
      <c r="K35" s="3897"/>
      <c r="L35" s="3897"/>
      <c r="M35" s="3775">
        <v>0</v>
      </c>
    </row>
    <row customHeight="1" ht="15.75">
      <c r="A36" s="1796" t="s">
        <v>155</v>
      </c>
      <c r="C36" s="209"/>
      <c r="D36" s="222"/>
      <c r="E36" s="316" t="s">
        <v>477</v>
      </c>
      <c r="F36" s="317"/>
      <c r="G36" s="317"/>
      <c r="H36" s="314"/>
      <c r="I36" s="2284"/>
      <c r="M36" s="196">
        <v>15</v>
      </c>
    </row>
    <row customHeight="1" ht="39.75">
      <c r="A37" s="1796"/>
      <c r="B37" s="259">
        <v>3</v>
      </c>
      <c r="C37" s="209"/>
      <c r="D37" s="260">
        <v>4</v>
      </c>
      <c r="E37"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573"/>
      <c r="G37" s="2573"/>
      <c r="H37" s="2573"/>
      <c r="I37" s="369"/>
      <c r="M37" s="196">
        <v>38</v>
      </c>
    </row>
    <row customHeight="1" ht="21">
      <c r="A38" s="1796"/>
      <c r="C38" s="209"/>
      <c r="D38" s="260" t="s">
        <v>907</v>
      </c>
      <c r="E38" s="318" t="s">
        <v>1280</v>
      </c>
      <c r="F38" s="311"/>
      <c r="G38" s="370" t="s">
        <v>1308</v>
      </c>
      <c r="H38" s="311" t="s">
        <v>461</v>
      </c>
      <c r="I38" s="2282" t="s">
        <v>1309</v>
      </c>
      <c r="M38" s="196">
        <v>20</v>
      </c>
    </row>
    <row s="9086" customFormat="1" customHeight="1" ht="18.75">
      <c r="A39" s="7302"/>
      <c r="B39" s="3815"/>
      <c r="C39" s="7303" t="s">
        <v>106</v>
      </c>
      <c r="D39" s="7304" t="s">
        <v>949</v>
      </c>
      <c r="E39" s="7309" t="s">
        <v>1280</v>
      </c>
      <c r="F39" s="7306"/>
      <c r="G39" s="7310" t="s">
        <v>1310</v>
      </c>
      <c r="H39" s="7306" t="s">
        <v>461</v>
      </c>
      <c r="I39" s="3775"/>
      <c r="J39" s="3775"/>
      <c r="K39" s="3897"/>
      <c r="L39" s="3897"/>
      <c r="M39" s="3775">
        <v>0</v>
      </c>
    </row>
    <row customHeight="1" ht="15.75">
      <c r="A40" s="1796" t="s">
        <v>105</v>
      </c>
      <c r="C40" s="209"/>
      <c r="D40" s="222"/>
      <c r="E40" s="316" t="s">
        <v>477</v>
      </c>
      <c r="F40" s="317"/>
      <c r="G40" s="317"/>
      <c r="H40" s="314"/>
      <c r="I40" s="2284"/>
      <c r="M40" s="196">
        <v>15</v>
      </c>
    </row>
    <row customHeight="1" ht="31.5">
      <c r="A41" s="1796"/>
      <c r="B41" s="259">
        <v>3</v>
      </c>
      <c r="C41" s="209"/>
      <c r="D41" s="260">
        <v>5</v>
      </c>
      <c r="E4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573"/>
      <c r="G41" s="2573"/>
      <c r="H41" s="2573"/>
      <c r="I41" s="369"/>
      <c r="M41" s="196">
        <v>30</v>
      </c>
    </row>
    <row customHeight="1" ht="27.299999999999997">
      <c r="A42" s="1796"/>
      <c r="C42" s="209"/>
      <c r="D42" s="260" t="s">
        <v>468</v>
      </c>
      <c r="E4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516"/>
      <c r="G42" s="2516"/>
      <c r="H42" s="2516"/>
      <c r="I42" s="369"/>
      <c r="M42" s="196">
        <v>26</v>
      </c>
    </row>
    <row customHeight="1" ht="15">
      <c r="A43" s="1796"/>
      <c r="C43" s="209"/>
      <c r="D43" s="260" t="s">
        <v>1311</v>
      </c>
      <c r="E43" s="319" t="s">
        <v>1281</v>
      </c>
      <c r="F43" s="311"/>
      <c r="G43" s="370" t="s">
        <v>1312</v>
      </c>
      <c r="H43" s="311" t="s">
        <v>461</v>
      </c>
      <c r="I43" s="2282" t="s">
        <v>1313</v>
      </c>
      <c r="M43" s="196">
        <v>14</v>
      </c>
    </row>
    <row customHeight="1" ht="15.75">
      <c r="A44" s="1796" t="s">
        <v>92</v>
      </c>
      <c r="C44" s="209"/>
      <c r="D44" s="222"/>
      <c r="E44" s="317" t="s">
        <v>477</v>
      </c>
      <c r="F44" s="313"/>
      <c r="G44" s="313"/>
      <c r="H44" s="314"/>
      <c r="I44" s="2284"/>
      <c r="M44" s="196">
        <v>15</v>
      </c>
    </row>
    <row customHeight="1" ht="25.2">
      <c r="A45" s="1796"/>
      <c r="C45" s="209"/>
      <c r="D45" s="260" t="s">
        <v>1035</v>
      </c>
      <c r="E4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516"/>
      <c r="G45" s="2516"/>
      <c r="H45" s="2516"/>
      <c r="I45" s="369"/>
      <c r="M45" s="196">
        <v>24</v>
      </c>
    </row>
    <row customHeight="1" ht="15">
      <c r="A46" s="1796"/>
      <c r="C46" s="209"/>
      <c r="D46" s="260" t="s">
        <v>1314</v>
      </c>
      <c r="E46" s="319" t="s">
        <v>1282</v>
      </c>
      <c r="F46" s="311"/>
      <c r="G46" s="370" t="s">
        <v>1315</v>
      </c>
      <c r="H46" s="311" t="s">
        <v>461</v>
      </c>
      <c r="I46" s="2256" t="s">
        <v>1316</v>
      </c>
      <c r="M46" s="196">
        <v>14</v>
      </c>
    </row>
    <row s="9086" customFormat="1" customHeight="1" ht="18.75">
      <c r="A47" s="7302"/>
      <c r="B47" s="3815"/>
      <c r="C47" s="7303" t="s">
        <v>106</v>
      </c>
      <c r="D47" s="7304" t="s">
        <v>1317</v>
      </c>
      <c r="E47" s="7312" t="s">
        <v>1282</v>
      </c>
      <c r="F47" s="7306"/>
      <c r="G47" s="7310" t="s">
        <v>1318</v>
      </c>
      <c r="H47" s="7306" t="s">
        <v>461</v>
      </c>
      <c r="I47" s="3775"/>
      <c r="J47" s="3775"/>
      <c r="K47" s="3897"/>
      <c r="L47" s="3897"/>
      <c r="M47" s="3775">
        <v>0</v>
      </c>
    </row>
    <row customHeight="1" ht="15.75">
      <c r="A48" s="1796" t="s">
        <v>93</v>
      </c>
      <c r="C48" s="209"/>
      <c r="D48" s="222"/>
      <c r="E48" s="317" t="s">
        <v>477</v>
      </c>
      <c r="F48" s="313"/>
      <c r="G48" s="313"/>
      <c r="H48" s="314"/>
      <c r="I48" s="2256"/>
      <c r="M48" s="196">
        <v>15</v>
      </c>
    </row>
    <row customHeight="1" ht="27.299999999999997">
      <c r="A49" s="1796"/>
      <c r="C49" s="209"/>
      <c r="D49" s="260" t="s">
        <v>1036</v>
      </c>
      <c r="E49"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516"/>
      <c r="G49" s="2516"/>
      <c r="H49" s="2516"/>
      <c r="I49" s="369"/>
      <c r="M49" s="196">
        <v>26</v>
      </c>
    </row>
    <row customHeight="1" ht="15">
      <c r="A50" s="1796"/>
      <c r="C50" s="209"/>
      <c r="D50" s="260" t="s">
        <v>1037</v>
      </c>
      <c r="E50" s="319" t="s">
        <v>1283</v>
      </c>
      <c r="F50" s="311"/>
      <c r="G50" s="320" t="s">
        <v>1319</v>
      </c>
      <c r="H50" s="311" t="s">
        <v>461</v>
      </c>
      <c r="I50" s="2282" t="s">
        <v>1320</v>
      </c>
      <c r="L50" s="268" t="s">
        <v>1284</v>
      </c>
      <c r="M50" s="196">
        <v>14</v>
      </c>
    </row>
    <row customHeight="1" ht="15.75">
      <c r="A51" s="1796" t="s">
        <v>120</v>
      </c>
      <c r="C51" s="209"/>
      <c r="D51" s="222"/>
      <c r="E51" s="317" t="s">
        <v>477</v>
      </c>
      <c r="F51" s="313"/>
      <c r="G51" s="313"/>
      <c r="H51" s="314"/>
      <c r="I51" s="2284"/>
      <c r="M51" s="196">
        <v>15</v>
      </c>
    </row>
    <row s="12647" customFormat="1" customHeight="1" ht="3">
      <c r="A52" s="1796"/>
      <c r="K52" s="309"/>
      <c r="L52" s="309"/>
      <c r="M52" s="253">
        <v>3</v>
      </c>
    </row>
    <row customHeight="1" ht="26.25">
      <c r="D53" s="1794" t="s">
        <v>957</v>
      </c>
      <c r="E53"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398"/>
      <c r="G53" s="2398"/>
      <c r="H53" s="2398"/>
      <c r="I53" s="2398"/>
      <c r="M53" s="196">
        <v>25</v>
      </c>
    </row>
    <row customHeight="1" ht="22.5" hidden="1">
      <c r="A54" s="1475" t="s">
        <v>84</v>
      </c>
      <c r="B54" s="259">
        <v>0</v>
      </c>
      <c r="C54" s="210">
        <v>3</v>
      </c>
      <c r="D54" s="196">
        <v>6</v>
      </c>
      <c r="E54" s="196">
        <v>63</v>
      </c>
      <c r="F54" s="196">
        <v>0</v>
      </c>
      <c r="G54" s="196">
        <v>35</v>
      </c>
      <c r="H54" s="196">
        <v>35</v>
      </c>
      <c r="I54" s="196">
        <v>91</v>
      </c>
      <c r="J54" s="196">
        <v>68</v>
      </c>
      <c r="K54" s="268">
        <v>10</v>
      </c>
      <c r="L54" s="268">
        <v>10</v>
      </c>
      <c r="M54" s="196">
        <v>23</v>
      </c>
    </row>
  </sheetData>
  <sheetProtection formatColumns="0" formatRows="0" autoFilter="0" sort="0" insertRows="0" insertColumns="1" deleteRows="0" deleteColumns="0"/>
  <mergeCells count="17">
    <mergeCell ref="I38:I40"/>
    <mergeCell ref="E41:H41"/>
    <mergeCell ref="D14:H14"/>
    <mergeCell ref="D18:H18"/>
    <mergeCell ref="I18:I19"/>
    <mergeCell ref="E21:H21"/>
    <mergeCell ref="E25:H25"/>
    <mergeCell ref="I26:I36"/>
    <mergeCell ref="E37:H37"/>
    <mergeCell ref="D15:H15"/>
    <mergeCell ref="E53:I53"/>
    <mergeCell ref="E42:H42"/>
    <mergeCell ref="E45:H45"/>
    <mergeCell ref="E49:H49"/>
    <mergeCell ref="I43:I44"/>
    <mergeCell ref="I46:I48"/>
    <mergeCell ref="I50:I5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s>
  <hyperlinks>
    <hyperlink ref="G23" r:id="rId2" xr:uid="{D7A70855-9364-EBEC-60F4-879B09EBE47E}"/>
    <hyperlink ref="H23" r:id="rId3" xr:uid="{E0D248CB-1DBE-6EF4-E43B-249FE118636F}"/>
    <hyperlink ref="H24" r:id="rId4" xr:uid="{E7020F51-4562-AA6D-DC6B-15AE161ED1DC}"/>
    <hyperlink ref="H26" r:id="rId5" tooltip="https://portal.eias.ru/Portal/DownloadPage.aspx?type=12&amp;guid=ff220950-82d1-4d1f-8a71-986a6f24acd5" xr:uid="{8DD2BBAD-6366-137B-73AE-4CAD7676AEBD}"/>
    <hyperlink ref="H27" r:id="rId6" tooltip="https://portal.eias.ru/Portal/DownloadPage.aspx?type=12&amp;guid=ff220950-82d1-4d1f-8a71-986a6f24acd5" xr:uid="{061AAE6C-DA9A-6021-006A-7CDD216E187D}"/>
    <hyperlink ref="H28" r:id="rId7" tooltip="https://portal.eias.ru/Portal/DownloadPage.aspx?type=12&amp;guid=ff220950-82d1-4d1f-8a71-986a6f24acd5" xr:uid="{8C0CBB09-A167-6E13-DCA2-EEFCDF9B1AB6}"/>
    <hyperlink ref="H29" r:id="rId8" tooltip="https://portal.eias.ru/Portal/DownloadPage.aspx?type=12&amp;guid=ff220950-82d1-4d1f-8a71-986a6f24acd5" xr:uid="{27B0310F-4A4F-0D82-FB91-9606B4991066}"/>
    <hyperlink ref="H30" r:id="rId9" tooltip="https://portal.eias.ru/Portal/DownloadPage.aspx?type=12&amp;guid=ff220950-82d1-4d1f-8a71-986a6f24acd5" xr:uid="{986921BF-5873-7799-245A-A968765D2BA5}"/>
    <hyperlink ref="H31" r:id="rId10" tooltip="https://portal.eias.ru/Portal/DownloadPage.aspx?type=12&amp;guid=ff220950-82d1-4d1f-8a71-986a6f24acd5" xr:uid="{FCBA42E5-2D8A-ED54-1659-641E6F4B9F13}"/>
    <hyperlink ref="H32" r:id="rId11" tooltip="https://portal.eias.ru/Portal/DownloadPage.aspx?type=12&amp;guid=ff220950-82d1-4d1f-8a71-986a6f24acd5" xr:uid="{A9030774-C794-C771-6B6B-050D2B43F72E}"/>
    <hyperlink ref="H33" r:id="rId12" tooltip="https://portal.eias.ru/Portal/DownloadPage.aspx?type=12&amp;guid=ff220950-82d1-4d1f-8a71-986a6f24acd5" xr:uid="{04AA99E7-1CC8-9FA1-26D5-F49CC2C99521}"/>
    <hyperlink ref="H34" r:id="rId13" tooltip="https://portal.eias.ru/Portal/DownloadPage.aspx?type=12&amp;guid=ff220950-82d1-4d1f-8a71-986a6f24acd5" xr:uid="{28B0A382-F97B-6527-D876-E27CA0D04BF6}"/>
    <hyperlink ref="H35" r:id="rId14" tooltip="https://portal.eias.ru/Portal/DownloadPage.aspx?type=12&amp;guid=ff220950-82d1-4d1f-8a71-986a6f24acd5" xr:uid="{D5C35D6C-81F5-8071-DD63-64B2257BE25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23C17-6B2D-1E18-4CA1-274BCBE4FA9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686" width="25.140625" hidden="1" customWidth="1"/>
    <col min="3" max="3" style="12687" width="9.140625" hidden="1" customWidth="1"/>
    <col min="4" max="4" style="9046" width="3.00390625" customWidth="1"/>
    <col min="5" max="5" style="8113" width="6.00390625" customWidth="1"/>
    <col min="6" max="6" style="8113" width="46.7109375" customWidth="1"/>
    <col min="7" max="7" style="8113" width="35.00390625" customWidth="1"/>
    <col min="8" max="8" style="8113" width="3.00390625" customWidth="1"/>
    <col min="9" max="10" style="8113" width="11.00390625" customWidth="1"/>
    <col min="11" max="12" style="8113" width="35.00390625" customWidth="1"/>
    <col min="13" max="13" style="8113" width="84.00390625" customWidth="1"/>
    <col min="14" max="14" style="8113" width="10.00390625" customWidth="1"/>
    <col min="15" max="16" style="8291" width="10.00390625" customWidth="1"/>
    <col min="17" max="33" style="8113" width="10.00390625" customWidth="1"/>
    <col min="34" max="34" style="8113" width="10.57421875" hidden="1"/>
  </cols>
  <sheetData>
    <row s="811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8113" customFormat="1" customHeight="1" ht="18.75" hidden="1">
      <c r="A2" s="1893" t="s">
        <v>226</v>
      </c>
      <c r="B2" s="1893" t="s">
        <v>227</v>
      </c>
      <c r="C2" s="482"/>
      <c r="D2" s="457"/>
      <c r="E2" s="1144"/>
      <c r="F2" s="1144"/>
      <c r="G2" s="2540" t="str">
        <f>INDEX(PT_DIFFERENTIATION_NTAR,MATCH(B2,PT_DIFFERENTIATION_NTAR_ID,0))</f>
        <v/>
      </c>
      <c r="H2" s="1977"/>
      <c r="I2" s="1852"/>
      <c r="J2" s="1886"/>
      <c r="K2" s="1978"/>
      <c r="L2" s="1977" t="s">
        <v>461</v>
      </c>
      <c r="M2" s="1988"/>
      <c r="N2" s="447"/>
      <c r="O2" s="1737"/>
      <c r="P2" s="1737"/>
      <c r="AH2" s="1744">
        <v>0</v>
      </c>
    </row>
    <row s="8113" customFormat="1" customHeight="1" ht="18.75" hidden="1">
      <c r="A3" s="1893"/>
      <c r="B3" s="1893"/>
      <c r="C3" s="482" t="s">
        <v>1321</v>
      </c>
      <c r="D3" s="457"/>
      <c r="E3" s="1144"/>
      <c r="F3" s="1144"/>
      <c r="G3" s="2540"/>
      <c r="H3" s="1613"/>
      <c r="I3" s="764" t="s">
        <v>1322</v>
      </c>
      <c r="J3" s="684"/>
      <c r="K3" s="1613"/>
      <c r="L3" s="327"/>
      <c r="M3" s="1988"/>
      <c r="N3" s="447"/>
      <c r="O3" s="1737"/>
      <c r="P3" s="1737"/>
      <c r="AH3" s="1744">
        <v>0</v>
      </c>
    </row>
    <row s="811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8113" customFormat="1" customHeight="1" ht="18.75" hidden="1">
      <c r="A5" s="1893" t="s">
        <v>226</v>
      </c>
      <c r="B5" s="1893" t="s">
        <v>227</v>
      </c>
      <c r="C5" s="482"/>
      <c r="D5" s="457"/>
      <c r="E5" s="1144"/>
      <c r="F5" s="1144"/>
      <c r="G5" s="2540" t="str">
        <f>INDEX(PT_DIFFERENTIATION_NTAR,MATCH(B5,PT_DIFFERENTIATION_NTAR_ID,0))</f>
        <v/>
      </c>
      <c r="H5" s="1977"/>
      <c r="I5" s="1852"/>
      <c r="J5" s="1886"/>
      <c r="K5" s="1891"/>
      <c r="L5" s="1977" t="s">
        <v>461</v>
      </c>
      <c r="M5" s="1988"/>
      <c r="N5" s="447"/>
      <c r="O5" s="1737"/>
      <c r="P5" s="1737"/>
      <c r="AH5" s="1744">
        <v>0</v>
      </c>
    </row>
    <row s="8113" customFormat="1" customHeight="1" ht="18.75" hidden="1">
      <c r="A6" s="1893"/>
      <c r="B6" s="1893"/>
      <c r="C6" s="482" t="s">
        <v>1323</v>
      </c>
      <c r="D6" s="457"/>
      <c r="E6" s="1144"/>
      <c r="F6" s="1144"/>
      <c r="G6" s="2540"/>
      <c r="H6" s="1613"/>
      <c r="I6" s="764" t="s">
        <v>1322</v>
      </c>
      <c r="J6" s="684"/>
      <c r="K6" s="1613"/>
      <c r="L6" s="327"/>
      <c r="M6" s="1988"/>
      <c r="N6" s="447"/>
      <c r="O6" s="1737"/>
      <c r="P6" s="1737"/>
      <c r="AH6" s="1744">
        <v>0</v>
      </c>
    </row>
    <row s="811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8113" customFormat="1" customHeight="1" ht="56.25" hidden="1">
      <c r="A8" s="1893"/>
      <c r="B8" s="1893"/>
      <c r="C8" s="482"/>
      <c r="D8" s="457"/>
      <c r="E8" s="1144"/>
      <c r="F8" s="1144"/>
      <c r="G8" s="1144"/>
      <c r="H8" s="1884"/>
      <c r="I8" s="1852"/>
      <c r="J8" s="1886"/>
      <c r="K8" s="1978"/>
      <c r="L8" s="1884" t="s">
        <v>461</v>
      </c>
      <c r="M8" s="1988"/>
      <c r="N8" s="447"/>
      <c r="O8" s="1737"/>
      <c r="P8" s="1737"/>
      <c r="AH8" s="1744">
        <v>0</v>
      </c>
    </row>
    <row customHeight="1" ht="14.25" hidden="1">
      <c r="T9" s="510"/>
      <c r="AG9" s="368"/>
      <c r="AH9" s="487">
        <v>0</v>
      </c>
    </row>
    <row s="8113" customFormat="1" customHeight="1" ht="56.25" hidden="1">
      <c r="A10" s="1893"/>
      <c r="B10" s="1893"/>
      <c r="C10" s="482"/>
      <c r="D10" s="457"/>
      <c r="E10" s="1144"/>
      <c r="F10" s="1144"/>
      <c r="G10" s="1144"/>
      <c r="H10" s="1883"/>
      <c r="I10" s="1852"/>
      <c r="J10" s="1886"/>
      <c r="K10" s="1891"/>
      <c r="L10" s="1884" t="s">
        <v>461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51/111</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455</v>
      </c>
      <c r="F19" s="2322"/>
      <c r="G19" s="2322"/>
      <c r="H19" s="2322"/>
      <c r="I19" s="2322"/>
      <c r="J19" s="2322"/>
      <c r="K19" s="2322"/>
      <c r="L19" s="2322"/>
      <c r="M19" s="2502" t="s">
        <v>456</v>
      </c>
      <c r="AH19" s="487">
        <v>21</v>
      </c>
    </row>
    <row customHeight="1" ht="22.049999999999997">
      <c r="D20" s="489"/>
      <c r="E20" s="2390" t="s">
        <v>90</v>
      </c>
      <c r="F20" s="2337" t="s">
        <v>199</v>
      </c>
      <c r="G20" s="2337" t="s">
        <v>200</v>
      </c>
      <c r="H20" s="2499" t="s">
        <v>1324</v>
      </c>
      <c r="I20" s="2500"/>
      <c r="J20" s="2546"/>
      <c r="K20" s="2337" t="s">
        <v>458</v>
      </c>
      <c r="L20" s="2337" t="s">
        <v>545</v>
      </c>
      <c r="M20" s="2502"/>
      <c r="AH20" s="487">
        <v>21</v>
      </c>
    </row>
    <row customHeight="1" ht="22.049999999999997">
      <c r="D21" s="489"/>
      <c r="E21" s="2392"/>
      <c r="F21" s="2338"/>
      <c r="G21" s="2338"/>
      <c r="H21" s="2331" t="s">
        <v>1325</v>
      </c>
      <c r="I21" s="2333"/>
      <c r="J21" s="221" t="s">
        <v>1326</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155</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461</v>
      </c>
      <c r="L23" s="2574"/>
      <c r="M23" s="1882"/>
      <c r="N23" s="447"/>
      <c r="AH23" s="487">
        <v>19</v>
      </c>
    </row>
    <row customHeight="1" ht="60.75" hidden="1">
      <c r="A24" s="1893" t="s">
        <v>226</v>
      </c>
      <c r="B24" s="1893" t="s">
        <v>227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461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8113" customFormat="1" customHeight="1" ht="18.75" hidden="1">
      <c r="A25" s="1893"/>
      <c r="B25" s="1893"/>
      <c r="C25" s="482" t="s">
        <v>1321</v>
      </c>
      <c r="D25" s="2579"/>
      <c r="E25" s="2317"/>
      <c r="F25" s="2583"/>
      <c r="G25" s="2540"/>
      <c r="H25" s="1613"/>
      <c r="I25" s="764" t="s">
        <v>1322</v>
      </c>
      <c r="J25" s="684"/>
      <c r="K25" s="1613"/>
      <c r="L25" s="327"/>
      <c r="M25" s="2283"/>
      <c r="N25" s="447"/>
      <c r="O25" s="1737"/>
      <c r="P25" s="1737"/>
      <c r="AH25" s="1744">
        <v>0</v>
      </c>
    </row>
    <row customHeight="1" ht="0.75" hidden="1">
      <c r="A26" s="1893"/>
      <c r="B26" s="1893"/>
      <c r="C26" s="482" t="s">
        <v>1327</v>
      </c>
      <c r="D26" s="2579"/>
      <c r="E26" s="2317"/>
      <c r="F26" s="2496"/>
      <c r="G26" s="513"/>
      <c r="H26" s="1613"/>
      <c r="I26" s="508"/>
      <c r="J26" s="462"/>
      <c r="K26" s="1613"/>
      <c r="L26" s="314"/>
      <c r="M26" s="2283"/>
      <c r="N26" s="447"/>
      <c r="AH26" s="487">
        <v>0</v>
      </c>
    </row>
    <row s="8113" customFormat="1" customHeight="1" ht="45" hidden="1">
      <c r="A27" s="1893" t="s">
        <v>232</v>
      </c>
      <c r="B27" s="1893" t="s">
        <v>233</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461</v>
      </c>
      <c r="M27" s="2283"/>
      <c r="N27" s="447"/>
      <c r="O27" s="1737"/>
      <c r="P27" s="1737"/>
      <c r="AH27" s="1744">
        <v>0</v>
      </c>
    </row>
    <row s="8113" customFormat="1" customHeight="1" ht="18.75" hidden="1">
      <c r="A28" s="1893"/>
      <c r="B28" s="1893"/>
      <c r="C28" s="482" t="s">
        <v>1321</v>
      </c>
      <c r="D28" s="2575"/>
      <c r="E28" s="2576"/>
      <c r="F28" s="2577"/>
      <c r="G28" s="2540"/>
      <c r="H28" s="1613"/>
      <c r="I28" s="764" t="s">
        <v>1322</v>
      </c>
      <c r="J28" s="684"/>
      <c r="K28" s="1613"/>
      <c r="L28" s="327"/>
      <c r="M28" s="2283"/>
      <c r="N28" s="447"/>
      <c r="O28" s="1737"/>
      <c r="P28" s="1737"/>
      <c r="AH28" s="1744">
        <v>0</v>
      </c>
    </row>
    <row s="8113" customFormat="1" customHeight="1" ht="0.75" hidden="1">
      <c r="A29" s="1893"/>
      <c r="B29" s="1893"/>
      <c r="C29" s="482" t="s">
        <v>1327</v>
      </c>
      <c r="D29" s="2575"/>
      <c r="E29" s="2317"/>
      <c r="F29" s="2496"/>
      <c r="G29" s="513"/>
      <c r="H29" s="1613"/>
      <c r="I29" s="764"/>
      <c r="J29" s="684"/>
      <c r="K29" s="1613"/>
      <c r="L29" s="327"/>
      <c r="M29" s="2283"/>
      <c r="N29" s="447"/>
      <c r="O29" s="1737"/>
      <c r="P29" s="1737"/>
      <c r="AH29" s="1744">
        <v>0</v>
      </c>
    </row>
    <row s="8113" customFormat="1" customHeight="1" ht="45" hidden="1">
      <c r="A30" s="1893" t="s">
        <v>238</v>
      </c>
      <c r="B30" s="1893" t="s">
        <v>239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461</v>
      </c>
      <c r="M30" s="2283"/>
      <c r="N30" s="447"/>
      <c r="O30" s="1737"/>
      <c r="P30" s="1737"/>
      <c r="AH30" s="1744">
        <v>0</v>
      </c>
    </row>
    <row s="8113" customFormat="1" customHeight="1" ht="18.75" hidden="1">
      <c r="A31" s="1893"/>
      <c r="B31" s="1893"/>
      <c r="C31" s="482" t="s">
        <v>1321</v>
      </c>
      <c r="D31" s="2575"/>
      <c r="E31" s="2317"/>
      <c r="F31" s="2496"/>
      <c r="G31" s="2540"/>
      <c r="H31" s="1613"/>
      <c r="I31" s="764" t="s">
        <v>1322</v>
      </c>
      <c r="J31" s="684"/>
      <c r="K31" s="1613"/>
      <c r="L31" s="327"/>
      <c r="M31" s="2283"/>
      <c r="N31" s="447"/>
      <c r="O31" s="1737"/>
      <c r="P31" s="1737"/>
      <c r="AH31" s="1744">
        <v>0</v>
      </c>
    </row>
    <row s="8113" customFormat="1" customHeight="1" ht="0.75" hidden="1">
      <c r="A32" s="1893"/>
      <c r="B32" s="1893"/>
      <c r="C32" s="482" t="s">
        <v>1327</v>
      </c>
      <c r="D32" s="2575"/>
      <c r="E32" s="2317"/>
      <c r="F32" s="2496"/>
      <c r="G32" s="513"/>
      <c r="H32" s="1613"/>
      <c r="I32" s="764"/>
      <c r="J32" s="684"/>
      <c r="K32" s="1613"/>
      <c r="L32" s="327"/>
      <c r="M32" s="2283"/>
      <c r="N32" s="447"/>
      <c r="O32" s="1737"/>
      <c r="P32" s="1737"/>
      <c r="AH32" s="1744">
        <v>0</v>
      </c>
    </row>
    <row s="8113" customFormat="1" customHeight="1" ht="45" hidden="1">
      <c r="A33" s="1893" t="s">
        <v>244</v>
      </c>
      <c r="B33" s="1893" t="s">
        <v>245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461</v>
      </c>
      <c r="M33" s="2283"/>
      <c r="N33" s="447"/>
      <c r="O33" s="1737"/>
      <c r="P33" s="1737"/>
      <c r="AH33" s="1744">
        <v>0</v>
      </c>
    </row>
    <row s="8113" customFormat="1" customHeight="1" ht="18.75" hidden="1">
      <c r="A34" s="1893"/>
      <c r="B34" s="1893"/>
      <c r="C34" s="482" t="s">
        <v>1321</v>
      </c>
      <c r="D34" s="2575"/>
      <c r="E34" s="2317"/>
      <c r="F34" s="2496"/>
      <c r="G34" s="2540"/>
      <c r="H34" s="1613"/>
      <c r="I34" s="764" t="s">
        <v>1322</v>
      </c>
      <c r="J34" s="684"/>
      <c r="K34" s="1613"/>
      <c r="L34" s="327"/>
      <c r="M34" s="2283"/>
      <c r="N34" s="447"/>
      <c r="O34" s="1737"/>
      <c r="P34" s="1737"/>
      <c r="AH34" s="1744">
        <v>0</v>
      </c>
    </row>
    <row s="8113" customFormat="1" customHeight="1" ht="0.75" hidden="1">
      <c r="A35" s="1893"/>
      <c r="B35" s="1893"/>
      <c r="C35" s="482" t="s">
        <v>1327</v>
      </c>
      <c r="D35" s="2575"/>
      <c r="E35" s="2317"/>
      <c r="F35" s="2496"/>
      <c r="G35" s="513"/>
      <c r="H35" s="1613"/>
      <c r="I35" s="764"/>
      <c r="J35" s="684"/>
      <c r="K35" s="1613"/>
      <c r="L35" s="327"/>
      <c r="M35" s="2283"/>
      <c r="N35" s="447"/>
      <c r="O35" s="1737"/>
      <c r="P35" s="1737"/>
      <c r="AH35" s="1744">
        <v>0</v>
      </c>
    </row>
    <row s="8113" customFormat="1" customHeight="1" ht="18.75" hidden="1">
      <c r="A36" s="1893" t="s">
        <v>250</v>
      </c>
      <c r="B36" s="1893" t="s">
        <v>251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461</v>
      </c>
      <c r="M36" s="2283"/>
      <c r="N36" s="447"/>
      <c r="O36" s="1737"/>
      <c r="P36" s="1737"/>
      <c r="AH36" s="1744">
        <v>0</v>
      </c>
    </row>
    <row s="8113" customFormat="1" customHeight="1" ht="18.75" hidden="1">
      <c r="A37" s="1893"/>
      <c r="B37" s="1893"/>
      <c r="C37" s="482" t="s">
        <v>1321</v>
      </c>
      <c r="D37" s="2575"/>
      <c r="E37" s="2317"/>
      <c r="F37" s="2496"/>
      <c r="G37" s="2540"/>
      <c r="H37" s="1613"/>
      <c r="I37" s="764" t="s">
        <v>1322</v>
      </c>
      <c r="J37" s="684"/>
      <c r="K37" s="1613"/>
      <c r="L37" s="327"/>
      <c r="M37" s="2283"/>
      <c r="N37" s="447"/>
      <c r="O37" s="1737"/>
      <c r="P37" s="1737"/>
      <c r="AH37" s="1744">
        <v>0</v>
      </c>
    </row>
    <row s="8113" customFormat="1" customHeight="1" ht="0.75" hidden="1">
      <c r="A38" s="1893"/>
      <c r="B38" s="1893"/>
      <c r="C38" s="482" t="s">
        <v>1327</v>
      </c>
      <c r="D38" s="2575"/>
      <c r="E38" s="2317"/>
      <c r="F38" s="2496"/>
      <c r="G38" s="513"/>
      <c r="H38" s="1613"/>
      <c r="I38" s="764"/>
      <c r="J38" s="684"/>
      <c r="K38" s="1613"/>
      <c r="L38" s="327"/>
      <c r="M38" s="2283"/>
      <c r="N38" s="447"/>
      <c r="O38" s="1737"/>
      <c r="P38" s="1737"/>
      <c r="AH38" s="1744">
        <v>0</v>
      </c>
    </row>
    <row s="8113" customFormat="1" customHeight="1" ht="18.75" hidden="1">
      <c r="A39" s="1893" t="s">
        <v>256</v>
      </c>
      <c r="B39" s="1893" t="s">
        <v>257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461</v>
      </c>
      <c r="M39" s="2283"/>
      <c r="N39" s="447"/>
      <c r="O39" s="1737"/>
      <c r="P39" s="1737"/>
      <c r="AH39" s="1744">
        <v>0</v>
      </c>
    </row>
    <row s="8113" customFormat="1" customHeight="1" ht="18.75" hidden="1">
      <c r="A40" s="1893"/>
      <c r="B40" s="1893"/>
      <c r="C40" s="482" t="s">
        <v>1321</v>
      </c>
      <c r="D40" s="2575"/>
      <c r="E40" s="2317"/>
      <c r="F40" s="2496"/>
      <c r="G40" s="2540"/>
      <c r="H40" s="1613"/>
      <c r="I40" s="764" t="s">
        <v>1322</v>
      </c>
      <c r="J40" s="684"/>
      <c r="K40" s="1613"/>
      <c r="L40" s="327"/>
      <c r="M40" s="2283"/>
      <c r="N40" s="447"/>
      <c r="O40" s="1737"/>
      <c r="P40" s="1737"/>
      <c r="AH40" s="1744">
        <v>0</v>
      </c>
    </row>
    <row s="8113" customFormat="1" customHeight="1" ht="0.75" hidden="1">
      <c r="A41" s="1893"/>
      <c r="B41" s="1893"/>
      <c r="C41" s="482" t="s">
        <v>1327</v>
      </c>
      <c r="D41" s="2575"/>
      <c r="E41" s="2317"/>
      <c r="F41" s="2496"/>
      <c r="G41" s="513"/>
      <c r="H41" s="1613"/>
      <c r="I41" s="764"/>
      <c r="J41" s="684"/>
      <c r="K41" s="1613"/>
      <c r="L41" s="327"/>
      <c r="M41" s="2283"/>
      <c r="N41" s="447"/>
      <c r="O41" s="1737"/>
      <c r="P41" s="1737"/>
      <c r="AH41" s="1744">
        <v>0</v>
      </c>
    </row>
    <row s="8113" customFormat="1" customHeight="1" ht="18.75" hidden="1">
      <c r="A42" s="1893" t="s">
        <v>266</v>
      </c>
      <c r="B42" s="1893" t="s">
        <v>267</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Плата за услуги по поддержанию резервной тепловой мощности при отсутствии потребления тепловой энергии </v>
      </c>
      <c r="H42" s="1975"/>
      <c r="I42" s="1852"/>
      <c r="J42" s="1886"/>
      <c r="K42" s="1978"/>
      <c r="L42" s="1975" t="s">
        <v>461</v>
      </c>
      <c r="M42" s="2283"/>
      <c r="N42" s="447"/>
      <c r="O42" s="1737"/>
      <c r="P42" s="1737"/>
      <c r="AH42" s="1744">
        <v>0</v>
      </c>
    </row>
    <row s="8113" customFormat="1" customHeight="1" ht="18.75" hidden="1">
      <c r="A43" s="1893"/>
      <c r="B43" s="1893"/>
      <c r="C43" s="482" t="s">
        <v>1321</v>
      </c>
      <c r="D43" s="2575"/>
      <c r="E43" s="2317"/>
      <c r="F43" s="2496"/>
      <c r="G43" s="2540"/>
      <c r="H43" s="1613"/>
      <c r="I43" s="764" t="s">
        <v>1322</v>
      </c>
      <c r="J43" s="684"/>
      <c r="K43" s="1613"/>
      <c r="L43" s="327"/>
      <c r="M43" s="2283"/>
      <c r="N43" s="447"/>
      <c r="O43" s="1737"/>
      <c r="P43" s="1737"/>
      <c r="AH43" s="1744">
        <v>0</v>
      </c>
    </row>
    <row s="8113" customFormat="1" customHeight="1" ht="0.75" hidden="1">
      <c r="A44" s="1893"/>
      <c r="B44" s="1893"/>
      <c r="C44" s="482" t="s">
        <v>1327</v>
      </c>
      <c r="D44" s="2575"/>
      <c r="E44" s="2317"/>
      <c r="F44" s="2496"/>
      <c r="G44" s="513"/>
      <c r="H44" s="1613"/>
      <c r="I44" s="764"/>
      <c r="J44" s="684"/>
      <c r="K44" s="1613"/>
      <c r="L44" s="327"/>
      <c r="M44" s="2283"/>
      <c r="N44" s="447"/>
      <c r="O44" s="1737"/>
      <c r="P44" s="1737"/>
      <c r="AH44" s="1744">
        <v>0</v>
      </c>
    </row>
    <row s="8113" customFormat="1" customHeight="1" ht="18.75" hidden="1">
      <c r="A45" s="1893" t="s">
        <v>354</v>
      </c>
      <c r="B45" s="1893" t="s">
        <v>355</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461</v>
      </c>
      <c r="M45" s="2283"/>
      <c r="N45" s="447"/>
      <c r="O45" s="1737"/>
      <c r="P45" s="1737"/>
      <c r="AH45" s="1744">
        <v>0</v>
      </c>
    </row>
    <row s="8113" customFormat="1" customHeight="1" ht="18.75" hidden="1">
      <c r="A46" s="1893"/>
      <c r="B46" s="1893"/>
      <c r="C46" s="482" t="s">
        <v>1321</v>
      </c>
      <c r="D46" s="2575"/>
      <c r="E46" s="2317"/>
      <c r="F46" s="2496"/>
      <c r="G46" s="2540"/>
      <c r="H46" s="1613"/>
      <c r="I46" s="764" t="s">
        <v>1322</v>
      </c>
      <c r="J46" s="684"/>
      <c r="K46" s="1613"/>
      <c r="L46" s="327"/>
      <c r="M46" s="2283"/>
      <c r="N46" s="447"/>
      <c r="O46" s="1737"/>
      <c r="P46" s="1737"/>
      <c r="AH46" s="1744">
        <v>0</v>
      </c>
    </row>
    <row s="8113" customFormat="1" customHeight="1" ht="0.75" hidden="1">
      <c r="A47" s="1893"/>
      <c r="B47" s="1893"/>
      <c r="C47" s="482" t="s">
        <v>1327</v>
      </c>
      <c r="D47" s="2575"/>
      <c r="E47" s="2317"/>
      <c r="F47" s="2496"/>
      <c r="G47" s="513"/>
      <c r="H47" s="1613"/>
      <c r="I47" s="764"/>
      <c r="J47" s="684"/>
      <c r="K47" s="1613"/>
      <c r="L47" s="327"/>
      <c r="M47" s="2283"/>
      <c r="N47" s="447"/>
      <c r="O47" s="1737"/>
      <c r="P47" s="1737"/>
      <c r="AH47" s="1744">
        <v>0</v>
      </c>
    </row>
    <row s="8113" customFormat="1" customHeight="1" ht="18.75" hidden="1">
      <c r="A48" s="1893" t="s">
        <v>360</v>
      </c>
      <c r="B48" s="1893" t="s">
        <v>361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461</v>
      </c>
      <c r="M48" s="2283"/>
      <c r="N48" s="447"/>
      <c r="O48" s="1737"/>
      <c r="P48" s="1737"/>
      <c r="AH48" s="1744">
        <v>0</v>
      </c>
    </row>
    <row s="8113" customFormat="1" customHeight="1" ht="18.75" hidden="1">
      <c r="A49" s="1893"/>
      <c r="B49" s="1893"/>
      <c r="C49" s="482" t="s">
        <v>1321</v>
      </c>
      <c r="D49" s="2575"/>
      <c r="E49" s="2317"/>
      <c r="F49" s="2496"/>
      <c r="G49" s="2540"/>
      <c r="H49" s="1613"/>
      <c r="I49" s="764" t="s">
        <v>1322</v>
      </c>
      <c r="J49" s="684"/>
      <c r="K49" s="1613"/>
      <c r="L49" s="327"/>
      <c r="M49" s="2283"/>
      <c r="N49" s="447"/>
      <c r="O49" s="1737"/>
      <c r="P49" s="1737"/>
      <c r="AH49" s="1744">
        <v>0</v>
      </c>
    </row>
    <row s="8113" customFormat="1" customHeight="1" ht="0.75" hidden="1">
      <c r="A50" s="1893"/>
      <c r="B50" s="1893"/>
      <c r="C50" s="482" t="s">
        <v>1327</v>
      </c>
      <c r="D50" s="2575"/>
      <c r="E50" s="2317"/>
      <c r="F50" s="2496"/>
      <c r="G50" s="513"/>
      <c r="H50" s="1613"/>
      <c r="I50" s="764"/>
      <c r="J50" s="684"/>
      <c r="K50" s="1613"/>
      <c r="L50" s="327"/>
      <c r="M50" s="2283"/>
      <c r="N50" s="447"/>
      <c r="O50" s="1737"/>
      <c r="P50" s="1737"/>
      <c r="AH50" s="1744">
        <v>0</v>
      </c>
    </row>
    <row s="8113" customFormat="1" customHeight="1" ht="18.75" hidden="1">
      <c r="A51" s="1893" t="s">
        <v>380</v>
      </c>
      <c r="B51" s="1893" t="s">
        <v>381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461</v>
      </c>
      <c r="M51" s="2283"/>
      <c r="N51" s="447"/>
      <c r="O51" s="1737"/>
      <c r="P51" s="1737"/>
      <c r="AH51" s="1744">
        <v>0</v>
      </c>
    </row>
    <row s="8113" customFormat="1" customHeight="1" ht="18.75" hidden="1">
      <c r="A52" s="1893"/>
      <c r="B52" s="1893"/>
      <c r="C52" s="482" t="s">
        <v>1321</v>
      </c>
      <c r="D52" s="2575"/>
      <c r="E52" s="2317"/>
      <c r="F52" s="2496"/>
      <c r="G52" s="2540"/>
      <c r="H52" s="1613"/>
      <c r="I52" s="764" t="s">
        <v>1322</v>
      </c>
      <c r="J52" s="684"/>
      <c r="K52" s="1613"/>
      <c r="L52" s="327"/>
      <c r="M52" s="2283"/>
      <c r="N52" s="447"/>
      <c r="O52" s="1737"/>
      <c r="P52" s="1737"/>
      <c r="AH52" s="1744">
        <v>0</v>
      </c>
    </row>
    <row s="8113" customFormat="1" customHeight="1" ht="0.75" hidden="1">
      <c r="A53" s="1893"/>
      <c r="B53" s="1893"/>
      <c r="C53" s="482" t="s">
        <v>1327</v>
      </c>
      <c r="D53" s="2575"/>
      <c r="E53" s="2317"/>
      <c r="F53" s="2496"/>
      <c r="G53" s="513"/>
      <c r="H53" s="1613"/>
      <c r="I53" s="764"/>
      <c r="J53" s="684"/>
      <c r="K53" s="1613"/>
      <c r="L53" s="327"/>
      <c r="M53" s="2283"/>
      <c r="N53" s="447"/>
      <c r="O53" s="1737"/>
      <c r="P53" s="1737"/>
      <c r="AH53" s="1744">
        <v>0</v>
      </c>
    </row>
    <row s="8113" customFormat="1" customHeight="1" ht="18.75" hidden="1">
      <c r="A54" s="1893" t="s">
        <v>385</v>
      </c>
      <c r="B54" s="1893" t="s">
        <v>386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461</v>
      </c>
      <c r="M54" s="2283"/>
      <c r="N54" s="447"/>
      <c r="O54" s="1737"/>
      <c r="P54" s="1737"/>
      <c r="AH54" s="1744">
        <v>0</v>
      </c>
    </row>
    <row s="8113" customFormat="1" customHeight="1" ht="18.75" hidden="1">
      <c r="A55" s="1893"/>
      <c r="B55" s="1893"/>
      <c r="C55" s="482" t="s">
        <v>1321</v>
      </c>
      <c r="D55" s="2575"/>
      <c r="E55" s="2317"/>
      <c r="F55" s="2496"/>
      <c r="G55" s="2540"/>
      <c r="H55" s="1613"/>
      <c r="I55" s="764" t="s">
        <v>1322</v>
      </c>
      <c r="J55" s="684"/>
      <c r="K55" s="1613"/>
      <c r="L55" s="327"/>
      <c r="M55" s="2283"/>
      <c r="N55" s="447"/>
      <c r="O55" s="1737"/>
      <c r="P55" s="1737"/>
      <c r="AH55" s="1744">
        <v>0</v>
      </c>
    </row>
    <row s="8113" customFormat="1" customHeight="1" ht="0.75" hidden="1">
      <c r="A56" s="1893"/>
      <c r="B56" s="1893"/>
      <c r="C56" s="482" t="s">
        <v>1327</v>
      </c>
      <c r="D56" s="2575"/>
      <c r="E56" s="2317"/>
      <c r="F56" s="2496"/>
      <c r="G56" s="513"/>
      <c r="H56" s="1613"/>
      <c r="I56" s="764"/>
      <c r="J56" s="684"/>
      <c r="K56" s="1613"/>
      <c r="L56" s="327"/>
      <c r="M56" s="2283"/>
      <c r="N56" s="447"/>
      <c r="O56" s="1737"/>
      <c r="P56" s="1737"/>
      <c r="AH56" s="1744">
        <v>0</v>
      </c>
    </row>
    <row s="8113" customFormat="1" customHeight="1" ht="18.75" hidden="1">
      <c r="A57" s="1893" t="s">
        <v>390</v>
      </c>
      <c r="B57" s="1893" t="s">
        <v>391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461</v>
      </c>
      <c r="M57" s="2283"/>
      <c r="N57" s="447"/>
      <c r="O57" s="1737"/>
      <c r="P57" s="1737"/>
      <c r="AH57" s="1744">
        <v>0</v>
      </c>
    </row>
    <row s="8113" customFormat="1" customHeight="1" ht="18.75" hidden="1">
      <c r="A58" s="1893"/>
      <c r="B58" s="1893"/>
      <c r="C58" s="482" t="s">
        <v>1321</v>
      </c>
      <c r="D58" s="2575"/>
      <c r="E58" s="2317"/>
      <c r="F58" s="2496"/>
      <c r="G58" s="2540"/>
      <c r="H58" s="1613"/>
      <c r="I58" s="764" t="s">
        <v>1322</v>
      </c>
      <c r="J58" s="684"/>
      <c r="K58" s="1613"/>
      <c r="L58" s="327"/>
      <c r="M58" s="2283"/>
      <c r="N58" s="447"/>
      <c r="O58" s="1737"/>
      <c r="P58" s="1737"/>
      <c r="AH58" s="1744">
        <v>0</v>
      </c>
    </row>
    <row s="8113" customFormat="1" customHeight="1" ht="0.75" hidden="1">
      <c r="A59" s="1893"/>
      <c r="B59" s="1893"/>
      <c r="C59" s="482" t="s">
        <v>1327</v>
      </c>
      <c r="D59" s="2575"/>
      <c r="E59" s="2317"/>
      <c r="F59" s="2496"/>
      <c r="G59" s="513"/>
      <c r="H59" s="1613"/>
      <c r="I59" s="764"/>
      <c r="J59" s="684"/>
      <c r="K59" s="1613"/>
      <c r="L59" s="327"/>
      <c r="M59" s="2283"/>
      <c r="N59" s="447"/>
      <c r="O59" s="1737"/>
      <c r="P59" s="1737"/>
      <c r="AH59" s="1744">
        <v>0</v>
      </c>
    </row>
    <row s="8113" customFormat="1" customHeight="1" ht="18.75" hidden="1">
      <c r="A60" s="1893" t="s">
        <v>395</v>
      </c>
      <c r="B60" s="1893" t="s">
        <v>396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461</v>
      </c>
      <c r="M60" s="2283"/>
      <c r="N60" s="447"/>
      <c r="O60" s="1737"/>
      <c r="P60" s="1737"/>
      <c r="AH60" s="1744">
        <v>0</v>
      </c>
    </row>
    <row s="8113" customFormat="1" customHeight="1" ht="18.75" hidden="1">
      <c r="A61" s="1893"/>
      <c r="B61" s="1893"/>
      <c r="C61" s="482" t="s">
        <v>1321</v>
      </c>
      <c r="D61" s="2575"/>
      <c r="E61" s="2317"/>
      <c r="F61" s="2496"/>
      <c r="G61" s="2540"/>
      <c r="H61" s="1613"/>
      <c r="I61" s="764" t="s">
        <v>1322</v>
      </c>
      <c r="J61" s="684"/>
      <c r="K61" s="1613"/>
      <c r="L61" s="327"/>
      <c r="M61" s="2283"/>
      <c r="N61" s="447"/>
      <c r="O61" s="1737"/>
      <c r="P61" s="1737"/>
      <c r="AH61" s="1744">
        <v>0</v>
      </c>
    </row>
    <row s="8113" customFormat="1" customHeight="1" ht="0.75" hidden="1">
      <c r="A62" s="1893"/>
      <c r="B62" s="1893"/>
      <c r="C62" s="482" t="s">
        <v>1327</v>
      </c>
      <c r="D62" s="2575"/>
      <c r="E62" s="2317"/>
      <c r="F62" s="2496"/>
      <c r="G62" s="513"/>
      <c r="H62" s="1613"/>
      <c r="I62" s="764"/>
      <c r="J62" s="684"/>
      <c r="K62" s="1613"/>
      <c r="L62" s="327"/>
      <c r="M62" s="2283"/>
      <c r="N62" s="447"/>
      <c r="O62" s="1737"/>
      <c r="P62" s="1737"/>
      <c r="AH62" s="1744">
        <v>0</v>
      </c>
    </row>
    <row s="8113" customFormat="1" customHeight="1" ht="18.75" hidden="1">
      <c r="A63" s="1893" t="s">
        <v>400</v>
      </c>
      <c r="B63" s="1893" t="s">
        <v>401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461</v>
      </c>
      <c r="M63" s="2283"/>
      <c r="N63" s="447"/>
      <c r="O63" s="1737"/>
      <c r="P63" s="1737"/>
      <c r="AH63" s="1744">
        <v>0</v>
      </c>
    </row>
    <row s="8113" customFormat="1" customHeight="1" ht="18.75" hidden="1">
      <c r="A64" s="1893"/>
      <c r="B64" s="1893"/>
      <c r="C64" s="482" t="s">
        <v>1321</v>
      </c>
      <c r="D64" s="2575"/>
      <c r="E64" s="2317"/>
      <c r="F64" s="2496"/>
      <c r="G64" s="2540"/>
      <c r="H64" s="1613"/>
      <c r="I64" s="764" t="s">
        <v>1322</v>
      </c>
      <c r="J64" s="684"/>
      <c r="K64" s="1613"/>
      <c r="L64" s="327"/>
      <c r="M64" s="2283"/>
      <c r="N64" s="447"/>
      <c r="O64" s="1737"/>
      <c r="P64" s="1737"/>
      <c r="AH64" s="1744">
        <v>0</v>
      </c>
    </row>
    <row s="8113" customFormat="1" customHeight="1" ht="0.75" hidden="1">
      <c r="A65" s="1893"/>
      <c r="B65" s="1893"/>
      <c r="C65" s="482" t="s">
        <v>1327</v>
      </c>
      <c r="D65" s="2575"/>
      <c r="E65" s="2317"/>
      <c r="F65" s="2496"/>
      <c r="G65" s="513"/>
      <c r="H65" s="1613"/>
      <c r="I65" s="764"/>
      <c r="J65" s="684"/>
      <c r="K65" s="1613"/>
      <c r="L65" s="327"/>
      <c r="M65" s="2283"/>
      <c r="N65" s="447"/>
      <c r="O65" s="1737"/>
      <c r="P65" s="1737"/>
      <c r="AH65" s="1744">
        <v>0</v>
      </c>
    </row>
    <row s="8113" customFormat="1" customHeight="1" ht="18.75" hidden="1">
      <c r="A66" s="1893" t="s">
        <v>405</v>
      </c>
      <c r="B66" s="1893" t="s">
        <v>406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461</v>
      </c>
      <c r="M66" s="2283"/>
      <c r="N66" s="447"/>
      <c r="O66" s="1737"/>
      <c r="P66" s="1737"/>
      <c r="AH66" s="1744">
        <v>0</v>
      </c>
    </row>
    <row s="8113" customFormat="1" customHeight="1" ht="18.75" hidden="1">
      <c r="A67" s="1893"/>
      <c r="B67" s="1893"/>
      <c r="C67" s="482" t="s">
        <v>1321</v>
      </c>
      <c r="D67" s="2575"/>
      <c r="E67" s="2317"/>
      <c r="F67" s="2496"/>
      <c r="G67" s="2540"/>
      <c r="H67" s="1613"/>
      <c r="I67" s="764" t="s">
        <v>1322</v>
      </c>
      <c r="J67" s="684"/>
      <c r="K67" s="1613"/>
      <c r="L67" s="327"/>
      <c r="M67" s="2283"/>
      <c r="N67" s="447"/>
      <c r="O67" s="1737"/>
      <c r="P67" s="1737"/>
      <c r="AH67" s="1744">
        <v>0</v>
      </c>
    </row>
    <row s="8113" customFormat="1" customHeight="1" ht="0.75" hidden="1">
      <c r="A68" s="1893"/>
      <c r="B68" s="1893"/>
      <c r="C68" s="482" t="s">
        <v>1327</v>
      </c>
      <c r="D68" s="2575"/>
      <c r="E68" s="2317"/>
      <c r="F68" s="2496"/>
      <c r="G68" s="513"/>
      <c r="H68" s="1613"/>
      <c r="I68" s="764"/>
      <c r="J68" s="684"/>
      <c r="K68" s="1613"/>
      <c r="L68" s="327"/>
      <c r="M68" s="2283"/>
      <c r="N68" s="447"/>
      <c r="O68" s="1737"/>
      <c r="P68" s="1737"/>
      <c r="AH68" s="1744">
        <v>0</v>
      </c>
    </row>
    <row s="8113" customFormat="1" customHeight="1" ht="18.75" hidden="1">
      <c r="A69" s="1893" t="s">
        <v>410</v>
      </c>
      <c r="B69" s="1893" t="s">
        <v>411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461</v>
      </c>
      <c r="M69" s="2283"/>
      <c r="N69" s="447"/>
      <c r="O69" s="1737"/>
      <c r="P69" s="1737"/>
      <c r="AH69" s="1744">
        <v>0</v>
      </c>
    </row>
    <row s="8113" customFormat="1" customHeight="1" ht="18.75" hidden="1">
      <c r="A70" s="1893"/>
      <c r="B70" s="1893"/>
      <c r="C70" s="482" t="s">
        <v>1321</v>
      </c>
      <c r="D70" s="2575"/>
      <c r="E70" s="2317"/>
      <c r="F70" s="2496"/>
      <c r="G70" s="2540"/>
      <c r="H70" s="1613"/>
      <c r="I70" s="764" t="s">
        <v>1322</v>
      </c>
      <c r="J70" s="684"/>
      <c r="K70" s="1613"/>
      <c r="L70" s="327"/>
      <c r="M70" s="2283"/>
      <c r="N70" s="447"/>
      <c r="O70" s="1737"/>
      <c r="P70" s="1737"/>
      <c r="AH70" s="1744">
        <v>0</v>
      </c>
    </row>
    <row s="8113" customFormat="1" customHeight="1" ht="0.75" hidden="1">
      <c r="A71" s="1893"/>
      <c r="B71" s="1893"/>
      <c r="C71" s="482" t="s">
        <v>1327</v>
      </c>
      <c r="D71" s="2575"/>
      <c r="E71" s="2317"/>
      <c r="F71" s="2496"/>
      <c r="G71" s="513"/>
      <c r="H71" s="1613"/>
      <c r="I71" s="764"/>
      <c r="J71" s="684"/>
      <c r="K71" s="1613"/>
      <c r="L71" s="327"/>
      <c r="M71" s="2283"/>
      <c r="N71" s="447"/>
      <c r="O71" s="1737"/>
      <c r="P71" s="1737"/>
      <c r="AH71" s="1744">
        <v>0</v>
      </c>
    </row>
    <row s="8113" customFormat="1" customHeight="1" ht="18.75" hidden="1">
      <c r="A72" s="1893" t="s">
        <v>415</v>
      </c>
      <c r="B72" s="1893" t="s">
        <v>416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461</v>
      </c>
      <c r="M72" s="2283"/>
      <c r="N72" s="447"/>
      <c r="O72" s="1737"/>
      <c r="P72" s="1737"/>
      <c r="AH72" s="1744">
        <v>0</v>
      </c>
    </row>
    <row s="8113" customFormat="1" customHeight="1" ht="18.75" hidden="1">
      <c r="A73" s="1893"/>
      <c r="B73" s="1893"/>
      <c r="C73" s="482" t="s">
        <v>1321</v>
      </c>
      <c r="D73" s="2575"/>
      <c r="E73" s="2317"/>
      <c r="F73" s="2496"/>
      <c r="G73" s="2540"/>
      <c r="H73" s="1613"/>
      <c r="I73" s="764" t="s">
        <v>1322</v>
      </c>
      <c r="J73" s="684"/>
      <c r="K73" s="1613"/>
      <c r="L73" s="327"/>
      <c r="M73" s="2283"/>
      <c r="N73" s="447"/>
      <c r="O73" s="1737"/>
      <c r="P73" s="1737"/>
      <c r="AH73" s="1744">
        <v>0</v>
      </c>
    </row>
    <row s="8113" customFormat="1" customHeight="1" ht="0.75" hidden="1">
      <c r="A74" s="1893"/>
      <c r="B74" s="1893"/>
      <c r="C74" s="482" t="s">
        <v>1327</v>
      </c>
      <c r="D74" s="2575"/>
      <c r="E74" s="2317"/>
      <c r="F74" s="2496"/>
      <c r="G74" s="513"/>
      <c r="H74" s="1613"/>
      <c r="I74" s="764"/>
      <c r="J74" s="684"/>
      <c r="K74" s="1613"/>
      <c r="L74" s="327"/>
      <c r="M74" s="2283"/>
      <c r="N74" s="447"/>
      <c r="O74" s="1737"/>
      <c r="P74" s="1737"/>
      <c r="AH74" s="1744">
        <v>0</v>
      </c>
    </row>
    <row s="8113" customFormat="1" customHeight="1" ht="18.75" hidden="1">
      <c r="A75" s="1893" t="s">
        <v>420</v>
      </c>
      <c r="B75" s="1893" t="s">
        <v>421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461</v>
      </c>
      <c r="M75" s="2283"/>
      <c r="N75" s="447"/>
      <c r="O75" s="1737"/>
      <c r="P75" s="1737"/>
      <c r="AH75" s="1744">
        <v>0</v>
      </c>
    </row>
    <row s="8113" customFormat="1" customHeight="1" ht="18.75" hidden="1">
      <c r="A76" s="1893"/>
      <c r="B76" s="1893"/>
      <c r="C76" s="482" t="s">
        <v>1321</v>
      </c>
      <c r="D76" s="2575"/>
      <c r="E76" s="2317"/>
      <c r="F76" s="2496"/>
      <c r="G76" s="2540"/>
      <c r="H76" s="1613"/>
      <c r="I76" s="764" t="s">
        <v>1322</v>
      </c>
      <c r="J76" s="684"/>
      <c r="K76" s="1613"/>
      <c r="L76" s="327"/>
      <c r="M76" s="2283"/>
      <c r="N76" s="447"/>
      <c r="O76" s="1737"/>
      <c r="P76" s="1737"/>
      <c r="AH76" s="1744">
        <v>0</v>
      </c>
    </row>
    <row s="8113" customFormat="1" customHeight="1" ht="0.75" hidden="1">
      <c r="A77" s="1893"/>
      <c r="B77" s="1893"/>
      <c r="C77" s="482" t="s">
        <v>1327</v>
      </c>
      <c r="D77" s="2575"/>
      <c r="E77" s="2317"/>
      <c r="F77" s="2496"/>
      <c r="G77" s="513"/>
      <c r="H77" s="1613"/>
      <c r="I77" s="764"/>
      <c r="J77" s="684"/>
      <c r="K77" s="1613"/>
      <c r="L77" s="327"/>
      <c r="M77" s="2283"/>
      <c r="N77" s="447"/>
      <c r="O77" s="1737"/>
      <c r="P77" s="1737"/>
      <c r="AH77" s="1744">
        <v>0</v>
      </c>
    </row>
    <row s="8113" customFormat="1" customHeight="1" ht="18.75" hidden="1">
      <c r="A78" s="1893" t="s">
        <v>425</v>
      </c>
      <c r="B78" s="1893" t="s">
        <v>426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461</v>
      </c>
      <c r="M78" s="2283"/>
      <c r="N78" s="447"/>
      <c r="O78" s="1737"/>
      <c r="P78" s="1737"/>
      <c r="AH78" s="1744">
        <v>0</v>
      </c>
    </row>
    <row s="8113" customFormat="1" customHeight="1" ht="18.75" hidden="1">
      <c r="A79" s="1893"/>
      <c r="B79" s="1893"/>
      <c r="C79" s="482" t="s">
        <v>1321</v>
      </c>
      <c r="D79" s="2575"/>
      <c r="E79" s="2317"/>
      <c r="F79" s="2496"/>
      <c r="G79" s="2540"/>
      <c r="H79" s="1613"/>
      <c r="I79" s="764" t="s">
        <v>1322</v>
      </c>
      <c r="J79" s="684"/>
      <c r="K79" s="1613"/>
      <c r="L79" s="327"/>
      <c r="M79" s="2283"/>
      <c r="N79" s="447"/>
      <c r="O79" s="1737"/>
      <c r="P79" s="1737"/>
      <c r="AH79" s="1744">
        <v>0</v>
      </c>
    </row>
    <row s="8113" customFormat="1" customHeight="1" ht="0.75" hidden="1">
      <c r="A80" s="1893"/>
      <c r="B80" s="1893"/>
      <c r="C80" s="482" t="s">
        <v>1327</v>
      </c>
      <c r="D80" s="2575"/>
      <c r="E80" s="2317"/>
      <c r="F80" s="2496"/>
      <c r="G80" s="513"/>
      <c r="H80" s="1613"/>
      <c r="I80" s="764"/>
      <c r="J80" s="684"/>
      <c r="K80" s="1613"/>
      <c r="L80" s="327"/>
      <c r="M80" s="2283"/>
      <c r="N80" s="447"/>
      <c r="O80" s="1737"/>
      <c r="P80" s="1737"/>
      <c r="AH80" s="1744">
        <v>0</v>
      </c>
    </row>
    <row s="8113" customFormat="1" customHeight="1" ht="18.75" hidden="1">
      <c r="A81" s="1893" t="s">
        <v>430</v>
      </c>
      <c r="B81" s="1893" t="s">
        <v>431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461</v>
      </c>
      <c r="M81" s="2283"/>
      <c r="N81" s="447"/>
      <c r="O81" s="1737"/>
      <c r="P81" s="1737"/>
      <c r="AH81" s="1744">
        <v>0</v>
      </c>
    </row>
    <row s="8113" customFormat="1" customHeight="1" ht="18.75" hidden="1">
      <c r="A82" s="1893"/>
      <c r="B82" s="1893"/>
      <c r="C82" s="482" t="s">
        <v>1321</v>
      </c>
      <c r="D82" s="2575"/>
      <c r="E82" s="2317"/>
      <c r="F82" s="2496"/>
      <c r="G82" s="2540"/>
      <c r="H82" s="1613"/>
      <c r="I82" s="764" t="s">
        <v>1322</v>
      </c>
      <c r="J82" s="684"/>
      <c r="K82" s="1613"/>
      <c r="L82" s="327"/>
      <c r="M82" s="2283"/>
      <c r="N82" s="447"/>
      <c r="O82" s="1737"/>
      <c r="P82" s="1737"/>
      <c r="AH82" s="1744">
        <v>0</v>
      </c>
    </row>
    <row s="8113" customFormat="1" customHeight="1" ht="1.05">
      <c r="A83" s="1893"/>
      <c r="B83" s="1893"/>
      <c r="C83" s="482" t="s">
        <v>1327</v>
      </c>
      <c r="D83" s="2575"/>
      <c r="E83" s="2317"/>
      <c r="F83" s="2496"/>
      <c r="G83" s="513"/>
      <c r="H83" s="1613"/>
      <c r="I83" s="764"/>
      <c r="J83" s="684"/>
      <c r="K83" s="1613"/>
      <c r="L83" s="327"/>
      <c r="M83" s="2283"/>
      <c r="N83" s="447"/>
      <c r="O83" s="1737"/>
      <c r="P83" s="1737"/>
      <c r="AH83" s="1744">
        <v>1</v>
      </c>
    </row>
    <row customHeight="1" ht="19.95">
      <c r="A84" s="1893"/>
      <c r="B84" s="1893"/>
      <c r="D84" s="489"/>
      <c r="E84" s="260" t="s">
        <v>105</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461</v>
      </c>
      <c r="G85" s="311" t="s">
        <v>461</v>
      </c>
      <c r="H85" s="2331" t="s">
        <v>461</v>
      </c>
      <c r="I85" s="2333"/>
      <c r="J85" s="311" t="s">
        <v>461</v>
      </c>
      <c r="K85" s="311" t="s">
        <v>461</v>
      </c>
      <c r="L85" s="514"/>
      <c r="M85" s="458" t="s">
        <v>1328</v>
      </c>
      <c r="N85" s="447"/>
      <c r="AH85" s="487">
        <v>34</v>
      </c>
    </row>
    <row customHeight="1" ht="19.95">
      <c r="A86" s="1893"/>
      <c r="B86" s="1893"/>
      <c r="D86" s="489"/>
      <c r="E86" s="260" t="s">
        <v>92</v>
      </c>
      <c r="F86" s="2573" t="s">
        <v>1329</v>
      </c>
      <c r="G86" s="2573"/>
      <c r="H86" s="2573"/>
      <c r="I86" s="2573"/>
      <c r="J86" s="2573"/>
      <c r="K86" s="2573"/>
      <c r="L86" s="2573"/>
      <c r="M86" s="410"/>
      <c r="N86" s="447"/>
      <c r="AH86" s="487">
        <v>19</v>
      </c>
    </row>
    <row s="8113" customFormat="1" customHeight="1" ht="60.75" hidden="1">
      <c r="A87" s="1893" t="s">
        <v>226</v>
      </c>
      <c r="B87" s="1893" t="s">
        <v>227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461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8113" customFormat="1" customHeight="1" ht="18.75" hidden="1">
      <c r="A88" s="1893"/>
      <c r="B88" s="1893"/>
      <c r="C88" s="482" t="s">
        <v>1323</v>
      </c>
      <c r="D88" s="2575"/>
      <c r="E88" s="2317"/>
      <c r="F88" s="2496"/>
      <c r="G88" s="2540"/>
      <c r="H88" s="1613"/>
      <c r="I88" s="764" t="s">
        <v>1322</v>
      </c>
      <c r="J88" s="684"/>
      <c r="K88" s="1613"/>
      <c r="L88" s="327"/>
      <c r="M88" s="2283"/>
      <c r="N88" s="447"/>
      <c r="O88" s="1737"/>
      <c r="P88" s="1737"/>
      <c r="AH88" s="1744">
        <v>0</v>
      </c>
    </row>
    <row s="8113" customFormat="1" customHeight="1" ht="0.75" hidden="1">
      <c r="A89" s="1893"/>
      <c r="B89" s="1893"/>
      <c r="C89" s="482" t="s">
        <v>1330</v>
      </c>
      <c r="D89" s="2575"/>
      <c r="E89" s="2317"/>
      <c r="F89" s="2496"/>
      <c r="G89" s="513"/>
      <c r="H89" s="1613"/>
      <c r="I89" s="764"/>
      <c r="J89" s="684"/>
      <c r="K89" s="1613"/>
      <c r="L89" s="327"/>
      <c r="M89" s="2283"/>
      <c r="N89" s="447"/>
      <c r="O89" s="1737"/>
      <c r="P89" s="1737"/>
      <c r="AH89" s="1744">
        <v>0</v>
      </c>
    </row>
    <row s="8113" customFormat="1" customHeight="1" ht="45" hidden="1">
      <c r="A90" s="1893" t="s">
        <v>232</v>
      </c>
      <c r="B90" s="1893" t="s">
        <v>233</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461</v>
      </c>
      <c r="M90" s="2284"/>
      <c r="N90" s="447"/>
      <c r="O90" s="1737"/>
      <c r="P90" s="1737"/>
      <c r="AH90" s="1744">
        <v>0</v>
      </c>
    </row>
    <row s="8113" customFormat="1" customHeight="1" ht="18.75" hidden="1">
      <c r="A91" s="1893"/>
      <c r="B91" s="1893"/>
      <c r="C91" s="482" t="s">
        <v>1323</v>
      </c>
      <c r="D91" s="2575"/>
      <c r="E91" s="2317"/>
      <c r="F91" s="2496"/>
      <c r="G91" s="2540"/>
      <c r="H91" s="1613"/>
      <c r="I91" s="764" t="s">
        <v>1322</v>
      </c>
      <c r="J91" s="684"/>
      <c r="K91" s="1613"/>
      <c r="L91" s="327"/>
      <c r="M91" s="1974"/>
      <c r="N91" s="447"/>
      <c r="O91" s="1737"/>
      <c r="P91" s="1737"/>
      <c r="AH91" s="1744">
        <v>0</v>
      </c>
    </row>
    <row s="8113" customFormat="1" customHeight="1" ht="0.75" hidden="1">
      <c r="A92" s="1893"/>
      <c r="B92" s="1893"/>
      <c r="C92" s="482" t="s">
        <v>1330</v>
      </c>
      <c r="D92" s="2575"/>
      <c r="E92" s="2317"/>
      <c r="F92" s="2496"/>
      <c r="G92" s="513"/>
      <c r="H92" s="1613"/>
      <c r="I92" s="764"/>
      <c r="J92" s="684"/>
      <c r="K92" s="1613"/>
      <c r="L92" s="327"/>
      <c r="M92" s="454"/>
      <c r="N92" s="447"/>
      <c r="O92" s="1737"/>
      <c r="P92" s="1737"/>
      <c r="AH92" s="1744">
        <v>0</v>
      </c>
    </row>
    <row s="8113" customFormat="1" customHeight="1" ht="45" hidden="1">
      <c r="A93" s="1893" t="s">
        <v>238</v>
      </c>
      <c r="B93" s="1893" t="s">
        <v>239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461</v>
      </c>
      <c r="M93" s="454"/>
      <c r="N93" s="447"/>
      <c r="O93" s="1737"/>
      <c r="P93" s="1737"/>
      <c r="AH93" s="1744">
        <v>0</v>
      </c>
    </row>
    <row s="8113" customFormat="1" customHeight="1" ht="18.75" hidden="1">
      <c r="A94" s="1893"/>
      <c r="B94" s="1893"/>
      <c r="C94" s="482" t="s">
        <v>1323</v>
      </c>
      <c r="D94" s="2575"/>
      <c r="E94" s="2317"/>
      <c r="F94" s="2496"/>
      <c r="G94" s="2540"/>
      <c r="H94" s="1613"/>
      <c r="I94" s="764" t="s">
        <v>1322</v>
      </c>
      <c r="J94" s="684"/>
      <c r="K94" s="1613"/>
      <c r="L94" s="327"/>
      <c r="M94" s="454"/>
      <c r="N94" s="447"/>
      <c r="O94" s="1737"/>
      <c r="P94" s="1737"/>
      <c r="AH94" s="1744">
        <v>0</v>
      </c>
    </row>
    <row s="8113" customFormat="1" customHeight="1" ht="0.75" hidden="1">
      <c r="A95" s="1893"/>
      <c r="B95" s="1893"/>
      <c r="C95" s="482" t="s">
        <v>1330</v>
      </c>
      <c r="D95" s="2575"/>
      <c r="E95" s="2317"/>
      <c r="F95" s="2496"/>
      <c r="G95" s="513"/>
      <c r="H95" s="1613"/>
      <c r="I95" s="764"/>
      <c r="J95" s="684"/>
      <c r="K95" s="1613"/>
      <c r="L95" s="327"/>
      <c r="M95" s="454"/>
      <c r="N95" s="447"/>
      <c r="O95" s="1737"/>
      <c r="P95" s="1737"/>
      <c r="AH95" s="1744">
        <v>0</v>
      </c>
    </row>
    <row s="8113" customFormat="1" customHeight="1" ht="45" hidden="1">
      <c r="A96" s="1893" t="s">
        <v>244</v>
      </c>
      <c r="B96" s="1893" t="s">
        <v>245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461</v>
      </c>
      <c r="M96" s="454"/>
      <c r="N96" s="447"/>
      <c r="O96" s="1737"/>
      <c r="P96" s="1737"/>
      <c r="AH96" s="1744">
        <v>0</v>
      </c>
    </row>
    <row s="8113" customFormat="1" customHeight="1" ht="18.75" hidden="1">
      <c r="A97" s="1893"/>
      <c r="B97" s="1893"/>
      <c r="C97" s="482" t="s">
        <v>1323</v>
      </c>
      <c r="D97" s="2575"/>
      <c r="E97" s="2317"/>
      <c r="F97" s="2496"/>
      <c r="G97" s="2540"/>
      <c r="H97" s="1613"/>
      <c r="I97" s="764" t="s">
        <v>1322</v>
      </c>
      <c r="J97" s="684"/>
      <c r="K97" s="1613"/>
      <c r="L97" s="327"/>
      <c r="M97" s="454"/>
      <c r="N97" s="447"/>
      <c r="O97" s="1737"/>
      <c r="P97" s="1737"/>
      <c r="AH97" s="1744">
        <v>0</v>
      </c>
    </row>
    <row s="8113" customFormat="1" customHeight="1" ht="0.75" hidden="1">
      <c r="A98" s="1893"/>
      <c r="B98" s="1893"/>
      <c r="C98" s="482" t="s">
        <v>1330</v>
      </c>
      <c r="D98" s="2575"/>
      <c r="E98" s="2317"/>
      <c r="F98" s="2496"/>
      <c r="G98" s="513"/>
      <c r="H98" s="1613"/>
      <c r="I98" s="764"/>
      <c r="J98" s="684"/>
      <c r="K98" s="1613"/>
      <c r="L98" s="327"/>
      <c r="M98" s="454"/>
      <c r="N98" s="447"/>
      <c r="O98" s="1737"/>
      <c r="P98" s="1737"/>
      <c r="AH98" s="1744">
        <v>0</v>
      </c>
    </row>
    <row s="8113" customFormat="1" customHeight="1" ht="18.75" hidden="1">
      <c r="A99" s="1893" t="s">
        <v>250</v>
      </c>
      <c r="B99" s="1893" t="s">
        <v>251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461</v>
      </c>
      <c r="M99" s="454"/>
      <c r="N99" s="447"/>
      <c r="O99" s="1737"/>
      <c r="P99" s="1737"/>
      <c r="AH99" s="1744">
        <v>0</v>
      </c>
    </row>
    <row s="8113" customFormat="1" customHeight="1" ht="18.75" hidden="1">
      <c r="A100" s="1893"/>
      <c r="B100" s="1893"/>
      <c r="C100" s="482" t="s">
        <v>1323</v>
      </c>
      <c r="D100" s="2575"/>
      <c r="E100" s="2317"/>
      <c r="F100" s="2496"/>
      <c r="G100" s="2540"/>
      <c r="H100" s="1613"/>
      <c r="I100" s="764" t="s">
        <v>1322</v>
      </c>
      <c r="J100" s="684"/>
      <c r="K100" s="1613"/>
      <c r="L100" s="327"/>
      <c r="M100" s="454"/>
      <c r="N100" s="447"/>
      <c r="O100" s="1737"/>
      <c r="P100" s="1737"/>
      <c r="AH100" s="1744">
        <v>0</v>
      </c>
    </row>
    <row s="8113" customFormat="1" customHeight="1" ht="0.75" hidden="1">
      <c r="A101" s="1893"/>
      <c r="B101" s="1893"/>
      <c r="C101" s="482" t="s">
        <v>1330</v>
      </c>
      <c r="D101" s="2575"/>
      <c r="E101" s="2317"/>
      <c r="F101" s="2496"/>
      <c r="G101" s="513"/>
      <c r="H101" s="1613"/>
      <c r="I101" s="764"/>
      <c r="J101" s="684"/>
      <c r="K101" s="1613"/>
      <c r="L101" s="327"/>
      <c r="M101" s="454"/>
      <c r="N101" s="447"/>
      <c r="O101" s="1737"/>
      <c r="P101" s="1737"/>
      <c r="AH101" s="1744">
        <v>0</v>
      </c>
    </row>
    <row s="8113" customFormat="1" customHeight="1" ht="18.75" hidden="1">
      <c r="A102" s="1893" t="s">
        <v>256</v>
      </c>
      <c r="B102" s="1893" t="s">
        <v>257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461</v>
      </c>
      <c r="M102" s="454"/>
      <c r="N102" s="447"/>
      <c r="O102" s="1737"/>
      <c r="P102" s="1737"/>
      <c r="AH102" s="1744">
        <v>0</v>
      </c>
    </row>
    <row s="8113" customFormat="1" customHeight="1" ht="18.75" hidden="1">
      <c r="A103" s="1893"/>
      <c r="B103" s="1893"/>
      <c r="C103" s="482" t="s">
        <v>1323</v>
      </c>
      <c r="D103" s="2575"/>
      <c r="E103" s="2317"/>
      <c r="F103" s="2496"/>
      <c r="G103" s="2540"/>
      <c r="H103" s="1613"/>
      <c r="I103" s="764" t="s">
        <v>1322</v>
      </c>
      <c r="J103" s="684"/>
      <c r="K103" s="1613"/>
      <c r="L103" s="327"/>
      <c r="M103" s="454"/>
      <c r="N103" s="447"/>
      <c r="O103" s="1737"/>
      <c r="P103" s="1737"/>
      <c r="AH103" s="1744">
        <v>0</v>
      </c>
    </row>
    <row s="8113" customFormat="1" customHeight="1" ht="0.75" hidden="1">
      <c r="A104" s="1893"/>
      <c r="B104" s="1893"/>
      <c r="C104" s="482" t="s">
        <v>1330</v>
      </c>
      <c r="D104" s="2575"/>
      <c r="E104" s="2317"/>
      <c r="F104" s="2496"/>
      <c r="G104" s="513"/>
      <c r="H104" s="1613"/>
      <c r="I104" s="764"/>
      <c r="J104" s="684"/>
      <c r="K104" s="1613"/>
      <c r="L104" s="327"/>
      <c r="M104" s="454"/>
      <c r="N104" s="447"/>
      <c r="O104" s="1737"/>
      <c r="P104" s="1737"/>
      <c r="AH104" s="1744">
        <v>0</v>
      </c>
    </row>
    <row s="8113" customFormat="1" customHeight="1" ht="18.75" hidden="1">
      <c r="A105" s="1893" t="s">
        <v>266</v>
      </c>
      <c r="B105" s="1893" t="s">
        <v>267</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Плата за услуги по поддержанию резервной тепловой мощности при отсутствии потребления тепловой энергии </v>
      </c>
      <c r="H105" s="1975"/>
      <c r="I105" s="1852"/>
      <c r="J105" s="1886"/>
      <c r="K105" s="1891"/>
      <c r="L105" s="1975" t="s">
        <v>461</v>
      </c>
      <c r="M105" s="454"/>
      <c r="N105" s="447"/>
      <c r="O105" s="1737"/>
      <c r="P105" s="1737"/>
      <c r="AH105" s="1744">
        <v>0</v>
      </c>
    </row>
    <row s="8113" customFormat="1" customHeight="1" ht="18.75" hidden="1">
      <c r="A106" s="1893"/>
      <c r="B106" s="1893"/>
      <c r="C106" s="482" t="s">
        <v>1323</v>
      </c>
      <c r="D106" s="2575"/>
      <c r="E106" s="2317"/>
      <c r="F106" s="2496"/>
      <c r="G106" s="2540"/>
      <c r="H106" s="1613"/>
      <c r="I106" s="764" t="s">
        <v>1322</v>
      </c>
      <c r="J106" s="684"/>
      <c r="K106" s="1613"/>
      <c r="L106" s="327"/>
      <c r="M106" s="454"/>
      <c r="N106" s="447"/>
      <c r="O106" s="1737"/>
      <c r="P106" s="1737"/>
      <c r="AH106" s="1744">
        <v>0</v>
      </c>
    </row>
    <row s="8113" customFormat="1" customHeight="1" ht="0.75" hidden="1">
      <c r="A107" s="1893"/>
      <c r="B107" s="1893"/>
      <c r="C107" s="482" t="s">
        <v>1330</v>
      </c>
      <c r="D107" s="2575"/>
      <c r="E107" s="2317"/>
      <c r="F107" s="2496"/>
      <c r="G107" s="513"/>
      <c r="H107" s="1613"/>
      <c r="I107" s="764"/>
      <c r="J107" s="684"/>
      <c r="K107" s="1613"/>
      <c r="L107" s="327"/>
      <c r="M107" s="454"/>
      <c r="N107" s="447"/>
      <c r="O107" s="1737"/>
      <c r="P107" s="1737"/>
      <c r="AH107" s="1744">
        <v>0</v>
      </c>
    </row>
    <row s="8113" customFormat="1" customHeight="1" ht="18.75" hidden="1">
      <c r="A108" s="1893" t="s">
        <v>354</v>
      </c>
      <c r="B108" s="1893" t="s">
        <v>355</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461</v>
      </c>
      <c r="M108" s="454"/>
      <c r="N108" s="447"/>
      <c r="O108" s="1737"/>
      <c r="P108" s="1737"/>
      <c r="AH108" s="1744">
        <v>0</v>
      </c>
    </row>
    <row s="8113" customFormat="1" customHeight="1" ht="18.75" hidden="1">
      <c r="A109" s="1893"/>
      <c r="B109" s="1893"/>
      <c r="C109" s="482" t="s">
        <v>1323</v>
      </c>
      <c r="D109" s="2575"/>
      <c r="E109" s="2317"/>
      <c r="F109" s="2496"/>
      <c r="G109" s="2540"/>
      <c r="H109" s="1613"/>
      <c r="I109" s="764" t="s">
        <v>1322</v>
      </c>
      <c r="J109" s="684"/>
      <c r="K109" s="1613"/>
      <c r="L109" s="327"/>
      <c r="M109" s="454"/>
      <c r="N109" s="447"/>
      <c r="O109" s="1737"/>
      <c r="P109" s="1737"/>
      <c r="AH109" s="1744">
        <v>0</v>
      </c>
    </row>
    <row s="8113" customFormat="1" customHeight="1" ht="0.75" hidden="1">
      <c r="A110" s="1893"/>
      <c r="B110" s="1893"/>
      <c r="C110" s="482" t="s">
        <v>1330</v>
      </c>
      <c r="D110" s="2575"/>
      <c r="E110" s="2317"/>
      <c r="F110" s="2496"/>
      <c r="G110" s="513"/>
      <c r="H110" s="1613"/>
      <c r="I110" s="764"/>
      <c r="J110" s="684"/>
      <c r="K110" s="1613"/>
      <c r="L110" s="327"/>
      <c r="M110" s="454"/>
      <c r="N110" s="447"/>
      <c r="O110" s="1737"/>
      <c r="P110" s="1737"/>
      <c r="AH110" s="1744">
        <v>0</v>
      </c>
    </row>
    <row s="8113" customFormat="1" customHeight="1" ht="18.75" hidden="1">
      <c r="A111" s="1893" t="s">
        <v>360</v>
      </c>
      <c r="B111" s="1893" t="s">
        <v>361</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461</v>
      </c>
      <c r="M111" s="454"/>
      <c r="N111" s="447"/>
      <c r="O111" s="1737"/>
      <c r="P111" s="1737"/>
      <c r="AH111" s="1744">
        <v>0</v>
      </c>
    </row>
    <row s="8113" customFormat="1" customHeight="1" ht="18.75" hidden="1">
      <c r="A112" s="1893"/>
      <c r="B112" s="1893"/>
      <c r="C112" s="482" t="s">
        <v>1323</v>
      </c>
      <c r="D112" s="2575"/>
      <c r="E112" s="2317"/>
      <c r="F112" s="2496"/>
      <c r="G112" s="2540"/>
      <c r="H112" s="1613"/>
      <c r="I112" s="764" t="s">
        <v>1322</v>
      </c>
      <c r="J112" s="684"/>
      <c r="K112" s="1613"/>
      <c r="L112" s="327"/>
      <c r="M112" s="454"/>
      <c r="N112" s="447"/>
      <c r="O112" s="1737"/>
      <c r="P112" s="1737"/>
      <c r="AH112" s="1744">
        <v>0</v>
      </c>
    </row>
    <row s="8113" customFormat="1" customHeight="1" ht="0.75" hidden="1">
      <c r="A113" s="1893"/>
      <c r="B113" s="1893"/>
      <c r="C113" s="482" t="s">
        <v>1330</v>
      </c>
      <c r="D113" s="2575"/>
      <c r="E113" s="2317"/>
      <c r="F113" s="2496"/>
      <c r="G113" s="513"/>
      <c r="H113" s="1613"/>
      <c r="I113" s="764"/>
      <c r="J113" s="684"/>
      <c r="K113" s="1613"/>
      <c r="L113" s="327"/>
      <c r="M113" s="454"/>
      <c r="N113" s="447"/>
      <c r="O113" s="1737"/>
      <c r="P113" s="1737"/>
      <c r="AH113" s="1744">
        <v>0</v>
      </c>
    </row>
    <row s="8113" customFormat="1" customHeight="1" ht="18.75" hidden="1">
      <c r="A114" s="1893" t="s">
        <v>380</v>
      </c>
      <c r="B114" s="1893" t="s">
        <v>381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461</v>
      </c>
      <c r="M114" s="454"/>
      <c r="N114" s="447"/>
      <c r="O114" s="1737"/>
      <c r="P114" s="1737"/>
      <c r="AH114" s="1744">
        <v>0</v>
      </c>
    </row>
    <row s="8113" customFormat="1" customHeight="1" ht="18.75" hidden="1">
      <c r="A115" s="1893"/>
      <c r="B115" s="1893"/>
      <c r="C115" s="482" t="s">
        <v>1323</v>
      </c>
      <c r="D115" s="2575"/>
      <c r="E115" s="2317"/>
      <c r="F115" s="2496"/>
      <c r="G115" s="2540"/>
      <c r="H115" s="1613"/>
      <c r="I115" s="764" t="s">
        <v>1322</v>
      </c>
      <c r="J115" s="684"/>
      <c r="K115" s="1613"/>
      <c r="L115" s="327"/>
      <c r="M115" s="454"/>
      <c r="N115" s="447"/>
      <c r="O115" s="1737"/>
      <c r="P115" s="1737"/>
      <c r="AH115" s="1744">
        <v>0</v>
      </c>
    </row>
    <row s="8113" customFormat="1" customHeight="1" ht="0.75" hidden="1">
      <c r="A116" s="1893"/>
      <c r="B116" s="1893"/>
      <c r="C116" s="482" t="s">
        <v>1330</v>
      </c>
      <c r="D116" s="2575"/>
      <c r="E116" s="2317"/>
      <c r="F116" s="2496"/>
      <c r="G116" s="513"/>
      <c r="H116" s="1613"/>
      <c r="I116" s="764"/>
      <c r="J116" s="684"/>
      <c r="K116" s="1613"/>
      <c r="L116" s="327"/>
      <c r="M116" s="454"/>
      <c r="N116" s="447"/>
      <c r="O116" s="1737"/>
      <c r="P116" s="1737"/>
      <c r="AH116" s="1744">
        <v>0</v>
      </c>
    </row>
    <row s="8113" customFormat="1" customHeight="1" ht="18.75" hidden="1">
      <c r="A117" s="1893" t="s">
        <v>385</v>
      </c>
      <c r="B117" s="1893" t="s">
        <v>386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461</v>
      </c>
      <c r="M117" s="454"/>
      <c r="N117" s="447"/>
      <c r="O117" s="1737"/>
      <c r="P117" s="1737"/>
      <c r="AH117" s="1744">
        <v>0</v>
      </c>
    </row>
    <row s="8113" customFormat="1" customHeight="1" ht="18.75" hidden="1">
      <c r="A118" s="1893"/>
      <c r="B118" s="1893"/>
      <c r="C118" s="482" t="s">
        <v>1323</v>
      </c>
      <c r="D118" s="2575"/>
      <c r="E118" s="2317"/>
      <c r="F118" s="2496"/>
      <c r="G118" s="2540"/>
      <c r="H118" s="1613"/>
      <c r="I118" s="764" t="s">
        <v>1322</v>
      </c>
      <c r="J118" s="684"/>
      <c r="K118" s="1613"/>
      <c r="L118" s="327"/>
      <c r="M118" s="454"/>
      <c r="N118" s="447"/>
      <c r="O118" s="1737"/>
      <c r="P118" s="1737"/>
      <c r="AH118" s="1744">
        <v>0</v>
      </c>
    </row>
    <row s="8113" customFormat="1" customHeight="1" ht="0.75" hidden="1">
      <c r="A119" s="1893"/>
      <c r="B119" s="1893"/>
      <c r="C119" s="482" t="s">
        <v>1330</v>
      </c>
      <c r="D119" s="2575"/>
      <c r="E119" s="2317"/>
      <c r="F119" s="2496"/>
      <c r="G119" s="513"/>
      <c r="H119" s="1613"/>
      <c r="I119" s="764"/>
      <c r="J119" s="684"/>
      <c r="K119" s="1613"/>
      <c r="L119" s="327"/>
      <c r="M119" s="454"/>
      <c r="N119" s="447"/>
      <c r="O119" s="1737"/>
      <c r="P119" s="1737"/>
      <c r="AH119" s="1744">
        <v>0</v>
      </c>
    </row>
    <row s="8113" customFormat="1" customHeight="1" ht="18.75" hidden="1">
      <c r="A120" s="1893" t="s">
        <v>390</v>
      </c>
      <c r="B120" s="1893" t="s">
        <v>391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461</v>
      </c>
      <c r="M120" s="454"/>
      <c r="N120" s="447"/>
      <c r="O120" s="1737"/>
      <c r="P120" s="1737"/>
      <c r="AH120" s="1744">
        <v>0</v>
      </c>
    </row>
    <row s="8113" customFormat="1" customHeight="1" ht="18.75" hidden="1">
      <c r="A121" s="1893"/>
      <c r="B121" s="1893"/>
      <c r="C121" s="482" t="s">
        <v>1323</v>
      </c>
      <c r="D121" s="2575"/>
      <c r="E121" s="2317"/>
      <c r="F121" s="2496"/>
      <c r="G121" s="2540"/>
      <c r="H121" s="1613"/>
      <c r="I121" s="764" t="s">
        <v>1322</v>
      </c>
      <c r="J121" s="684"/>
      <c r="K121" s="1613"/>
      <c r="L121" s="327"/>
      <c r="M121" s="454"/>
      <c r="N121" s="447"/>
      <c r="O121" s="1737"/>
      <c r="P121" s="1737"/>
      <c r="AH121" s="1744">
        <v>0</v>
      </c>
    </row>
    <row s="8113" customFormat="1" customHeight="1" ht="0.75" hidden="1">
      <c r="A122" s="1893"/>
      <c r="B122" s="1893"/>
      <c r="C122" s="482" t="s">
        <v>1330</v>
      </c>
      <c r="D122" s="2575"/>
      <c r="E122" s="2317"/>
      <c r="F122" s="2496"/>
      <c r="G122" s="513"/>
      <c r="H122" s="1613"/>
      <c r="I122" s="764"/>
      <c r="J122" s="684"/>
      <c r="K122" s="1613"/>
      <c r="L122" s="327"/>
      <c r="M122" s="454"/>
      <c r="N122" s="447"/>
      <c r="O122" s="1737"/>
      <c r="P122" s="1737"/>
      <c r="AH122" s="1744">
        <v>0</v>
      </c>
    </row>
    <row s="8113" customFormat="1" customHeight="1" ht="18.75" hidden="1">
      <c r="A123" s="1893" t="s">
        <v>395</v>
      </c>
      <c r="B123" s="1893" t="s">
        <v>396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461</v>
      </c>
      <c r="M123" s="454"/>
      <c r="N123" s="447"/>
      <c r="O123" s="1737"/>
      <c r="P123" s="1737"/>
      <c r="AH123" s="1744">
        <v>0</v>
      </c>
    </row>
    <row s="8113" customFormat="1" customHeight="1" ht="18.75" hidden="1">
      <c r="A124" s="1893"/>
      <c r="B124" s="1893"/>
      <c r="C124" s="482" t="s">
        <v>1323</v>
      </c>
      <c r="D124" s="2575"/>
      <c r="E124" s="2317"/>
      <c r="F124" s="2496"/>
      <c r="G124" s="2540"/>
      <c r="H124" s="1613"/>
      <c r="I124" s="764" t="s">
        <v>1322</v>
      </c>
      <c r="J124" s="684"/>
      <c r="K124" s="1613"/>
      <c r="L124" s="327"/>
      <c r="M124" s="454"/>
      <c r="N124" s="447"/>
      <c r="O124" s="1737"/>
      <c r="P124" s="1737"/>
      <c r="AH124" s="1744">
        <v>0</v>
      </c>
    </row>
    <row s="8113" customFormat="1" customHeight="1" ht="0.75" hidden="1">
      <c r="A125" s="1893"/>
      <c r="B125" s="1893"/>
      <c r="C125" s="482" t="s">
        <v>1330</v>
      </c>
      <c r="D125" s="2575"/>
      <c r="E125" s="2317"/>
      <c r="F125" s="2496"/>
      <c r="G125" s="513"/>
      <c r="H125" s="1613"/>
      <c r="I125" s="764"/>
      <c r="J125" s="684"/>
      <c r="K125" s="1613"/>
      <c r="L125" s="327"/>
      <c r="M125" s="454"/>
      <c r="N125" s="447"/>
      <c r="O125" s="1737"/>
      <c r="P125" s="1737"/>
      <c r="AH125" s="1744">
        <v>0</v>
      </c>
    </row>
    <row s="8113" customFormat="1" customHeight="1" ht="18.75" hidden="1">
      <c r="A126" s="1893" t="s">
        <v>400</v>
      </c>
      <c r="B126" s="1893" t="s">
        <v>401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461</v>
      </c>
      <c r="M126" s="454"/>
      <c r="N126" s="447"/>
      <c r="O126" s="1737"/>
      <c r="P126" s="1737"/>
      <c r="AH126" s="1744">
        <v>0</v>
      </c>
    </row>
    <row s="8113" customFormat="1" customHeight="1" ht="18.75" hidden="1">
      <c r="A127" s="1893"/>
      <c r="B127" s="1893"/>
      <c r="C127" s="482" t="s">
        <v>1323</v>
      </c>
      <c r="D127" s="2575"/>
      <c r="E127" s="2317"/>
      <c r="F127" s="2496"/>
      <c r="G127" s="2540"/>
      <c r="H127" s="1613"/>
      <c r="I127" s="764" t="s">
        <v>1322</v>
      </c>
      <c r="J127" s="684"/>
      <c r="K127" s="1613"/>
      <c r="L127" s="327"/>
      <c r="M127" s="454"/>
      <c r="N127" s="447"/>
      <c r="O127" s="1737"/>
      <c r="P127" s="1737"/>
      <c r="AH127" s="1744">
        <v>0</v>
      </c>
    </row>
    <row s="8113" customFormat="1" customHeight="1" ht="0.75" hidden="1">
      <c r="A128" s="1893"/>
      <c r="B128" s="1893"/>
      <c r="C128" s="482" t="s">
        <v>1330</v>
      </c>
      <c r="D128" s="2575"/>
      <c r="E128" s="2317"/>
      <c r="F128" s="2496"/>
      <c r="G128" s="513"/>
      <c r="H128" s="1613"/>
      <c r="I128" s="764"/>
      <c r="J128" s="684"/>
      <c r="K128" s="1613"/>
      <c r="L128" s="327"/>
      <c r="M128" s="454"/>
      <c r="N128" s="447"/>
      <c r="O128" s="1737"/>
      <c r="P128" s="1737"/>
      <c r="AH128" s="1744">
        <v>0</v>
      </c>
    </row>
    <row s="8113" customFormat="1" customHeight="1" ht="18.75" hidden="1">
      <c r="A129" s="1893" t="s">
        <v>405</v>
      </c>
      <c r="B129" s="1893" t="s">
        <v>406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461</v>
      </c>
      <c r="M129" s="454"/>
      <c r="N129" s="447"/>
      <c r="O129" s="1737"/>
      <c r="P129" s="1737"/>
      <c r="AH129" s="1744">
        <v>0</v>
      </c>
    </row>
    <row s="8113" customFormat="1" customHeight="1" ht="18.75" hidden="1">
      <c r="A130" s="1893"/>
      <c r="B130" s="1893"/>
      <c r="C130" s="482" t="s">
        <v>1323</v>
      </c>
      <c r="D130" s="2575"/>
      <c r="E130" s="2317"/>
      <c r="F130" s="2496"/>
      <c r="G130" s="2540"/>
      <c r="H130" s="1613"/>
      <c r="I130" s="764" t="s">
        <v>1322</v>
      </c>
      <c r="J130" s="684"/>
      <c r="K130" s="1613"/>
      <c r="L130" s="327"/>
      <c r="M130" s="454"/>
      <c r="N130" s="447"/>
      <c r="O130" s="1737"/>
      <c r="P130" s="1737"/>
      <c r="AH130" s="1744">
        <v>0</v>
      </c>
    </row>
    <row s="8113" customFormat="1" customHeight="1" ht="0.75" hidden="1">
      <c r="A131" s="1893"/>
      <c r="B131" s="1893"/>
      <c r="C131" s="482" t="s">
        <v>1330</v>
      </c>
      <c r="D131" s="2575"/>
      <c r="E131" s="2317"/>
      <c r="F131" s="2496"/>
      <c r="G131" s="513"/>
      <c r="H131" s="1613"/>
      <c r="I131" s="764"/>
      <c r="J131" s="684"/>
      <c r="K131" s="1613"/>
      <c r="L131" s="327"/>
      <c r="M131" s="454"/>
      <c r="N131" s="447"/>
      <c r="O131" s="1737"/>
      <c r="P131" s="1737"/>
      <c r="AH131" s="1744">
        <v>0</v>
      </c>
    </row>
    <row s="8113" customFormat="1" customHeight="1" ht="18.75" hidden="1">
      <c r="A132" s="1893" t="s">
        <v>410</v>
      </c>
      <c r="B132" s="1893" t="s">
        <v>411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461</v>
      </c>
      <c r="M132" s="454"/>
      <c r="N132" s="447"/>
      <c r="O132" s="1737"/>
      <c r="P132" s="1737"/>
      <c r="AH132" s="1744">
        <v>0</v>
      </c>
    </row>
    <row s="8113" customFormat="1" customHeight="1" ht="18.75" hidden="1">
      <c r="A133" s="1893"/>
      <c r="B133" s="1893"/>
      <c r="C133" s="482" t="s">
        <v>1323</v>
      </c>
      <c r="D133" s="2575"/>
      <c r="E133" s="2317"/>
      <c r="F133" s="2496"/>
      <c r="G133" s="2540"/>
      <c r="H133" s="1613"/>
      <c r="I133" s="764" t="s">
        <v>1322</v>
      </c>
      <c r="J133" s="684"/>
      <c r="K133" s="1613"/>
      <c r="L133" s="327"/>
      <c r="M133" s="454"/>
      <c r="N133" s="447"/>
      <c r="O133" s="1737"/>
      <c r="P133" s="1737"/>
      <c r="AH133" s="1744">
        <v>0</v>
      </c>
    </row>
    <row s="8113" customFormat="1" customHeight="1" ht="0.75" hidden="1">
      <c r="A134" s="1893"/>
      <c r="B134" s="1893"/>
      <c r="C134" s="482" t="s">
        <v>1330</v>
      </c>
      <c r="D134" s="2575"/>
      <c r="E134" s="2317"/>
      <c r="F134" s="2496"/>
      <c r="G134" s="513"/>
      <c r="H134" s="1613"/>
      <c r="I134" s="764"/>
      <c r="J134" s="684"/>
      <c r="K134" s="1613"/>
      <c r="L134" s="327"/>
      <c r="M134" s="454"/>
      <c r="N134" s="447"/>
      <c r="O134" s="1737"/>
      <c r="P134" s="1737"/>
      <c r="AH134" s="1744">
        <v>0</v>
      </c>
    </row>
    <row s="8113" customFormat="1" customHeight="1" ht="18.75" hidden="1">
      <c r="A135" s="1893" t="s">
        <v>415</v>
      </c>
      <c r="B135" s="1893" t="s">
        <v>416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461</v>
      </c>
      <c r="M135" s="454"/>
      <c r="N135" s="447"/>
      <c r="O135" s="1737"/>
      <c r="P135" s="1737"/>
      <c r="AH135" s="1744">
        <v>0</v>
      </c>
    </row>
    <row s="8113" customFormat="1" customHeight="1" ht="18.75" hidden="1">
      <c r="A136" s="1893"/>
      <c r="B136" s="1893"/>
      <c r="C136" s="482" t="s">
        <v>1323</v>
      </c>
      <c r="D136" s="2575"/>
      <c r="E136" s="2317"/>
      <c r="F136" s="2496"/>
      <c r="G136" s="2540"/>
      <c r="H136" s="1613"/>
      <c r="I136" s="764" t="s">
        <v>1322</v>
      </c>
      <c r="J136" s="684"/>
      <c r="K136" s="1613"/>
      <c r="L136" s="327"/>
      <c r="M136" s="454"/>
      <c r="N136" s="447"/>
      <c r="O136" s="1737"/>
      <c r="P136" s="1737"/>
      <c r="AH136" s="1744">
        <v>0</v>
      </c>
    </row>
    <row s="8113" customFormat="1" customHeight="1" ht="0.75" hidden="1">
      <c r="A137" s="1893"/>
      <c r="B137" s="1893"/>
      <c r="C137" s="482" t="s">
        <v>1330</v>
      </c>
      <c r="D137" s="2575"/>
      <c r="E137" s="2317"/>
      <c r="F137" s="2496"/>
      <c r="G137" s="513"/>
      <c r="H137" s="1613"/>
      <c r="I137" s="764"/>
      <c r="J137" s="684"/>
      <c r="K137" s="1613"/>
      <c r="L137" s="327"/>
      <c r="M137" s="454"/>
      <c r="N137" s="447"/>
      <c r="O137" s="1737"/>
      <c r="P137" s="1737"/>
      <c r="AH137" s="1744">
        <v>0</v>
      </c>
    </row>
    <row s="8113" customFormat="1" customHeight="1" ht="18.75" hidden="1">
      <c r="A138" s="1893" t="s">
        <v>420</v>
      </c>
      <c r="B138" s="1893" t="s">
        <v>421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461</v>
      </c>
      <c r="M138" s="454"/>
      <c r="N138" s="447"/>
      <c r="O138" s="1737"/>
      <c r="P138" s="1737"/>
      <c r="AH138" s="1744">
        <v>0</v>
      </c>
    </row>
    <row s="8113" customFormat="1" customHeight="1" ht="18.75" hidden="1">
      <c r="A139" s="1893"/>
      <c r="B139" s="1893"/>
      <c r="C139" s="482" t="s">
        <v>1323</v>
      </c>
      <c r="D139" s="2575"/>
      <c r="E139" s="2317"/>
      <c r="F139" s="2496"/>
      <c r="G139" s="2540"/>
      <c r="H139" s="1613"/>
      <c r="I139" s="764" t="s">
        <v>1322</v>
      </c>
      <c r="J139" s="684"/>
      <c r="K139" s="1613"/>
      <c r="L139" s="327"/>
      <c r="M139" s="454"/>
      <c r="N139" s="447"/>
      <c r="O139" s="1737"/>
      <c r="P139" s="1737"/>
      <c r="AH139" s="1744">
        <v>0</v>
      </c>
    </row>
    <row s="8113" customFormat="1" customHeight="1" ht="0.75" hidden="1">
      <c r="A140" s="1893"/>
      <c r="B140" s="1893"/>
      <c r="C140" s="482" t="s">
        <v>1330</v>
      </c>
      <c r="D140" s="2575"/>
      <c r="E140" s="2317"/>
      <c r="F140" s="2496"/>
      <c r="G140" s="513"/>
      <c r="H140" s="1613"/>
      <c r="I140" s="764"/>
      <c r="J140" s="684"/>
      <c r="K140" s="1613"/>
      <c r="L140" s="327"/>
      <c r="M140" s="454"/>
      <c r="N140" s="447"/>
      <c r="O140" s="1737"/>
      <c r="P140" s="1737"/>
      <c r="AH140" s="1744">
        <v>0</v>
      </c>
    </row>
    <row s="8113" customFormat="1" customHeight="1" ht="18.75" hidden="1">
      <c r="A141" s="1893" t="s">
        <v>425</v>
      </c>
      <c r="B141" s="1893" t="s">
        <v>426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461</v>
      </c>
      <c r="M141" s="454"/>
      <c r="N141" s="447"/>
      <c r="O141" s="1737"/>
      <c r="P141" s="1737"/>
      <c r="AH141" s="1744">
        <v>0</v>
      </c>
    </row>
    <row s="8113" customFormat="1" customHeight="1" ht="18.75" hidden="1">
      <c r="A142" s="1893"/>
      <c r="B142" s="1893"/>
      <c r="C142" s="482" t="s">
        <v>1323</v>
      </c>
      <c r="D142" s="2575"/>
      <c r="E142" s="2317"/>
      <c r="F142" s="2496"/>
      <c r="G142" s="2540"/>
      <c r="H142" s="1613"/>
      <c r="I142" s="764" t="s">
        <v>1322</v>
      </c>
      <c r="J142" s="684"/>
      <c r="K142" s="1613"/>
      <c r="L142" s="327"/>
      <c r="M142" s="454"/>
      <c r="N142" s="447"/>
      <c r="O142" s="1737"/>
      <c r="P142" s="1737"/>
      <c r="AH142" s="1744">
        <v>0</v>
      </c>
    </row>
    <row s="8113" customFormat="1" customHeight="1" ht="0.75" hidden="1">
      <c r="A143" s="1893"/>
      <c r="B143" s="1893"/>
      <c r="C143" s="482" t="s">
        <v>1330</v>
      </c>
      <c r="D143" s="2575"/>
      <c r="E143" s="2317"/>
      <c r="F143" s="2496"/>
      <c r="G143" s="513"/>
      <c r="H143" s="1613"/>
      <c r="I143" s="764"/>
      <c r="J143" s="684"/>
      <c r="K143" s="1613"/>
      <c r="L143" s="327"/>
      <c r="M143" s="454"/>
      <c r="N143" s="447"/>
      <c r="O143" s="1737"/>
      <c r="P143" s="1737"/>
      <c r="AH143" s="1744">
        <v>0</v>
      </c>
    </row>
    <row s="8113" customFormat="1" customHeight="1" ht="18.75" hidden="1">
      <c r="A144" s="1893" t="s">
        <v>430</v>
      </c>
      <c r="B144" s="1893" t="s">
        <v>431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461</v>
      </c>
      <c r="M144" s="454"/>
      <c r="N144" s="447"/>
      <c r="O144" s="1737"/>
      <c r="P144" s="1737"/>
      <c r="AH144" s="1744">
        <v>0</v>
      </c>
    </row>
    <row s="8113" customFormat="1" customHeight="1" ht="18.75" hidden="1">
      <c r="A145" s="1893"/>
      <c r="B145" s="1893"/>
      <c r="C145" s="482" t="s">
        <v>1323</v>
      </c>
      <c r="D145" s="2575"/>
      <c r="E145" s="2317"/>
      <c r="F145" s="2496"/>
      <c r="G145" s="2540"/>
      <c r="H145" s="1613"/>
      <c r="I145" s="764" t="s">
        <v>1322</v>
      </c>
      <c r="J145" s="684"/>
      <c r="K145" s="1613"/>
      <c r="L145" s="327"/>
      <c r="M145" s="454"/>
      <c r="N145" s="447"/>
      <c r="O145" s="1737"/>
      <c r="P145" s="1737"/>
      <c r="AH145" s="1744">
        <v>0</v>
      </c>
    </row>
    <row s="8113" customFormat="1" customHeight="1" ht="1.05">
      <c r="A146" s="1893"/>
      <c r="B146" s="1893"/>
      <c r="C146" s="482" t="s">
        <v>1330</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8113" customFormat="1" customHeight="1" ht="60.75" hidden="1">
      <c r="A148" s="1893" t="s">
        <v>226</v>
      </c>
      <c r="B148" s="1893" t="s">
        <v>227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461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8113" customFormat="1" customHeight="1" ht="18.75" hidden="1">
      <c r="A149" s="1893"/>
      <c r="B149" s="1893"/>
      <c r="C149" s="482" t="s">
        <v>1323</v>
      </c>
      <c r="D149" s="2575"/>
      <c r="E149" s="2317"/>
      <c r="F149" s="2496"/>
      <c r="G149" s="2540"/>
      <c r="H149" s="1613"/>
      <c r="I149" s="764" t="s">
        <v>1322</v>
      </c>
      <c r="J149" s="684"/>
      <c r="K149" s="1613"/>
      <c r="L149" s="327"/>
      <c r="M149" s="2283"/>
      <c r="N149" s="447"/>
      <c r="O149" s="1737"/>
      <c r="P149" s="1737"/>
      <c r="AH149" s="1744">
        <v>0</v>
      </c>
    </row>
    <row s="8113" customFormat="1" customHeight="1" ht="0.75" hidden="1">
      <c r="A150" s="1893"/>
      <c r="B150" s="1893"/>
      <c r="C150" s="482" t="s">
        <v>1330</v>
      </c>
      <c r="D150" s="2575"/>
      <c r="E150" s="2317"/>
      <c r="F150" s="2496"/>
      <c r="G150" s="513"/>
      <c r="H150" s="1613"/>
      <c r="I150" s="764"/>
      <c r="J150" s="684"/>
      <c r="K150" s="1613"/>
      <c r="L150" s="327"/>
      <c r="M150" s="2283"/>
      <c r="N150" s="447"/>
      <c r="O150" s="1737"/>
      <c r="P150" s="1737"/>
      <c r="AH150" s="1744">
        <v>0</v>
      </c>
    </row>
    <row s="8113" customFormat="1" customHeight="1" ht="45" hidden="1">
      <c r="A151" s="1893" t="s">
        <v>232</v>
      </c>
      <c r="B151" s="1893" t="s">
        <v>233</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461</v>
      </c>
      <c r="M151" s="2284"/>
      <c r="N151" s="447"/>
      <c r="O151" s="1737"/>
      <c r="P151" s="1737"/>
      <c r="AH151" s="1744">
        <v>0</v>
      </c>
    </row>
    <row s="8113" customFormat="1" customHeight="1" ht="18.75" hidden="1">
      <c r="A152" s="1893"/>
      <c r="B152" s="1893"/>
      <c r="C152" s="482" t="s">
        <v>1323</v>
      </c>
      <c r="D152" s="2575"/>
      <c r="E152" s="2317"/>
      <c r="F152" s="2496"/>
      <c r="G152" s="2540"/>
      <c r="H152" s="1613"/>
      <c r="I152" s="764" t="s">
        <v>1322</v>
      </c>
      <c r="J152" s="684"/>
      <c r="K152" s="1613"/>
      <c r="L152" s="327"/>
      <c r="M152" s="1974"/>
      <c r="N152" s="447"/>
      <c r="O152" s="1737"/>
      <c r="P152" s="1737"/>
      <c r="AH152" s="1744">
        <v>0</v>
      </c>
    </row>
    <row s="8113" customFormat="1" customHeight="1" ht="0.75" hidden="1">
      <c r="A153" s="1893"/>
      <c r="B153" s="1893"/>
      <c r="C153" s="482" t="s">
        <v>1330</v>
      </c>
      <c r="D153" s="2575"/>
      <c r="E153" s="2317"/>
      <c r="F153" s="2496"/>
      <c r="G153" s="513"/>
      <c r="H153" s="1613"/>
      <c r="I153" s="764"/>
      <c r="J153" s="684"/>
      <c r="K153" s="1613"/>
      <c r="L153" s="327"/>
      <c r="M153" s="454"/>
      <c r="N153" s="447"/>
      <c r="O153" s="1737"/>
      <c r="P153" s="1737"/>
      <c r="AH153" s="1744">
        <v>0</v>
      </c>
    </row>
    <row s="8113" customFormat="1" customHeight="1" ht="45" hidden="1">
      <c r="A154" s="1893" t="s">
        <v>238</v>
      </c>
      <c r="B154" s="1893" t="s">
        <v>239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461</v>
      </c>
      <c r="M154" s="454"/>
      <c r="N154" s="447"/>
      <c r="O154" s="1737"/>
      <c r="P154" s="1737"/>
      <c r="AH154" s="1744">
        <v>0</v>
      </c>
    </row>
    <row s="8113" customFormat="1" customHeight="1" ht="18.75" hidden="1">
      <c r="A155" s="1893"/>
      <c r="B155" s="1893"/>
      <c r="C155" s="482" t="s">
        <v>1323</v>
      </c>
      <c r="D155" s="2575"/>
      <c r="E155" s="2317"/>
      <c r="F155" s="2496"/>
      <c r="G155" s="2540"/>
      <c r="H155" s="1613"/>
      <c r="I155" s="764" t="s">
        <v>1322</v>
      </c>
      <c r="J155" s="684"/>
      <c r="K155" s="1613"/>
      <c r="L155" s="327"/>
      <c r="M155" s="454"/>
      <c r="N155" s="447"/>
      <c r="O155" s="1737"/>
      <c r="P155" s="1737"/>
      <c r="AH155" s="1744">
        <v>0</v>
      </c>
    </row>
    <row s="8113" customFormat="1" customHeight="1" ht="0.75" hidden="1">
      <c r="A156" s="1893"/>
      <c r="B156" s="1893"/>
      <c r="C156" s="482" t="s">
        <v>1330</v>
      </c>
      <c r="D156" s="2575"/>
      <c r="E156" s="2317"/>
      <c r="F156" s="2496"/>
      <c r="G156" s="513"/>
      <c r="H156" s="1613"/>
      <c r="I156" s="764"/>
      <c r="J156" s="684"/>
      <c r="K156" s="1613"/>
      <c r="L156" s="327"/>
      <c r="M156" s="454"/>
      <c r="N156" s="447"/>
      <c r="O156" s="1737"/>
      <c r="P156" s="1737"/>
      <c r="AH156" s="1744">
        <v>0</v>
      </c>
    </row>
    <row s="8113" customFormat="1" customHeight="1" ht="45" hidden="1">
      <c r="A157" s="1893" t="s">
        <v>244</v>
      </c>
      <c r="B157" s="1893" t="s">
        <v>245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461</v>
      </c>
      <c r="M157" s="454"/>
      <c r="N157" s="447"/>
      <c r="O157" s="1737"/>
      <c r="P157" s="1737"/>
      <c r="AH157" s="1744">
        <v>0</v>
      </c>
    </row>
    <row s="8113" customFormat="1" customHeight="1" ht="18.75" hidden="1">
      <c r="A158" s="1893"/>
      <c r="B158" s="1893"/>
      <c r="C158" s="482" t="s">
        <v>1323</v>
      </c>
      <c r="D158" s="2575"/>
      <c r="E158" s="2317"/>
      <c r="F158" s="2496"/>
      <c r="G158" s="2540"/>
      <c r="H158" s="1613"/>
      <c r="I158" s="764" t="s">
        <v>1322</v>
      </c>
      <c r="J158" s="684"/>
      <c r="K158" s="1613"/>
      <c r="L158" s="327"/>
      <c r="M158" s="454"/>
      <c r="N158" s="447"/>
      <c r="O158" s="1737"/>
      <c r="P158" s="1737"/>
      <c r="AH158" s="1744">
        <v>0</v>
      </c>
    </row>
    <row s="8113" customFormat="1" customHeight="1" ht="0.75" hidden="1">
      <c r="A159" s="1893"/>
      <c r="B159" s="1893"/>
      <c r="C159" s="482" t="s">
        <v>1330</v>
      </c>
      <c r="D159" s="2575"/>
      <c r="E159" s="2317"/>
      <c r="F159" s="2496"/>
      <c r="G159" s="513"/>
      <c r="H159" s="1613"/>
      <c r="I159" s="764"/>
      <c r="J159" s="684"/>
      <c r="K159" s="1613"/>
      <c r="L159" s="327"/>
      <c r="M159" s="454"/>
      <c r="N159" s="447"/>
      <c r="O159" s="1737"/>
      <c r="P159" s="1737"/>
      <c r="AH159" s="1744">
        <v>0</v>
      </c>
    </row>
    <row s="8113" customFormat="1" customHeight="1" ht="18.75" hidden="1">
      <c r="A160" s="1893" t="s">
        <v>250</v>
      </c>
      <c r="B160" s="1893" t="s">
        <v>251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461</v>
      </c>
      <c r="M160" s="454"/>
      <c r="N160" s="447"/>
      <c r="O160" s="1737"/>
      <c r="P160" s="1737"/>
      <c r="AH160" s="1744">
        <v>0</v>
      </c>
    </row>
    <row s="8113" customFormat="1" customHeight="1" ht="18.75" hidden="1">
      <c r="A161" s="1893"/>
      <c r="B161" s="1893"/>
      <c r="C161" s="482" t="s">
        <v>1323</v>
      </c>
      <c r="D161" s="2575"/>
      <c r="E161" s="2317"/>
      <c r="F161" s="2496"/>
      <c r="G161" s="2540"/>
      <c r="H161" s="1613"/>
      <c r="I161" s="764" t="s">
        <v>1322</v>
      </c>
      <c r="J161" s="684"/>
      <c r="K161" s="1613"/>
      <c r="L161" s="327"/>
      <c r="M161" s="454"/>
      <c r="N161" s="447"/>
      <c r="O161" s="1737"/>
      <c r="P161" s="1737"/>
      <c r="AH161" s="1744">
        <v>0</v>
      </c>
    </row>
    <row s="8113" customFormat="1" customHeight="1" ht="0.75" hidden="1">
      <c r="A162" s="1893"/>
      <c r="B162" s="1893"/>
      <c r="C162" s="482" t="s">
        <v>1330</v>
      </c>
      <c r="D162" s="2575"/>
      <c r="E162" s="2317"/>
      <c r="F162" s="2496"/>
      <c r="G162" s="513"/>
      <c r="H162" s="1613"/>
      <c r="I162" s="764"/>
      <c r="J162" s="684"/>
      <c r="K162" s="1613"/>
      <c r="L162" s="327"/>
      <c r="M162" s="454"/>
      <c r="N162" s="447"/>
      <c r="O162" s="1737"/>
      <c r="P162" s="1737"/>
      <c r="AH162" s="1744">
        <v>0</v>
      </c>
    </row>
    <row s="8113" customFormat="1" customHeight="1" ht="18.75" hidden="1">
      <c r="A163" s="1893" t="s">
        <v>256</v>
      </c>
      <c r="B163" s="1893" t="s">
        <v>257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461</v>
      </c>
      <c r="M163" s="454"/>
      <c r="N163" s="447"/>
      <c r="O163" s="1737"/>
      <c r="P163" s="1737"/>
      <c r="AH163" s="1744">
        <v>0</v>
      </c>
    </row>
    <row s="8113" customFormat="1" customHeight="1" ht="18.75" hidden="1">
      <c r="A164" s="1893"/>
      <c r="B164" s="1893"/>
      <c r="C164" s="482" t="s">
        <v>1323</v>
      </c>
      <c r="D164" s="2575"/>
      <c r="E164" s="2317"/>
      <c r="F164" s="2496"/>
      <c r="G164" s="2540"/>
      <c r="H164" s="1613"/>
      <c r="I164" s="764" t="s">
        <v>1322</v>
      </c>
      <c r="J164" s="684"/>
      <c r="K164" s="1613"/>
      <c r="L164" s="327"/>
      <c r="M164" s="454"/>
      <c r="N164" s="447"/>
      <c r="O164" s="1737"/>
      <c r="P164" s="1737"/>
      <c r="AH164" s="1744">
        <v>0</v>
      </c>
    </row>
    <row s="8113" customFormat="1" customHeight="1" ht="0.75" hidden="1">
      <c r="A165" s="1893"/>
      <c r="B165" s="1893"/>
      <c r="C165" s="482" t="s">
        <v>1330</v>
      </c>
      <c r="D165" s="2575"/>
      <c r="E165" s="2317"/>
      <c r="F165" s="2496"/>
      <c r="G165" s="513"/>
      <c r="H165" s="1613"/>
      <c r="I165" s="764"/>
      <c r="J165" s="684"/>
      <c r="K165" s="1613"/>
      <c r="L165" s="327"/>
      <c r="M165" s="454"/>
      <c r="N165" s="447"/>
      <c r="O165" s="1737"/>
      <c r="P165" s="1737"/>
      <c r="AH165" s="1744">
        <v>0</v>
      </c>
    </row>
    <row s="8113" customFormat="1" customHeight="1" ht="18.75" hidden="1">
      <c r="A166" s="1893" t="s">
        <v>266</v>
      </c>
      <c r="B166" s="1893" t="s">
        <v>267</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Плата за услуги по поддержанию резервной тепловой мощности при отсутствии потребления тепловой энергии </v>
      </c>
      <c r="H166" s="1975"/>
      <c r="I166" s="1852"/>
      <c r="J166" s="1886"/>
      <c r="K166" s="1891"/>
      <c r="L166" s="1975" t="s">
        <v>461</v>
      </c>
      <c r="M166" s="454"/>
      <c r="N166" s="447"/>
      <c r="O166" s="1737"/>
      <c r="P166" s="1737"/>
      <c r="AH166" s="1744">
        <v>0</v>
      </c>
    </row>
    <row s="8113" customFormat="1" customHeight="1" ht="18.75" hidden="1">
      <c r="A167" s="1893"/>
      <c r="B167" s="1893"/>
      <c r="C167" s="482" t="s">
        <v>1323</v>
      </c>
      <c r="D167" s="2575"/>
      <c r="E167" s="2317"/>
      <c r="F167" s="2496"/>
      <c r="G167" s="2540"/>
      <c r="H167" s="1613"/>
      <c r="I167" s="764" t="s">
        <v>1322</v>
      </c>
      <c r="J167" s="684"/>
      <c r="K167" s="1613"/>
      <c r="L167" s="327"/>
      <c r="M167" s="454"/>
      <c r="N167" s="447"/>
      <c r="O167" s="1737"/>
      <c r="P167" s="1737"/>
      <c r="AH167" s="1744">
        <v>0</v>
      </c>
    </row>
    <row s="8113" customFormat="1" customHeight="1" ht="0.75" hidden="1">
      <c r="A168" s="1893"/>
      <c r="B168" s="1893"/>
      <c r="C168" s="482" t="s">
        <v>1330</v>
      </c>
      <c r="D168" s="2575"/>
      <c r="E168" s="2317"/>
      <c r="F168" s="2496"/>
      <c r="G168" s="513"/>
      <c r="H168" s="1613"/>
      <c r="I168" s="764"/>
      <c r="J168" s="684"/>
      <c r="K168" s="1613"/>
      <c r="L168" s="327"/>
      <c r="M168" s="454"/>
      <c r="N168" s="447"/>
      <c r="O168" s="1737"/>
      <c r="P168" s="1737"/>
      <c r="AH168" s="1744">
        <v>0</v>
      </c>
    </row>
    <row s="8113" customFormat="1" customHeight="1" ht="18.75" hidden="1">
      <c r="A169" s="1893" t="s">
        <v>354</v>
      </c>
      <c r="B169" s="1893" t="s">
        <v>355</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461</v>
      </c>
      <c r="M169" s="454"/>
      <c r="N169" s="447"/>
      <c r="O169" s="1737"/>
      <c r="P169" s="1737"/>
      <c r="AH169" s="1744">
        <v>0</v>
      </c>
    </row>
    <row s="8113" customFormat="1" customHeight="1" ht="18.75" hidden="1">
      <c r="A170" s="1893"/>
      <c r="B170" s="1893"/>
      <c r="C170" s="482" t="s">
        <v>1323</v>
      </c>
      <c r="D170" s="2575"/>
      <c r="E170" s="2317"/>
      <c r="F170" s="2496"/>
      <c r="G170" s="2540"/>
      <c r="H170" s="1613"/>
      <c r="I170" s="764" t="s">
        <v>1322</v>
      </c>
      <c r="J170" s="684"/>
      <c r="K170" s="1613"/>
      <c r="L170" s="327"/>
      <c r="M170" s="454"/>
      <c r="N170" s="447"/>
      <c r="O170" s="1737"/>
      <c r="P170" s="1737"/>
      <c r="AH170" s="1744">
        <v>0</v>
      </c>
    </row>
    <row s="8113" customFormat="1" customHeight="1" ht="0.75" hidden="1">
      <c r="A171" s="1893"/>
      <c r="B171" s="1893"/>
      <c r="C171" s="482" t="s">
        <v>1330</v>
      </c>
      <c r="D171" s="2575"/>
      <c r="E171" s="2317"/>
      <c r="F171" s="2496"/>
      <c r="G171" s="513"/>
      <c r="H171" s="1613"/>
      <c r="I171" s="764"/>
      <c r="J171" s="684"/>
      <c r="K171" s="1613"/>
      <c r="L171" s="327"/>
      <c r="M171" s="454"/>
      <c r="N171" s="447"/>
      <c r="O171" s="1737"/>
      <c r="P171" s="1737"/>
      <c r="AH171" s="1744">
        <v>0</v>
      </c>
    </row>
    <row s="8113" customFormat="1" customHeight="1" ht="18.75" hidden="1">
      <c r="A172" s="1893" t="s">
        <v>360</v>
      </c>
      <c r="B172" s="1893" t="s">
        <v>361</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461</v>
      </c>
      <c r="M172" s="454"/>
      <c r="N172" s="447"/>
      <c r="O172" s="1737"/>
      <c r="P172" s="1737"/>
      <c r="AH172" s="1744">
        <v>0</v>
      </c>
    </row>
    <row s="8113" customFormat="1" customHeight="1" ht="18.75" hidden="1">
      <c r="A173" s="1893"/>
      <c r="B173" s="1893"/>
      <c r="C173" s="482" t="s">
        <v>1323</v>
      </c>
      <c r="D173" s="2575"/>
      <c r="E173" s="2317"/>
      <c r="F173" s="2496"/>
      <c r="G173" s="2540"/>
      <c r="H173" s="1613"/>
      <c r="I173" s="764" t="s">
        <v>1322</v>
      </c>
      <c r="J173" s="684"/>
      <c r="K173" s="1613"/>
      <c r="L173" s="327"/>
      <c r="M173" s="454"/>
      <c r="N173" s="447"/>
      <c r="O173" s="1737"/>
      <c r="P173" s="1737"/>
      <c r="AH173" s="1744">
        <v>0</v>
      </c>
    </row>
    <row s="8113" customFormat="1" customHeight="1" ht="0.75" hidden="1">
      <c r="A174" s="1893"/>
      <c r="B174" s="1893"/>
      <c r="C174" s="482" t="s">
        <v>1330</v>
      </c>
      <c r="D174" s="2575"/>
      <c r="E174" s="2317"/>
      <c r="F174" s="2496"/>
      <c r="G174" s="513"/>
      <c r="H174" s="1613"/>
      <c r="I174" s="764"/>
      <c r="J174" s="684"/>
      <c r="K174" s="1613"/>
      <c r="L174" s="327"/>
      <c r="M174" s="454"/>
      <c r="N174" s="447"/>
      <c r="O174" s="1737"/>
      <c r="P174" s="1737"/>
      <c r="AH174" s="1744">
        <v>0</v>
      </c>
    </row>
    <row s="8113" customFormat="1" customHeight="1" ht="18.75" hidden="1">
      <c r="A175" s="1893" t="s">
        <v>380</v>
      </c>
      <c r="B175" s="1893" t="s">
        <v>381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461</v>
      </c>
      <c r="M175" s="454"/>
      <c r="N175" s="447"/>
      <c r="O175" s="1737"/>
      <c r="P175" s="1737"/>
      <c r="AH175" s="1744">
        <v>0</v>
      </c>
    </row>
    <row s="8113" customFormat="1" customHeight="1" ht="18.75" hidden="1">
      <c r="A176" s="1893"/>
      <c r="B176" s="1893"/>
      <c r="C176" s="482" t="s">
        <v>1323</v>
      </c>
      <c r="D176" s="2575"/>
      <c r="E176" s="2317"/>
      <c r="F176" s="2496"/>
      <c r="G176" s="2540"/>
      <c r="H176" s="1613"/>
      <c r="I176" s="764" t="s">
        <v>1322</v>
      </c>
      <c r="J176" s="684"/>
      <c r="K176" s="1613"/>
      <c r="L176" s="327"/>
      <c r="M176" s="454"/>
      <c r="N176" s="447"/>
      <c r="O176" s="1737"/>
      <c r="P176" s="1737"/>
      <c r="AH176" s="1744">
        <v>0</v>
      </c>
    </row>
    <row s="8113" customFormat="1" customHeight="1" ht="0.75" hidden="1">
      <c r="A177" s="1893"/>
      <c r="B177" s="1893"/>
      <c r="C177" s="482" t="s">
        <v>1330</v>
      </c>
      <c r="D177" s="2575"/>
      <c r="E177" s="2317"/>
      <c r="F177" s="2496"/>
      <c r="G177" s="513"/>
      <c r="H177" s="1613"/>
      <c r="I177" s="764"/>
      <c r="J177" s="684"/>
      <c r="K177" s="1613"/>
      <c r="L177" s="327"/>
      <c r="M177" s="454"/>
      <c r="N177" s="447"/>
      <c r="O177" s="1737"/>
      <c r="P177" s="1737"/>
      <c r="AH177" s="1744">
        <v>0</v>
      </c>
    </row>
    <row s="8113" customFormat="1" customHeight="1" ht="18.75" hidden="1">
      <c r="A178" s="1893" t="s">
        <v>385</v>
      </c>
      <c r="B178" s="1893" t="s">
        <v>386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461</v>
      </c>
      <c r="M178" s="454"/>
      <c r="N178" s="447"/>
      <c r="O178" s="1737"/>
      <c r="P178" s="1737"/>
      <c r="AH178" s="1744">
        <v>0</v>
      </c>
    </row>
    <row s="8113" customFormat="1" customHeight="1" ht="18.75" hidden="1">
      <c r="A179" s="1893"/>
      <c r="B179" s="1893"/>
      <c r="C179" s="482" t="s">
        <v>1323</v>
      </c>
      <c r="D179" s="2575"/>
      <c r="E179" s="2317"/>
      <c r="F179" s="2496"/>
      <c r="G179" s="2540"/>
      <c r="H179" s="1613"/>
      <c r="I179" s="764" t="s">
        <v>1322</v>
      </c>
      <c r="J179" s="684"/>
      <c r="K179" s="1613"/>
      <c r="L179" s="327"/>
      <c r="M179" s="454"/>
      <c r="N179" s="447"/>
      <c r="O179" s="1737"/>
      <c r="P179" s="1737"/>
      <c r="AH179" s="1744">
        <v>0</v>
      </c>
    </row>
    <row s="8113" customFormat="1" customHeight="1" ht="0.75" hidden="1">
      <c r="A180" s="1893"/>
      <c r="B180" s="1893"/>
      <c r="C180" s="482" t="s">
        <v>1330</v>
      </c>
      <c r="D180" s="2575"/>
      <c r="E180" s="2317"/>
      <c r="F180" s="2496"/>
      <c r="G180" s="513"/>
      <c r="H180" s="1613"/>
      <c r="I180" s="764"/>
      <c r="J180" s="684"/>
      <c r="K180" s="1613"/>
      <c r="L180" s="327"/>
      <c r="M180" s="454"/>
      <c r="N180" s="447"/>
      <c r="O180" s="1737"/>
      <c r="P180" s="1737"/>
      <c r="AH180" s="1744">
        <v>0</v>
      </c>
    </row>
    <row s="8113" customFormat="1" customHeight="1" ht="18.75" hidden="1">
      <c r="A181" s="1893" t="s">
        <v>390</v>
      </c>
      <c r="B181" s="1893" t="s">
        <v>391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461</v>
      </c>
      <c r="M181" s="454"/>
      <c r="N181" s="447"/>
      <c r="O181" s="1737"/>
      <c r="P181" s="1737"/>
      <c r="AH181" s="1744">
        <v>0</v>
      </c>
    </row>
    <row s="8113" customFormat="1" customHeight="1" ht="18.75" hidden="1">
      <c r="A182" s="1893"/>
      <c r="B182" s="1893"/>
      <c r="C182" s="482" t="s">
        <v>1323</v>
      </c>
      <c r="D182" s="2575"/>
      <c r="E182" s="2317"/>
      <c r="F182" s="2496"/>
      <c r="G182" s="2540"/>
      <c r="H182" s="1613"/>
      <c r="I182" s="764" t="s">
        <v>1322</v>
      </c>
      <c r="J182" s="684"/>
      <c r="K182" s="1613"/>
      <c r="L182" s="327"/>
      <c r="M182" s="454"/>
      <c r="N182" s="447"/>
      <c r="O182" s="1737"/>
      <c r="P182" s="1737"/>
      <c r="AH182" s="1744">
        <v>0</v>
      </c>
    </row>
    <row s="8113" customFormat="1" customHeight="1" ht="0.75" hidden="1">
      <c r="A183" s="1893"/>
      <c r="B183" s="1893"/>
      <c r="C183" s="482" t="s">
        <v>1330</v>
      </c>
      <c r="D183" s="2575"/>
      <c r="E183" s="2317"/>
      <c r="F183" s="2496"/>
      <c r="G183" s="513"/>
      <c r="H183" s="1613"/>
      <c r="I183" s="764"/>
      <c r="J183" s="684"/>
      <c r="K183" s="1613"/>
      <c r="L183" s="327"/>
      <c r="M183" s="454"/>
      <c r="N183" s="447"/>
      <c r="O183" s="1737"/>
      <c r="P183" s="1737"/>
      <c r="AH183" s="1744">
        <v>0</v>
      </c>
    </row>
    <row s="8113" customFormat="1" customHeight="1" ht="18.75" hidden="1">
      <c r="A184" s="1893" t="s">
        <v>395</v>
      </c>
      <c r="B184" s="1893" t="s">
        <v>396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461</v>
      </c>
      <c r="M184" s="454"/>
      <c r="N184" s="447"/>
      <c r="O184" s="1737"/>
      <c r="P184" s="1737"/>
      <c r="AH184" s="1744">
        <v>0</v>
      </c>
    </row>
    <row s="8113" customFormat="1" customHeight="1" ht="18.75" hidden="1">
      <c r="A185" s="1893"/>
      <c r="B185" s="1893"/>
      <c r="C185" s="482" t="s">
        <v>1323</v>
      </c>
      <c r="D185" s="2575"/>
      <c r="E185" s="2317"/>
      <c r="F185" s="2496"/>
      <c r="G185" s="2540"/>
      <c r="H185" s="1613"/>
      <c r="I185" s="764" t="s">
        <v>1322</v>
      </c>
      <c r="J185" s="684"/>
      <c r="K185" s="1613"/>
      <c r="L185" s="327"/>
      <c r="M185" s="454"/>
      <c r="N185" s="447"/>
      <c r="O185" s="1737"/>
      <c r="P185" s="1737"/>
      <c r="AH185" s="1744">
        <v>0</v>
      </c>
    </row>
    <row s="8113" customFormat="1" customHeight="1" ht="0.75" hidden="1">
      <c r="A186" s="1893"/>
      <c r="B186" s="1893"/>
      <c r="C186" s="482" t="s">
        <v>1330</v>
      </c>
      <c r="D186" s="2575"/>
      <c r="E186" s="2317"/>
      <c r="F186" s="2496"/>
      <c r="G186" s="513"/>
      <c r="H186" s="1613"/>
      <c r="I186" s="764"/>
      <c r="J186" s="684"/>
      <c r="K186" s="1613"/>
      <c r="L186" s="327"/>
      <c r="M186" s="454"/>
      <c r="N186" s="447"/>
      <c r="O186" s="1737"/>
      <c r="P186" s="1737"/>
      <c r="AH186" s="1744">
        <v>0</v>
      </c>
    </row>
    <row s="8113" customFormat="1" customHeight="1" ht="18.75" hidden="1">
      <c r="A187" s="1893" t="s">
        <v>400</v>
      </c>
      <c r="B187" s="1893" t="s">
        <v>401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461</v>
      </c>
      <c r="M187" s="454"/>
      <c r="N187" s="447"/>
      <c r="O187" s="1737"/>
      <c r="P187" s="1737"/>
      <c r="AH187" s="1744">
        <v>0</v>
      </c>
    </row>
    <row s="8113" customFormat="1" customHeight="1" ht="18.75" hidden="1">
      <c r="A188" s="1893"/>
      <c r="B188" s="1893"/>
      <c r="C188" s="482" t="s">
        <v>1323</v>
      </c>
      <c r="D188" s="2575"/>
      <c r="E188" s="2317"/>
      <c r="F188" s="2496"/>
      <c r="G188" s="2540"/>
      <c r="H188" s="1613"/>
      <c r="I188" s="764" t="s">
        <v>1322</v>
      </c>
      <c r="J188" s="684"/>
      <c r="K188" s="1613"/>
      <c r="L188" s="327"/>
      <c r="M188" s="454"/>
      <c r="N188" s="447"/>
      <c r="O188" s="1737"/>
      <c r="P188" s="1737"/>
      <c r="AH188" s="1744">
        <v>0</v>
      </c>
    </row>
    <row s="8113" customFormat="1" customHeight="1" ht="0.75" hidden="1">
      <c r="A189" s="1893"/>
      <c r="B189" s="1893"/>
      <c r="C189" s="482" t="s">
        <v>1330</v>
      </c>
      <c r="D189" s="2575"/>
      <c r="E189" s="2317"/>
      <c r="F189" s="2496"/>
      <c r="G189" s="513"/>
      <c r="H189" s="1613"/>
      <c r="I189" s="764"/>
      <c r="J189" s="684"/>
      <c r="K189" s="1613"/>
      <c r="L189" s="327"/>
      <c r="M189" s="454"/>
      <c r="N189" s="447"/>
      <c r="O189" s="1737"/>
      <c r="P189" s="1737"/>
      <c r="AH189" s="1744">
        <v>0</v>
      </c>
    </row>
    <row s="8113" customFormat="1" customHeight="1" ht="18.75" hidden="1">
      <c r="A190" s="1893" t="s">
        <v>405</v>
      </c>
      <c r="B190" s="1893" t="s">
        <v>406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461</v>
      </c>
      <c r="M190" s="454"/>
      <c r="N190" s="447"/>
      <c r="O190" s="1737"/>
      <c r="P190" s="1737"/>
      <c r="AH190" s="1744">
        <v>0</v>
      </c>
    </row>
    <row s="8113" customFormat="1" customHeight="1" ht="18.75" hidden="1">
      <c r="A191" s="1893"/>
      <c r="B191" s="1893"/>
      <c r="C191" s="482" t="s">
        <v>1323</v>
      </c>
      <c r="D191" s="2575"/>
      <c r="E191" s="2317"/>
      <c r="F191" s="2496"/>
      <c r="G191" s="2540"/>
      <c r="H191" s="1613"/>
      <c r="I191" s="764" t="s">
        <v>1322</v>
      </c>
      <c r="J191" s="684"/>
      <c r="K191" s="1613"/>
      <c r="L191" s="327"/>
      <c r="M191" s="454"/>
      <c r="N191" s="447"/>
      <c r="O191" s="1737"/>
      <c r="P191" s="1737"/>
      <c r="AH191" s="1744">
        <v>0</v>
      </c>
    </row>
    <row s="8113" customFormat="1" customHeight="1" ht="0.75" hidden="1">
      <c r="A192" s="1893"/>
      <c r="B192" s="1893"/>
      <c r="C192" s="482" t="s">
        <v>1330</v>
      </c>
      <c r="D192" s="2575"/>
      <c r="E192" s="2317"/>
      <c r="F192" s="2496"/>
      <c r="G192" s="513"/>
      <c r="H192" s="1613"/>
      <c r="I192" s="764"/>
      <c r="J192" s="684"/>
      <c r="K192" s="1613"/>
      <c r="L192" s="327"/>
      <c r="M192" s="454"/>
      <c r="N192" s="447"/>
      <c r="O192" s="1737"/>
      <c r="P192" s="1737"/>
      <c r="AH192" s="1744">
        <v>0</v>
      </c>
    </row>
    <row s="8113" customFormat="1" customHeight="1" ht="18.75" hidden="1">
      <c r="A193" s="1893" t="s">
        <v>410</v>
      </c>
      <c r="B193" s="1893" t="s">
        <v>411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461</v>
      </c>
      <c r="M193" s="454"/>
      <c r="N193" s="447"/>
      <c r="O193" s="1737"/>
      <c r="P193" s="1737"/>
      <c r="AH193" s="1744">
        <v>0</v>
      </c>
    </row>
    <row s="8113" customFormat="1" customHeight="1" ht="18.75" hidden="1">
      <c r="A194" s="1893"/>
      <c r="B194" s="1893"/>
      <c r="C194" s="482" t="s">
        <v>1323</v>
      </c>
      <c r="D194" s="2575"/>
      <c r="E194" s="2317"/>
      <c r="F194" s="2496"/>
      <c r="G194" s="2540"/>
      <c r="H194" s="1613"/>
      <c r="I194" s="764" t="s">
        <v>1322</v>
      </c>
      <c r="J194" s="684"/>
      <c r="K194" s="1613"/>
      <c r="L194" s="327"/>
      <c r="M194" s="454"/>
      <c r="N194" s="447"/>
      <c r="O194" s="1737"/>
      <c r="P194" s="1737"/>
      <c r="AH194" s="1744">
        <v>0</v>
      </c>
    </row>
    <row s="8113" customFormat="1" customHeight="1" ht="0.75" hidden="1">
      <c r="A195" s="1893"/>
      <c r="B195" s="1893"/>
      <c r="C195" s="482" t="s">
        <v>1330</v>
      </c>
      <c r="D195" s="2575"/>
      <c r="E195" s="2317"/>
      <c r="F195" s="2496"/>
      <c r="G195" s="513"/>
      <c r="H195" s="1613"/>
      <c r="I195" s="764"/>
      <c r="J195" s="684"/>
      <c r="K195" s="1613"/>
      <c r="L195" s="327"/>
      <c r="M195" s="454"/>
      <c r="N195" s="447"/>
      <c r="O195" s="1737"/>
      <c r="P195" s="1737"/>
      <c r="AH195" s="1744">
        <v>0</v>
      </c>
    </row>
    <row s="8113" customFormat="1" customHeight="1" ht="18.75" hidden="1">
      <c r="A196" s="1893" t="s">
        <v>415</v>
      </c>
      <c r="B196" s="1893" t="s">
        <v>416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461</v>
      </c>
      <c r="M196" s="454"/>
      <c r="N196" s="447"/>
      <c r="O196" s="1737"/>
      <c r="P196" s="1737"/>
      <c r="AH196" s="1744">
        <v>0</v>
      </c>
    </row>
    <row s="8113" customFormat="1" customHeight="1" ht="18.75" hidden="1">
      <c r="A197" s="1893"/>
      <c r="B197" s="1893"/>
      <c r="C197" s="482" t="s">
        <v>1323</v>
      </c>
      <c r="D197" s="2575"/>
      <c r="E197" s="2317"/>
      <c r="F197" s="2496"/>
      <c r="G197" s="2540"/>
      <c r="H197" s="1613"/>
      <c r="I197" s="764" t="s">
        <v>1322</v>
      </c>
      <c r="J197" s="684"/>
      <c r="K197" s="1613"/>
      <c r="L197" s="327"/>
      <c r="M197" s="454"/>
      <c r="N197" s="447"/>
      <c r="O197" s="1737"/>
      <c r="P197" s="1737"/>
      <c r="AH197" s="1744">
        <v>0</v>
      </c>
    </row>
    <row s="8113" customFormat="1" customHeight="1" ht="0.75" hidden="1">
      <c r="A198" s="1893"/>
      <c r="B198" s="1893"/>
      <c r="C198" s="482" t="s">
        <v>1330</v>
      </c>
      <c r="D198" s="2575"/>
      <c r="E198" s="2317"/>
      <c r="F198" s="2496"/>
      <c r="G198" s="513"/>
      <c r="H198" s="1613"/>
      <c r="I198" s="764"/>
      <c r="J198" s="684"/>
      <c r="K198" s="1613"/>
      <c r="L198" s="327"/>
      <c r="M198" s="454"/>
      <c r="N198" s="447"/>
      <c r="O198" s="1737"/>
      <c r="P198" s="1737"/>
      <c r="AH198" s="1744">
        <v>0</v>
      </c>
    </row>
    <row s="8113" customFormat="1" customHeight="1" ht="18.75" hidden="1">
      <c r="A199" s="1893" t="s">
        <v>420</v>
      </c>
      <c r="B199" s="1893" t="s">
        <v>421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461</v>
      </c>
      <c r="M199" s="454"/>
      <c r="N199" s="447"/>
      <c r="O199" s="1737"/>
      <c r="P199" s="1737"/>
      <c r="AH199" s="1744">
        <v>0</v>
      </c>
    </row>
    <row s="8113" customFormat="1" customHeight="1" ht="18.75" hidden="1">
      <c r="A200" s="1893"/>
      <c r="B200" s="1893"/>
      <c r="C200" s="482" t="s">
        <v>1323</v>
      </c>
      <c r="D200" s="2575"/>
      <c r="E200" s="2317"/>
      <c r="F200" s="2496"/>
      <c r="G200" s="2540"/>
      <c r="H200" s="1613"/>
      <c r="I200" s="764" t="s">
        <v>1322</v>
      </c>
      <c r="J200" s="684"/>
      <c r="K200" s="1613"/>
      <c r="L200" s="327"/>
      <c r="M200" s="454"/>
      <c r="N200" s="447"/>
      <c r="O200" s="1737"/>
      <c r="P200" s="1737"/>
      <c r="AH200" s="1744">
        <v>0</v>
      </c>
    </row>
    <row s="8113" customFormat="1" customHeight="1" ht="0.75" hidden="1">
      <c r="A201" s="1893"/>
      <c r="B201" s="1893"/>
      <c r="C201" s="482" t="s">
        <v>1330</v>
      </c>
      <c r="D201" s="2575"/>
      <c r="E201" s="2317"/>
      <c r="F201" s="2496"/>
      <c r="G201" s="513"/>
      <c r="H201" s="1613"/>
      <c r="I201" s="764"/>
      <c r="J201" s="684"/>
      <c r="K201" s="1613"/>
      <c r="L201" s="327"/>
      <c r="M201" s="454"/>
      <c r="N201" s="447"/>
      <c r="O201" s="1737"/>
      <c r="P201" s="1737"/>
      <c r="AH201" s="1744">
        <v>0</v>
      </c>
    </row>
    <row s="8113" customFormat="1" customHeight="1" ht="18.75" hidden="1">
      <c r="A202" s="1893" t="s">
        <v>425</v>
      </c>
      <c r="B202" s="1893" t="s">
        <v>426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461</v>
      </c>
      <c r="M202" s="454"/>
      <c r="N202" s="447"/>
      <c r="O202" s="1737"/>
      <c r="P202" s="1737"/>
      <c r="AH202" s="1744">
        <v>0</v>
      </c>
    </row>
    <row s="8113" customFormat="1" customHeight="1" ht="18.75" hidden="1">
      <c r="A203" s="1893"/>
      <c r="B203" s="1893"/>
      <c r="C203" s="482" t="s">
        <v>1323</v>
      </c>
      <c r="D203" s="2575"/>
      <c r="E203" s="2317"/>
      <c r="F203" s="2496"/>
      <c r="G203" s="2540"/>
      <c r="H203" s="1613"/>
      <c r="I203" s="764" t="s">
        <v>1322</v>
      </c>
      <c r="J203" s="684"/>
      <c r="K203" s="1613"/>
      <c r="L203" s="327"/>
      <c r="M203" s="454"/>
      <c r="N203" s="447"/>
      <c r="O203" s="1737"/>
      <c r="P203" s="1737"/>
      <c r="AH203" s="1744">
        <v>0</v>
      </c>
    </row>
    <row s="8113" customFormat="1" customHeight="1" ht="0.75" hidden="1">
      <c r="A204" s="1893"/>
      <c r="B204" s="1893"/>
      <c r="C204" s="482" t="s">
        <v>1330</v>
      </c>
      <c r="D204" s="2575"/>
      <c r="E204" s="2317"/>
      <c r="F204" s="2496"/>
      <c r="G204" s="513"/>
      <c r="H204" s="1613"/>
      <c r="I204" s="764"/>
      <c r="J204" s="684"/>
      <c r="K204" s="1613"/>
      <c r="L204" s="327"/>
      <c r="M204" s="454"/>
      <c r="N204" s="447"/>
      <c r="O204" s="1737"/>
      <c r="P204" s="1737"/>
      <c r="AH204" s="1744">
        <v>0</v>
      </c>
    </row>
    <row s="8113" customFormat="1" customHeight="1" ht="18.75" hidden="1">
      <c r="A205" s="1893" t="s">
        <v>430</v>
      </c>
      <c r="B205" s="1893" t="s">
        <v>431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461</v>
      </c>
      <c r="M205" s="454"/>
      <c r="N205" s="447"/>
      <c r="O205" s="1737"/>
      <c r="P205" s="1737"/>
      <c r="AH205" s="1744">
        <v>0</v>
      </c>
    </row>
    <row s="8113" customFormat="1" customHeight="1" ht="18.75" hidden="1">
      <c r="A206" s="1893"/>
      <c r="B206" s="1893"/>
      <c r="C206" s="482" t="s">
        <v>1323</v>
      </c>
      <c r="D206" s="2575"/>
      <c r="E206" s="2317"/>
      <c r="F206" s="2496"/>
      <c r="G206" s="2540"/>
      <c r="H206" s="1613"/>
      <c r="I206" s="764" t="s">
        <v>1322</v>
      </c>
      <c r="J206" s="684"/>
      <c r="K206" s="1613"/>
      <c r="L206" s="327"/>
      <c r="M206" s="454"/>
      <c r="N206" s="447"/>
      <c r="O206" s="1737"/>
      <c r="P206" s="1737"/>
      <c r="AH206" s="1744">
        <v>0</v>
      </c>
    </row>
    <row s="8113" customFormat="1" customHeight="1" ht="1.05">
      <c r="A207" s="1893"/>
      <c r="B207" s="1893"/>
      <c r="C207" s="482" t="s">
        <v>1330</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8113" customFormat="1" customHeight="1" ht="60.75" hidden="1">
      <c r="A209" s="1893" t="s">
        <v>226</v>
      </c>
      <c r="B209" s="1893" t="s">
        <v>227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461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8113" customFormat="1" customHeight="1" ht="18.75" hidden="1">
      <c r="A210" s="1893"/>
      <c r="B210" s="1893"/>
      <c r="C210" s="482" t="s">
        <v>1323</v>
      </c>
      <c r="D210" s="2575"/>
      <c r="E210" s="2317"/>
      <c r="F210" s="2496"/>
      <c r="G210" s="2540"/>
      <c r="H210" s="1613"/>
      <c r="I210" s="764" t="s">
        <v>1322</v>
      </c>
      <c r="J210" s="684"/>
      <c r="K210" s="1613"/>
      <c r="L210" s="327"/>
      <c r="M210" s="2283"/>
      <c r="N210" s="447"/>
      <c r="O210" s="1737"/>
      <c r="P210" s="1737"/>
      <c r="AH210" s="1744">
        <v>0</v>
      </c>
    </row>
    <row s="8113" customFormat="1" customHeight="1" ht="0.75" hidden="1">
      <c r="A211" s="1893"/>
      <c r="B211" s="1893"/>
      <c r="C211" s="482" t="s">
        <v>1330</v>
      </c>
      <c r="D211" s="2575"/>
      <c r="E211" s="2317"/>
      <c r="F211" s="2496"/>
      <c r="G211" s="513"/>
      <c r="H211" s="1613"/>
      <c r="I211" s="764"/>
      <c r="J211" s="684"/>
      <c r="K211" s="1613"/>
      <c r="L211" s="327"/>
      <c r="M211" s="2283"/>
      <c r="N211" s="447"/>
      <c r="O211" s="1737"/>
      <c r="P211" s="1737"/>
      <c r="AH211" s="1744">
        <v>0</v>
      </c>
    </row>
    <row s="8113" customFormat="1" customHeight="1" ht="45" hidden="1">
      <c r="A212" s="1893" t="s">
        <v>232</v>
      </c>
      <c r="B212" s="1893" t="s">
        <v>233</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461</v>
      </c>
      <c r="M212" s="2284"/>
      <c r="N212" s="447"/>
      <c r="O212" s="1737"/>
      <c r="P212" s="1737"/>
      <c r="AH212" s="1744">
        <v>0</v>
      </c>
    </row>
    <row s="8113" customFormat="1" customHeight="1" ht="18.75" hidden="1">
      <c r="A213" s="1893"/>
      <c r="B213" s="1893"/>
      <c r="C213" s="482" t="s">
        <v>1323</v>
      </c>
      <c r="D213" s="2575"/>
      <c r="E213" s="2317"/>
      <c r="F213" s="2496"/>
      <c r="G213" s="2540"/>
      <c r="H213" s="1613"/>
      <c r="I213" s="764" t="s">
        <v>1322</v>
      </c>
      <c r="J213" s="684"/>
      <c r="K213" s="1613"/>
      <c r="L213" s="327"/>
      <c r="M213" s="1974"/>
      <c r="N213" s="447"/>
      <c r="O213" s="1737"/>
      <c r="P213" s="1737"/>
      <c r="AH213" s="1744">
        <v>0</v>
      </c>
    </row>
    <row s="8113" customFormat="1" customHeight="1" ht="0.75" hidden="1">
      <c r="A214" s="1893"/>
      <c r="B214" s="1893"/>
      <c r="C214" s="482" t="s">
        <v>1330</v>
      </c>
      <c r="D214" s="2575"/>
      <c r="E214" s="2317"/>
      <c r="F214" s="2496"/>
      <c r="G214" s="513"/>
      <c r="H214" s="1613"/>
      <c r="I214" s="764"/>
      <c r="J214" s="684"/>
      <c r="K214" s="1613"/>
      <c r="L214" s="327"/>
      <c r="M214" s="454"/>
      <c r="N214" s="447"/>
      <c r="O214" s="1737"/>
      <c r="P214" s="1737"/>
      <c r="AH214" s="1744">
        <v>0</v>
      </c>
    </row>
    <row s="8113" customFormat="1" customHeight="1" ht="45" hidden="1">
      <c r="A215" s="1893" t="s">
        <v>238</v>
      </c>
      <c r="B215" s="1893" t="s">
        <v>239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461</v>
      </c>
      <c r="M215" s="454"/>
      <c r="N215" s="447"/>
      <c r="O215" s="1737"/>
      <c r="P215" s="1737"/>
      <c r="AH215" s="1744">
        <v>0</v>
      </c>
    </row>
    <row s="8113" customFormat="1" customHeight="1" ht="18.75" hidden="1">
      <c r="A216" s="1893"/>
      <c r="B216" s="1893"/>
      <c r="C216" s="482" t="s">
        <v>1323</v>
      </c>
      <c r="D216" s="2575"/>
      <c r="E216" s="2317"/>
      <c r="F216" s="2496"/>
      <c r="G216" s="2540"/>
      <c r="H216" s="1613"/>
      <c r="I216" s="764" t="s">
        <v>1322</v>
      </c>
      <c r="J216" s="684"/>
      <c r="K216" s="1613"/>
      <c r="L216" s="327"/>
      <c r="M216" s="454"/>
      <c r="N216" s="447"/>
      <c r="O216" s="1737"/>
      <c r="P216" s="1737"/>
      <c r="AH216" s="1744">
        <v>0</v>
      </c>
    </row>
    <row s="8113" customFormat="1" customHeight="1" ht="0.75" hidden="1">
      <c r="A217" s="1893"/>
      <c r="B217" s="1893"/>
      <c r="C217" s="482" t="s">
        <v>1330</v>
      </c>
      <c r="D217" s="2575"/>
      <c r="E217" s="2317"/>
      <c r="F217" s="2496"/>
      <c r="G217" s="513"/>
      <c r="H217" s="1613"/>
      <c r="I217" s="764"/>
      <c r="J217" s="684"/>
      <c r="K217" s="1613"/>
      <c r="L217" s="327"/>
      <c r="M217" s="454"/>
      <c r="N217" s="447"/>
      <c r="O217" s="1737"/>
      <c r="P217" s="1737"/>
      <c r="AH217" s="1744">
        <v>0</v>
      </c>
    </row>
    <row s="8113" customFormat="1" customHeight="1" ht="45" hidden="1">
      <c r="A218" s="1893" t="s">
        <v>244</v>
      </c>
      <c r="B218" s="1893" t="s">
        <v>245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461</v>
      </c>
      <c r="M218" s="454"/>
      <c r="N218" s="447"/>
      <c r="O218" s="1737"/>
      <c r="P218" s="1737"/>
      <c r="AH218" s="1744">
        <v>0</v>
      </c>
    </row>
    <row s="8113" customFormat="1" customHeight="1" ht="18.75" hidden="1">
      <c r="A219" s="1893"/>
      <c r="B219" s="1893"/>
      <c r="C219" s="482" t="s">
        <v>1323</v>
      </c>
      <c r="D219" s="2575"/>
      <c r="E219" s="2317"/>
      <c r="F219" s="2496"/>
      <c r="G219" s="2540"/>
      <c r="H219" s="1613"/>
      <c r="I219" s="764" t="s">
        <v>1322</v>
      </c>
      <c r="J219" s="684"/>
      <c r="K219" s="1613"/>
      <c r="L219" s="327"/>
      <c r="M219" s="454"/>
      <c r="N219" s="447"/>
      <c r="O219" s="1737"/>
      <c r="P219" s="1737"/>
      <c r="AH219" s="1744">
        <v>0</v>
      </c>
    </row>
    <row s="8113" customFormat="1" customHeight="1" ht="0.75" hidden="1">
      <c r="A220" s="1893"/>
      <c r="B220" s="1893"/>
      <c r="C220" s="482" t="s">
        <v>1330</v>
      </c>
      <c r="D220" s="2575"/>
      <c r="E220" s="2317"/>
      <c r="F220" s="2496"/>
      <c r="G220" s="513"/>
      <c r="H220" s="1613"/>
      <c r="I220" s="764"/>
      <c r="J220" s="684"/>
      <c r="K220" s="1613"/>
      <c r="L220" s="327"/>
      <c r="M220" s="454"/>
      <c r="N220" s="447"/>
      <c r="O220" s="1737"/>
      <c r="P220" s="1737"/>
      <c r="AH220" s="1744">
        <v>0</v>
      </c>
    </row>
    <row s="8113" customFormat="1" customHeight="1" ht="18.75" hidden="1">
      <c r="A221" s="1893" t="s">
        <v>250</v>
      </c>
      <c r="B221" s="1893" t="s">
        <v>251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461</v>
      </c>
      <c r="M221" s="454"/>
      <c r="N221" s="447"/>
      <c r="O221" s="1737"/>
      <c r="P221" s="1737"/>
      <c r="AH221" s="1744">
        <v>0</v>
      </c>
    </row>
    <row s="8113" customFormat="1" customHeight="1" ht="18.75" hidden="1">
      <c r="A222" s="1893"/>
      <c r="B222" s="1893"/>
      <c r="C222" s="482" t="s">
        <v>1323</v>
      </c>
      <c r="D222" s="2575"/>
      <c r="E222" s="2317"/>
      <c r="F222" s="2496"/>
      <c r="G222" s="2540"/>
      <c r="H222" s="1613"/>
      <c r="I222" s="764" t="s">
        <v>1322</v>
      </c>
      <c r="J222" s="684"/>
      <c r="K222" s="1613"/>
      <c r="L222" s="327"/>
      <c r="M222" s="454"/>
      <c r="N222" s="447"/>
      <c r="O222" s="1737"/>
      <c r="P222" s="1737"/>
      <c r="AH222" s="1744">
        <v>0</v>
      </c>
    </row>
    <row s="8113" customFormat="1" customHeight="1" ht="0.75" hidden="1">
      <c r="A223" s="1893"/>
      <c r="B223" s="1893"/>
      <c r="C223" s="482" t="s">
        <v>1330</v>
      </c>
      <c r="D223" s="2575"/>
      <c r="E223" s="2317"/>
      <c r="F223" s="2496"/>
      <c r="G223" s="513"/>
      <c r="H223" s="1613"/>
      <c r="I223" s="764"/>
      <c r="J223" s="684"/>
      <c r="K223" s="1613"/>
      <c r="L223" s="327"/>
      <c r="M223" s="454"/>
      <c r="N223" s="447"/>
      <c r="O223" s="1737"/>
      <c r="P223" s="1737"/>
      <c r="AH223" s="1744">
        <v>0</v>
      </c>
    </row>
    <row s="8113" customFormat="1" customHeight="1" ht="18.75" hidden="1">
      <c r="A224" s="1893" t="s">
        <v>256</v>
      </c>
      <c r="B224" s="1893" t="s">
        <v>257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461</v>
      </c>
      <c r="M224" s="454"/>
      <c r="N224" s="447"/>
      <c r="O224" s="1737"/>
      <c r="P224" s="1737"/>
      <c r="AH224" s="1744">
        <v>0</v>
      </c>
    </row>
    <row s="8113" customFormat="1" customHeight="1" ht="18.75" hidden="1">
      <c r="A225" s="1893"/>
      <c r="B225" s="1893"/>
      <c r="C225" s="482" t="s">
        <v>1323</v>
      </c>
      <c r="D225" s="2575"/>
      <c r="E225" s="2317"/>
      <c r="F225" s="2496"/>
      <c r="G225" s="2540"/>
      <c r="H225" s="1613"/>
      <c r="I225" s="764" t="s">
        <v>1322</v>
      </c>
      <c r="J225" s="684"/>
      <c r="K225" s="1613"/>
      <c r="L225" s="327"/>
      <c r="M225" s="454"/>
      <c r="N225" s="447"/>
      <c r="O225" s="1737"/>
      <c r="P225" s="1737"/>
      <c r="AH225" s="1744">
        <v>0</v>
      </c>
    </row>
    <row s="8113" customFormat="1" customHeight="1" ht="0.75" hidden="1">
      <c r="A226" s="1893"/>
      <c r="B226" s="1893"/>
      <c r="C226" s="482" t="s">
        <v>1330</v>
      </c>
      <c r="D226" s="2575"/>
      <c r="E226" s="2317"/>
      <c r="F226" s="2496"/>
      <c r="G226" s="513"/>
      <c r="H226" s="1613"/>
      <c r="I226" s="764"/>
      <c r="J226" s="684"/>
      <c r="K226" s="1613"/>
      <c r="L226" s="327"/>
      <c r="M226" s="454"/>
      <c r="N226" s="447"/>
      <c r="O226" s="1737"/>
      <c r="P226" s="1737"/>
      <c r="AH226" s="1744">
        <v>0</v>
      </c>
    </row>
    <row s="8113" customFormat="1" customHeight="1" ht="18.75" hidden="1">
      <c r="A227" s="1893" t="s">
        <v>266</v>
      </c>
      <c r="B227" s="1893" t="s">
        <v>267</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Плата за услуги по поддержанию резервной тепловой мощности при отсутствии потребления тепловой энергии </v>
      </c>
      <c r="H227" s="1975"/>
      <c r="I227" s="1852"/>
      <c r="J227" s="1886"/>
      <c r="K227" s="1891"/>
      <c r="L227" s="1975" t="s">
        <v>461</v>
      </c>
      <c r="M227" s="454"/>
      <c r="N227" s="447"/>
      <c r="O227" s="1737"/>
      <c r="P227" s="1737"/>
      <c r="AH227" s="1744">
        <v>0</v>
      </c>
    </row>
    <row s="8113" customFormat="1" customHeight="1" ht="18.75" hidden="1">
      <c r="A228" s="1893"/>
      <c r="B228" s="1893"/>
      <c r="C228" s="482" t="s">
        <v>1323</v>
      </c>
      <c r="D228" s="2575"/>
      <c r="E228" s="2317"/>
      <c r="F228" s="2496"/>
      <c r="G228" s="2540"/>
      <c r="H228" s="1613"/>
      <c r="I228" s="764" t="s">
        <v>1322</v>
      </c>
      <c r="J228" s="684"/>
      <c r="K228" s="1613"/>
      <c r="L228" s="327"/>
      <c r="M228" s="454"/>
      <c r="N228" s="447"/>
      <c r="O228" s="1737"/>
      <c r="P228" s="1737"/>
      <c r="AH228" s="1744">
        <v>0</v>
      </c>
    </row>
    <row s="8113" customFormat="1" customHeight="1" ht="0.75" hidden="1">
      <c r="A229" s="1893"/>
      <c r="B229" s="1893"/>
      <c r="C229" s="482" t="s">
        <v>1330</v>
      </c>
      <c r="D229" s="2575"/>
      <c r="E229" s="2317"/>
      <c r="F229" s="2496"/>
      <c r="G229" s="513"/>
      <c r="H229" s="1613"/>
      <c r="I229" s="764"/>
      <c r="J229" s="684"/>
      <c r="K229" s="1613"/>
      <c r="L229" s="327"/>
      <c r="M229" s="454"/>
      <c r="N229" s="447"/>
      <c r="O229" s="1737"/>
      <c r="P229" s="1737"/>
      <c r="AH229" s="1744">
        <v>0</v>
      </c>
    </row>
    <row s="8113" customFormat="1" customHeight="1" ht="18.75" hidden="1">
      <c r="A230" s="1893" t="s">
        <v>354</v>
      </c>
      <c r="B230" s="1893" t="s">
        <v>355</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461</v>
      </c>
      <c r="M230" s="454"/>
      <c r="N230" s="447"/>
      <c r="O230" s="1737"/>
      <c r="P230" s="1737"/>
      <c r="AH230" s="1744">
        <v>0</v>
      </c>
    </row>
    <row s="8113" customFormat="1" customHeight="1" ht="18.75" hidden="1">
      <c r="A231" s="1893"/>
      <c r="B231" s="1893"/>
      <c r="C231" s="482" t="s">
        <v>1323</v>
      </c>
      <c r="D231" s="2575"/>
      <c r="E231" s="2317"/>
      <c r="F231" s="2496"/>
      <c r="G231" s="2540"/>
      <c r="H231" s="1613"/>
      <c r="I231" s="764" t="s">
        <v>1322</v>
      </c>
      <c r="J231" s="684"/>
      <c r="K231" s="1613"/>
      <c r="L231" s="327"/>
      <c r="M231" s="454"/>
      <c r="N231" s="447"/>
      <c r="O231" s="1737"/>
      <c r="P231" s="1737"/>
      <c r="AH231" s="1744">
        <v>0</v>
      </c>
    </row>
    <row s="8113" customFormat="1" customHeight="1" ht="0.75" hidden="1">
      <c r="A232" s="1893"/>
      <c r="B232" s="1893"/>
      <c r="C232" s="482" t="s">
        <v>1330</v>
      </c>
      <c r="D232" s="2575"/>
      <c r="E232" s="2317"/>
      <c r="F232" s="2496"/>
      <c r="G232" s="513"/>
      <c r="H232" s="1613"/>
      <c r="I232" s="764"/>
      <c r="J232" s="684"/>
      <c r="K232" s="1613"/>
      <c r="L232" s="327"/>
      <c r="M232" s="454"/>
      <c r="N232" s="447"/>
      <c r="O232" s="1737"/>
      <c r="P232" s="1737"/>
      <c r="AH232" s="1744">
        <v>0</v>
      </c>
    </row>
    <row s="8113" customFormat="1" customHeight="1" ht="18.75" hidden="1">
      <c r="A233" s="1893" t="s">
        <v>360</v>
      </c>
      <c r="B233" s="1893" t="s">
        <v>361</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461</v>
      </c>
      <c r="M233" s="454"/>
      <c r="N233" s="447"/>
      <c r="O233" s="1737"/>
      <c r="P233" s="1737"/>
      <c r="AH233" s="1744">
        <v>0</v>
      </c>
    </row>
    <row s="8113" customFormat="1" customHeight="1" ht="18.75" hidden="1">
      <c r="A234" s="1893"/>
      <c r="B234" s="1893"/>
      <c r="C234" s="482" t="s">
        <v>1323</v>
      </c>
      <c r="D234" s="2575"/>
      <c r="E234" s="2317"/>
      <c r="F234" s="2496"/>
      <c r="G234" s="2540"/>
      <c r="H234" s="1613"/>
      <c r="I234" s="764" t="s">
        <v>1322</v>
      </c>
      <c r="J234" s="684"/>
      <c r="K234" s="1613"/>
      <c r="L234" s="327"/>
      <c r="M234" s="454"/>
      <c r="N234" s="447"/>
      <c r="O234" s="1737"/>
      <c r="P234" s="1737"/>
      <c r="AH234" s="1744">
        <v>0</v>
      </c>
    </row>
    <row s="8113" customFormat="1" customHeight="1" ht="0.75" hidden="1">
      <c r="A235" s="1893"/>
      <c r="B235" s="1893"/>
      <c r="C235" s="482" t="s">
        <v>1330</v>
      </c>
      <c r="D235" s="2575"/>
      <c r="E235" s="2317"/>
      <c r="F235" s="2496"/>
      <c r="G235" s="513"/>
      <c r="H235" s="1613"/>
      <c r="I235" s="764"/>
      <c r="J235" s="684"/>
      <c r="K235" s="1613"/>
      <c r="L235" s="327"/>
      <c r="M235" s="454"/>
      <c r="N235" s="447"/>
      <c r="O235" s="1737"/>
      <c r="P235" s="1737"/>
      <c r="AH235" s="1744">
        <v>0</v>
      </c>
    </row>
    <row s="8113" customFormat="1" customHeight="1" ht="18.75" hidden="1">
      <c r="A236" s="1893" t="s">
        <v>380</v>
      </c>
      <c r="B236" s="1893" t="s">
        <v>381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461</v>
      </c>
      <c r="M236" s="454"/>
      <c r="N236" s="447"/>
      <c r="O236" s="1737"/>
      <c r="P236" s="1737"/>
      <c r="AH236" s="1744">
        <v>0</v>
      </c>
    </row>
    <row s="8113" customFormat="1" customHeight="1" ht="18.75" hidden="1">
      <c r="A237" s="1893"/>
      <c r="B237" s="1893"/>
      <c r="C237" s="482" t="s">
        <v>1323</v>
      </c>
      <c r="D237" s="2575"/>
      <c r="E237" s="2317"/>
      <c r="F237" s="2496"/>
      <c r="G237" s="2540"/>
      <c r="H237" s="1613"/>
      <c r="I237" s="764" t="s">
        <v>1322</v>
      </c>
      <c r="J237" s="684"/>
      <c r="K237" s="1613"/>
      <c r="L237" s="327"/>
      <c r="M237" s="454"/>
      <c r="N237" s="447"/>
      <c r="O237" s="1737"/>
      <c r="P237" s="1737"/>
      <c r="AH237" s="1744">
        <v>0</v>
      </c>
    </row>
    <row s="8113" customFormat="1" customHeight="1" ht="0.75" hidden="1">
      <c r="A238" s="1893"/>
      <c r="B238" s="1893"/>
      <c r="C238" s="482" t="s">
        <v>1330</v>
      </c>
      <c r="D238" s="2575"/>
      <c r="E238" s="2317"/>
      <c r="F238" s="2496"/>
      <c r="G238" s="513"/>
      <c r="H238" s="1613"/>
      <c r="I238" s="764"/>
      <c r="J238" s="684"/>
      <c r="K238" s="1613"/>
      <c r="L238" s="327"/>
      <c r="M238" s="454"/>
      <c r="N238" s="447"/>
      <c r="O238" s="1737"/>
      <c r="P238" s="1737"/>
      <c r="AH238" s="1744">
        <v>0</v>
      </c>
    </row>
    <row s="8113" customFormat="1" customHeight="1" ht="18.75" hidden="1">
      <c r="A239" s="1893" t="s">
        <v>385</v>
      </c>
      <c r="B239" s="1893" t="s">
        <v>386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461</v>
      </c>
      <c r="M239" s="454"/>
      <c r="N239" s="447"/>
      <c r="O239" s="1737"/>
      <c r="P239" s="1737"/>
      <c r="AH239" s="1744">
        <v>0</v>
      </c>
    </row>
    <row s="8113" customFormat="1" customHeight="1" ht="18.75" hidden="1">
      <c r="A240" s="1893"/>
      <c r="B240" s="1893"/>
      <c r="C240" s="482" t="s">
        <v>1323</v>
      </c>
      <c r="D240" s="2575"/>
      <c r="E240" s="2317"/>
      <c r="F240" s="2496"/>
      <c r="G240" s="2540"/>
      <c r="H240" s="1613"/>
      <c r="I240" s="764" t="s">
        <v>1322</v>
      </c>
      <c r="J240" s="684"/>
      <c r="K240" s="1613"/>
      <c r="L240" s="327"/>
      <c r="M240" s="454"/>
      <c r="N240" s="447"/>
      <c r="O240" s="1737"/>
      <c r="P240" s="1737"/>
      <c r="AH240" s="1744">
        <v>0</v>
      </c>
    </row>
    <row s="8113" customFormat="1" customHeight="1" ht="0.75" hidden="1">
      <c r="A241" s="1893"/>
      <c r="B241" s="1893"/>
      <c r="C241" s="482" t="s">
        <v>1330</v>
      </c>
      <c r="D241" s="2575"/>
      <c r="E241" s="2317"/>
      <c r="F241" s="2496"/>
      <c r="G241" s="513"/>
      <c r="H241" s="1613"/>
      <c r="I241" s="764"/>
      <c r="J241" s="684"/>
      <c r="K241" s="1613"/>
      <c r="L241" s="327"/>
      <c r="M241" s="454"/>
      <c r="N241" s="447"/>
      <c r="O241" s="1737"/>
      <c r="P241" s="1737"/>
      <c r="AH241" s="1744">
        <v>0</v>
      </c>
    </row>
    <row s="8113" customFormat="1" customHeight="1" ht="18.75" hidden="1">
      <c r="A242" s="1893" t="s">
        <v>390</v>
      </c>
      <c r="B242" s="1893" t="s">
        <v>391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461</v>
      </c>
      <c r="M242" s="454"/>
      <c r="N242" s="447"/>
      <c r="O242" s="1737"/>
      <c r="P242" s="1737"/>
      <c r="AH242" s="1744">
        <v>0</v>
      </c>
    </row>
    <row s="8113" customFormat="1" customHeight="1" ht="18.75" hidden="1">
      <c r="A243" s="1893"/>
      <c r="B243" s="1893"/>
      <c r="C243" s="482" t="s">
        <v>1323</v>
      </c>
      <c r="D243" s="2575"/>
      <c r="E243" s="2317"/>
      <c r="F243" s="2496"/>
      <c r="G243" s="2540"/>
      <c r="H243" s="1613"/>
      <c r="I243" s="764" t="s">
        <v>1322</v>
      </c>
      <c r="J243" s="684"/>
      <c r="K243" s="1613"/>
      <c r="L243" s="327"/>
      <c r="M243" s="454"/>
      <c r="N243" s="447"/>
      <c r="O243" s="1737"/>
      <c r="P243" s="1737"/>
      <c r="AH243" s="1744">
        <v>0</v>
      </c>
    </row>
    <row s="8113" customFormat="1" customHeight="1" ht="0.75" hidden="1">
      <c r="A244" s="1893"/>
      <c r="B244" s="1893"/>
      <c r="C244" s="482" t="s">
        <v>1330</v>
      </c>
      <c r="D244" s="2575"/>
      <c r="E244" s="2317"/>
      <c r="F244" s="2496"/>
      <c r="G244" s="513"/>
      <c r="H244" s="1613"/>
      <c r="I244" s="764"/>
      <c r="J244" s="684"/>
      <c r="K244" s="1613"/>
      <c r="L244" s="327"/>
      <c r="M244" s="454"/>
      <c r="N244" s="447"/>
      <c r="O244" s="1737"/>
      <c r="P244" s="1737"/>
      <c r="AH244" s="1744">
        <v>0</v>
      </c>
    </row>
    <row s="8113" customFormat="1" customHeight="1" ht="18.75" hidden="1">
      <c r="A245" s="1893" t="s">
        <v>395</v>
      </c>
      <c r="B245" s="1893" t="s">
        <v>396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461</v>
      </c>
      <c r="M245" s="454"/>
      <c r="N245" s="447"/>
      <c r="O245" s="1737"/>
      <c r="P245" s="1737"/>
      <c r="AH245" s="1744">
        <v>0</v>
      </c>
    </row>
    <row s="8113" customFormat="1" customHeight="1" ht="18.75" hidden="1">
      <c r="A246" s="1893"/>
      <c r="B246" s="1893"/>
      <c r="C246" s="482" t="s">
        <v>1323</v>
      </c>
      <c r="D246" s="2575"/>
      <c r="E246" s="2317"/>
      <c r="F246" s="2496"/>
      <c r="G246" s="2540"/>
      <c r="H246" s="1613"/>
      <c r="I246" s="764" t="s">
        <v>1322</v>
      </c>
      <c r="J246" s="684"/>
      <c r="K246" s="1613"/>
      <c r="L246" s="327"/>
      <c r="M246" s="454"/>
      <c r="N246" s="447"/>
      <c r="O246" s="1737"/>
      <c r="P246" s="1737"/>
      <c r="AH246" s="1744">
        <v>0</v>
      </c>
    </row>
    <row s="8113" customFormat="1" customHeight="1" ht="0.75" hidden="1">
      <c r="A247" s="1893"/>
      <c r="B247" s="1893"/>
      <c r="C247" s="482" t="s">
        <v>1330</v>
      </c>
      <c r="D247" s="2575"/>
      <c r="E247" s="2317"/>
      <c r="F247" s="2496"/>
      <c r="G247" s="513"/>
      <c r="H247" s="1613"/>
      <c r="I247" s="764"/>
      <c r="J247" s="684"/>
      <c r="K247" s="1613"/>
      <c r="L247" s="327"/>
      <c r="M247" s="454"/>
      <c r="N247" s="447"/>
      <c r="O247" s="1737"/>
      <c r="P247" s="1737"/>
      <c r="AH247" s="1744">
        <v>0</v>
      </c>
    </row>
    <row s="8113" customFormat="1" customHeight="1" ht="18.75" hidden="1">
      <c r="A248" s="1893" t="s">
        <v>400</v>
      </c>
      <c r="B248" s="1893" t="s">
        <v>401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461</v>
      </c>
      <c r="M248" s="454"/>
      <c r="N248" s="447"/>
      <c r="O248" s="1737"/>
      <c r="P248" s="1737"/>
      <c r="AH248" s="1744">
        <v>0</v>
      </c>
    </row>
    <row s="8113" customFormat="1" customHeight="1" ht="18.75" hidden="1">
      <c r="A249" s="1893"/>
      <c r="B249" s="1893"/>
      <c r="C249" s="482" t="s">
        <v>1323</v>
      </c>
      <c r="D249" s="2575"/>
      <c r="E249" s="2317"/>
      <c r="F249" s="2496"/>
      <c r="G249" s="2540"/>
      <c r="H249" s="1613"/>
      <c r="I249" s="764" t="s">
        <v>1322</v>
      </c>
      <c r="J249" s="684"/>
      <c r="K249" s="1613"/>
      <c r="L249" s="327"/>
      <c r="M249" s="454"/>
      <c r="N249" s="447"/>
      <c r="O249" s="1737"/>
      <c r="P249" s="1737"/>
      <c r="AH249" s="1744">
        <v>0</v>
      </c>
    </row>
    <row s="8113" customFormat="1" customHeight="1" ht="0.75" hidden="1">
      <c r="A250" s="1893"/>
      <c r="B250" s="1893"/>
      <c r="C250" s="482" t="s">
        <v>1330</v>
      </c>
      <c r="D250" s="2575"/>
      <c r="E250" s="2317"/>
      <c r="F250" s="2496"/>
      <c r="G250" s="513"/>
      <c r="H250" s="1613"/>
      <c r="I250" s="764"/>
      <c r="J250" s="684"/>
      <c r="K250" s="1613"/>
      <c r="L250" s="327"/>
      <c r="M250" s="454"/>
      <c r="N250" s="447"/>
      <c r="O250" s="1737"/>
      <c r="P250" s="1737"/>
      <c r="AH250" s="1744">
        <v>0</v>
      </c>
    </row>
    <row s="8113" customFormat="1" customHeight="1" ht="18.75" hidden="1">
      <c r="A251" s="1893" t="s">
        <v>405</v>
      </c>
      <c r="B251" s="1893" t="s">
        <v>406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461</v>
      </c>
      <c r="M251" s="454"/>
      <c r="N251" s="447"/>
      <c r="O251" s="1737"/>
      <c r="P251" s="1737"/>
      <c r="AH251" s="1744">
        <v>0</v>
      </c>
    </row>
    <row s="8113" customFormat="1" customHeight="1" ht="18.75" hidden="1">
      <c r="A252" s="1893"/>
      <c r="B252" s="1893"/>
      <c r="C252" s="482" t="s">
        <v>1323</v>
      </c>
      <c r="D252" s="2575"/>
      <c r="E252" s="2317"/>
      <c r="F252" s="2496"/>
      <c r="G252" s="2540"/>
      <c r="H252" s="1613"/>
      <c r="I252" s="764" t="s">
        <v>1322</v>
      </c>
      <c r="J252" s="684"/>
      <c r="K252" s="1613"/>
      <c r="L252" s="327"/>
      <c r="M252" s="454"/>
      <c r="N252" s="447"/>
      <c r="O252" s="1737"/>
      <c r="P252" s="1737"/>
      <c r="AH252" s="1744">
        <v>0</v>
      </c>
    </row>
    <row s="8113" customFormat="1" customHeight="1" ht="0.75" hidden="1">
      <c r="A253" s="1893"/>
      <c r="B253" s="1893"/>
      <c r="C253" s="482" t="s">
        <v>1330</v>
      </c>
      <c r="D253" s="2575"/>
      <c r="E253" s="2317"/>
      <c r="F253" s="2496"/>
      <c r="G253" s="513"/>
      <c r="H253" s="1613"/>
      <c r="I253" s="764"/>
      <c r="J253" s="684"/>
      <c r="K253" s="1613"/>
      <c r="L253" s="327"/>
      <c r="M253" s="454"/>
      <c r="N253" s="447"/>
      <c r="O253" s="1737"/>
      <c r="P253" s="1737"/>
      <c r="AH253" s="1744">
        <v>0</v>
      </c>
    </row>
    <row s="8113" customFormat="1" customHeight="1" ht="18.75" hidden="1">
      <c r="A254" s="1893" t="s">
        <v>410</v>
      </c>
      <c r="B254" s="1893" t="s">
        <v>411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461</v>
      </c>
      <c r="M254" s="454"/>
      <c r="N254" s="447"/>
      <c r="O254" s="1737"/>
      <c r="P254" s="1737"/>
      <c r="AH254" s="1744">
        <v>0</v>
      </c>
    </row>
    <row s="8113" customFormat="1" customHeight="1" ht="18.75" hidden="1">
      <c r="A255" s="1893"/>
      <c r="B255" s="1893"/>
      <c r="C255" s="482" t="s">
        <v>1323</v>
      </c>
      <c r="D255" s="2575"/>
      <c r="E255" s="2317"/>
      <c r="F255" s="2496"/>
      <c r="G255" s="2540"/>
      <c r="H255" s="1613"/>
      <c r="I255" s="764" t="s">
        <v>1322</v>
      </c>
      <c r="J255" s="684"/>
      <c r="K255" s="1613"/>
      <c r="L255" s="327"/>
      <c r="M255" s="454"/>
      <c r="N255" s="447"/>
      <c r="O255" s="1737"/>
      <c r="P255" s="1737"/>
      <c r="AH255" s="1744">
        <v>0</v>
      </c>
    </row>
    <row s="8113" customFormat="1" customHeight="1" ht="0.75" hidden="1">
      <c r="A256" s="1893"/>
      <c r="B256" s="1893"/>
      <c r="C256" s="482" t="s">
        <v>1330</v>
      </c>
      <c r="D256" s="2575"/>
      <c r="E256" s="2317"/>
      <c r="F256" s="2496"/>
      <c r="G256" s="513"/>
      <c r="H256" s="1613"/>
      <c r="I256" s="764"/>
      <c r="J256" s="684"/>
      <c r="K256" s="1613"/>
      <c r="L256" s="327"/>
      <c r="M256" s="454"/>
      <c r="N256" s="447"/>
      <c r="O256" s="1737"/>
      <c r="P256" s="1737"/>
      <c r="AH256" s="1744">
        <v>0</v>
      </c>
    </row>
    <row s="8113" customFormat="1" customHeight="1" ht="18.75" hidden="1">
      <c r="A257" s="1893" t="s">
        <v>415</v>
      </c>
      <c r="B257" s="1893" t="s">
        <v>416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461</v>
      </c>
      <c r="M257" s="454"/>
      <c r="N257" s="447"/>
      <c r="O257" s="1737"/>
      <c r="P257" s="1737"/>
      <c r="AH257" s="1744">
        <v>0</v>
      </c>
    </row>
    <row s="8113" customFormat="1" customHeight="1" ht="18.75" hidden="1">
      <c r="A258" s="1893"/>
      <c r="B258" s="1893"/>
      <c r="C258" s="482" t="s">
        <v>1323</v>
      </c>
      <c r="D258" s="2575"/>
      <c r="E258" s="2317"/>
      <c r="F258" s="2496"/>
      <c r="G258" s="2540"/>
      <c r="H258" s="1613"/>
      <c r="I258" s="764" t="s">
        <v>1322</v>
      </c>
      <c r="J258" s="684"/>
      <c r="K258" s="1613"/>
      <c r="L258" s="327"/>
      <c r="M258" s="454"/>
      <c r="N258" s="447"/>
      <c r="O258" s="1737"/>
      <c r="P258" s="1737"/>
      <c r="AH258" s="1744">
        <v>0</v>
      </c>
    </row>
    <row s="8113" customFormat="1" customHeight="1" ht="0.75" hidden="1">
      <c r="A259" s="1893"/>
      <c r="B259" s="1893"/>
      <c r="C259" s="482" t="s">
        <v>1330</v>
      </c>
      <c r="D259" s="2575"/>
      <c r="E259" s="2317"/>
      <c r="F259" s="2496"/>
      <c r="G259" s="513"/>
      <c r="H259" s="1613"/>
      <c r="I259" s="764"/>
      <c r="J259" s="684"/>
      <c r="K259" s="1613"/>
      <c r="L259" s="327"/>
      <c r="M259" s="454"/>
      <c r="N259" s="447"/>
      <c r="O259" s="1737"/>
      <c r="P259" s="1737"/>
      <c r="AH259" s="1744">
        <v>0</v>
      </c>
    </row>
    <row s="8113" customFormat="1" customHeight="1" ht="18.75" hidden="1">
      <c r="A260" s="1893" t="s">
        <v>420</v>
      </c>
      <c r="B260" s="1893" t="s">
        <v>421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461</v>
      </c>
      <c r="M260" s="454"/>
      <c r="N260" s="447"/>
      <c r="O260" s="1737"/>
      <c r="P260" s="1737"/>
      <c r="AH260" s="1744">
        <v>0</v>
      </c>
    </row>
    <row s="8113" customFormat="1" customHeight="1" ht="18.75" hidden="1">
      <c r="A261" s="1893"/>
      <c r="B261" s="1893"/>
      <c r="C261" s="482" t="s">
        <v>1323</v>
      </c>
      <c r="D261" s="2575"/>
      <c r="E261" s="2317"/>
      <c r="F261" s="2496"/>
      <c r="G261" s="2540"/>
      <c r="H261" s="1613"/>
      <c r="I261" s="764" t="s">
        <v>1322</v>
      </c>
      <c r="J261" s="684"/>
      <c r="K261" s="1613"/>
      <c r="L261" s="327"/>
      <c r="M261" s="454"/>
      <c r="N261" s="447"/>
      <c r="O261" s="1737"/>
      <c r="P261" s="1737"/>
      <c r="AH261" s="1744">
        <v>0</v>
      </c>
    </row>
    <row s="8113" customFormat="1" customHeight="1" ht="0.75" hidden="1">
      <c r="A262" s="1893"/>
      <c r="B262" s="1893"/>
      <c r="C262" s="482" t="s">
        <v>1330</v>
      </c>
      <c r="D262" s="2575"/>
      <c r="E262" s="2317"/>
      <c r="F262" s="2496"/>
      <c r="G262" s="513"/>
      <c r="H262" s="1613"/>
      <c r="I262" s="764"/>
      <c r="J262" s="684"/>
      <c r="K262" s="1613"/>
      <c r="L262" s="327"/>
      <c r="M262" s="454"/>
      <c r="N262" s="447"/>
      <c r="O262" s="1737"/>
      <c r="P262" s="1737"/>
      <c r="AH262" s="1744">
        <v>0</v>
      </c>
    </row>
    <row s="8113" customFormat="1" customHeight="1" ht="18.75" hidden="1">
      <c r="A263" s="1893" t="s">
        <v>425</v>
      </c>
      <c r="B263" s="1893" t="s">
        <v>426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461</v>
      </c>
      <c r="M263" s="454"/>
      <c r="N263" s="447"/>
      <c r="O263" s="1737"/>
      <c r="P263" s="1737"/>
      <c r="AH263" s="1744">
        <v>0</v>
      </c>
    </row>
    <row s="8113" customFormat="1" customHeight="1" ht="18.75" hidden="1">
      <c r="A264" s="1893"/>
      <c r="B264" s="1893"/>
      <c r="C264" s="482" t="s">
        <v>1323</v>
      </c>
      <c r="D264" s="2575"/>
      <c r="E264" s="2317"/>
      <c r="F264" s="2496"/>
      <c r="G264" s="2540"/>
      <c r="H264" s="1613"/>
      <c r="I264" s="764" t="s">
        <v>1322</v>
      </c>
      <c r="J264" s="684"/>
      <c r="K264" s="1613"/>
      <c r="L264" s="327"/>
      <c r="M264" s="454"/>
      <c r="N264" s="447"/>
      <c r="O264" s="1737"/>
      <c r="P264" s="1737"/>
      <c r="AH264" s="1744">
        <v>0</v>
      </c>
    </row>
    <row s="8113" customFormat="1" customHeight="1" ht="0.75" hidden="1">
      <c r="A265" s="1893"/>
      <c r="B265" s="1893"/>
      <c r="C265" s="482" t="s">
        <v>1330</v>
      </c>
      <c r="D265" s="2575"/>
      <c r="E265" s="2317"/>
      <c r="F265" s="2496"/>
      <c r="G265" s="513"/>
      <c r="H265" s="1613"/>
      <c r="I265" s="764"/>
      <c r="J265" s="684"/>
      <c r="K265" s="1613"/>
      <c r="L265" s="327"/>
      <c r="M265" s="454"/>
      <c r="N265" s="447"/>
      <c r="O265" s="1737"/>
      <c r="P265" s="1737"/>
      <c r="AH265" s="1744">
        <v>0</v>
      </c>
    </row>
    <row s="8113" customFormat="1" customHeight="1" ht="18.75" hidden="1">
      <c r="A266" s="1893" t="s">
        <v>430</v>
      </c>
      <c r="B266" s="1893" t="s">
        <v>431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461</v>
      </c>
      <c r="M266" s="454"/>
      <c r="N266" s="447"/>
      <c r="O266" s="1737"/>
      <c r="P266" s="1737"/>
      <c r="AH266" s="1744">
        <v>0</v>
      </c>
    </row>
    <row s="8113" customFormat="1" customHeight="1" ht="18.75" hidden="1">
      <c r="A267" s="1893"/>
      <c r="B267" s="1893"/>
      <c r="C267" s="482" t="s">
        <v>1323</v>
      </c>
      <c r="D267" s="2575"/>
      <c r="E267" s="2317"/>
      <c r="F267" s="2496"/>
      <c r="G267" s="2540"/>
      <c r="H267" s="1613"/>
      <c r="I267" s="764" t="s">
        <v>1322</v>
      </c>
      <c r="J267" s="684"/>
      <c r="K267" s="1613"/>
      <c r="L267" s="327"/>
      <c r="M267" s="454"/>
      <c r="N267" s="447"/>
      <c r="O267" s="1737"/>
      <c r="P267" s="1737"/>
      <c r="AH267" s="1744">
        <v>0</v>
      </c>
    </row>
    <row s="8113" customFormat="1" customHeight="1" ht="1.05">
      <c r="A268" s="1893"/>
      <c r="B268" s="1893"/>
      <c r="C268" s="482" t="s">
        <v>1330</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8113" customFormat="1" customHeight="1" ht="60.75" hidden="1">
      <c r="A270" s="1893" t="s">
        <v>226</v>
      </c>
      <c r="B270" s="1893" t="s">
        <v>227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461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8113" customFormat="1" customHeight="1" ht="18.75" hidden="1">
      <c r="A271" s="1893"/>
      <c r="B271" s="1893"/>
      <c r="C271" s="482" t="s">
        <v>1323</v>
      </c>
      <c r="D271" s="2575"/>
      <c r="E271" s="2317"/>
      <c r="F271" s="2496"/>
      <c r="G271" s="2540"/>
      <c r="H271" s="1613"/>
      <c r="I271" s="764" t="s">
        <v>1322</v>
      </c>
      <c r="J271" s="684"/>
      <c r="K271" s="1613"/>
      <c r="L271" s="327"/>
      <c r="M271" s="2283"/>
      <c r="N271" s="447"/>
      <c r="O271" s="1737"/>
      <c r="P271" s="1737"/>
      <c r="AH271" s="1744">
        <v>0</v>
      </c>
    </row>
    <row s="8113" customFormat="1" customHeight="1" ht="0.75" hidden="1">
      <c r="A272" s="1893"/>
      <c r="B272" s="1893"/>
      <c r="C272" s="482" t="s">
        <v>1330</v>
      </c>
      <c r="D272" s="2575"/>
      <c r="E272" s="2317"/>
      <c r="F272" s="2496"/>
      <c r="G272" s="513"/>
      <c r="H272" s="1613"/>
      <c r="I272" s="764"/>
      <c r="J272" s="684"/>
      <c r="K272" s="1613"/>
      <c r="L272" s="327"/>
      <c r="M272" s="2283"/>
      <c r="N272" s="447"/>
      <c r="O272" s="1737"/>
      <c r="P272" s="1737"/>
      <c r="AH272" s="1744">
        <v>0</v>
      </c>
    </row>
    <row s="8113" customFormat="1" customHeight="1" ht="45" hidden="1">
      <c r="A273" s="1893" t="s">
        <v>232</v>
      </c>
      <c r="B273" s="1893" t="s">
        <v>233</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461</v>
      </c>
      <c r="M273" s="2284"/>
      <c r="N273" s="447"/>
      <c r="O273" s="1737"/>
      <c r="P273" s="1737"/>
      <c r="AH273" s="1744">
        <v>0</v>
      </c>
    </row>
    <row s="8113" customFormat="1" customHeight="1" ht="18.75" hidden="1">
      <c r="A274" s="1893"/>
      <c r="B274" s="1893"/>
      <c r="C274" s="482" t="s">
        <v>1323</v>
      </c>
      <c r="D274" s="2575"/>
      <c r="E274" s="2317"/>
      <c r="F274" s="2496"/>
      <c r="G274" s="2540"/>
      <c r="H274" s="1613"/>
      <c r="I274" s="764" t="s">
        <v>1322</v>
      </c>
      <c r="J274" s="684"/>
      <c r="K274" s="1613"/>
      <c r="L274" s="327"/>
      <c r="M274" s="1974"/>
      <c r="N274" s="447"/>
      <c r="O274" s="1737"/>
      <c r="P274" s="1737"/>
      <c r="AH274" s="1744">
        <v>0</v>
      </c>
    </row>
    <row s="8113" customFormat="1" customHeight="1" ht="0.75" hidden="1">
      <c r="A275" s="1893"/>
      <c r="B275" s="1893"/>
      <c r="C275" s="482" t="s">
        <v>1330</v>
      </c>
      <c r="D275" s="2575"/>
      <c r="E275" s="2317"/>
      <c r="F275" s="2496"/>
      <c r="G275" s="513"/>
      <c r="H275" s="1613"/>
      <c r="I275" s="764"/>
      <c r="J275" s="684"/>
      <c r="K275" s="1613"/>
      <c r="L275" s="327"/>
      <c r="M275" s="454"/>
      <c r="N275" s="447"/>
      <c r="O275" s="1737"/>
      <c r="P275" s="1737"/>
      <c r="AH275" s="1744">
        <v>0</v>
      </c>
    </row>
    <row s="8113" customFormat="1" customHeight="1" ht="45" hidden="1">
      <c r="A276" s="1893" t="s">
        <v>238</v>
      </c>
      <c r="B276" s="1893" t="s">
        <v>239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461</v>
      </c>
      <c r="M276" s="454"/>
      <c r="N276" s="447"/>
      <c r="O276" s="1737"/>
      <c r="P276" s="1737"/>
      <c r="AH276" s="1744">
        <v>0</v>
      </c>
    </row>
    <row s="8113" customFormat="1" customHeight="1" ht="18.75" hidden="1">
      <c r="A277" s="1893"/>
      <c r="B277" s="1893"/>
      <c r="C277" s="482" t="s">
        <v>1323</v>
      </c>
      <c r="D277" s="2575"/>
      <c r="E277" s="2317"/>
      <c r="F277" s="2496"/>
      <c r="G277" s="2540"/>
      <c r="H277" s="1613"/>
      <c r="I277" s="764" t="s">
        <v>1322</v>
      </c>
      <c r="J277" s="684"/>
      <c r="K277" s="1613"/>
      <c r="L277" s="327"/>
      <c r="M277" s="454"/>
      <c r="N277" s="447"/>
      <c r="O277" s="1737"/>
      <c r="P277" s="1737"/>
      <c r="AH277" s="1744">
        <v>0</v>
      </c>
    </row>
    <row s="8113" customFormat="1" customHeight="1" ht="0.75" hidden="1">
      <c r="A278" s="1893"/>
      <c r="B278" s="1893"/>
      <c r="C278" s="482" t="s">
        <v>1330</v>
      </c>
      <c r="D278" s="2575"/>
      <c r="E278" s="2317"/>
      <c r="F278" s="2496"/>
      <c r="G278" s="513"/>
      <c r="H278" s="1613"/>
      <c r="I278" s="764"/>
      <c r="J278" s="684"/>
      <c r="K278" s="1613"/>
      <c r="L278" s="327"/>
      <c r="M278" s="454"/>
      <c r="N278" s="447"/>
      <c r="O278" s="1737"/>
      <c r="P278" s="1737"/>
      <c r="AH278" s="1744">
        <v>0</v>
      </c>
    </row>
    <row s="8113" customFormat="1" customHeight="1" ht="45" hidden="1">
      <c r="A279" s="1893" t="s">
        <v>244</v>
      </c>
      <c r="B279" s="1893" t="s">
        <v>245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461</v>
      </c>
      <c r="M279" s="454"/>
      <c r="N279" s="447"/>
      <c r="O279" s="1737"/>
      <c r="P279" s="1737"/>
      <c r="AH279" s="1744">
        <v>0</v>
      </c>
    </row>
    <row s="8113" customFormat="1" customHeight="1" ht="18.75" hidden="1">
      <c r="A280" s="1893"/>
      <c r="B280" s="1893"/>
      <c r="C280" s="482" t="s">
        <v>1323</v>
      </c>
      <c r="D280" s="2575"/>
      <c r="E280" s="2317"/>
      <c r="F280" s="2496"/>
      <c r="G280" s="2540"/>
      <c r="H280" s="1613"/>
      <c r="I280" s="764" t="s">
        <v>1322</v>
      </c>
      <c r="J280" s="684"/>
      <c r="K280" s="1613"/>
      <c r="L280" s="327"/>
      <c r="M280" s="454"/>
      <c r="N280" s="447"/>
      <c r="O280" s="1737"/>
      <c r="P280" s="1737"/>
      <c r="AH280" s="1744">
        <v>0</v>
      </c>
    </row>
    <row s="8113" customFormat="1" customHeight="1" ht="0.75" hidden="1">
      <c r="A281" s="1893"/>
      <c r="B281" s="1893"/>
      <c r="C281" s="482" t="s">
        <v>1330</v>
      </c>
      <c r="D281" s="2575"/>
      <c r="E281" s="2317"/>
      <c r="F281" s="2496"/>
      <c r="G281" s="513"/>
      <c r="H281" s="1613"/>
      <c r="I281" s="764"/>
      <c r="J281" s="684"/>
      <c r="K281" s="1613"/>
      <c r="L281" s="327"/>
      <c r="M281" s="454"/>
      <c r="N281" s="447"/>
      <c r="O281" s="1737"/>
      <c r="P281" s="1737"/>
      <c r="AH281" s="1744">
        <v>0</v>
      </c>
    </row>
    <row s="8113" customFormat="1" customHeight="1" ht="18.75" hidden="1">
      <c r="A282" s="1893" t="s">
        <v>250</v>
      </c>
      <c r="B282" s="1893" t="s">
        <v>251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461</v>
      </c>
      <c r="M282" s="454"/>
      <c r="N282" s="447"/>
      <c r="O282" s="1737"/>
      <c r="P282" s="1737"/>
      <c r="AH282" s="1744">
        <v>0</v>
      </c>
    </row>
    <row s="8113" customFormat="1" customHeight="1" ht="18.75" hidden="1">
      <c r="A283" s="1893"/>
      <c r="B283" s="1893"/>
      <c r="C283" s="482" t="s">
        <v>1323</v>
      </c>
      <c r="D283" s="2575"/>
      <c r="E283" s="2317"/>
      <c r="F283" s="2496"/>
      <c r="G283" s="2540"/>
      <c r="H283" s="1613"/>
      <c r="I283" s="764" t="s">
        <v>1322</v>
      </c>
      <c r="J283" s="684"/>
      <c r="K283" s="1613"/>
      <c r="L283" s="327"/>
      <c r="M283" s="454"/>
      <c r="N283" s="447"/>
      <c r="O283" s="1737"/>
      <c r="P283" s="1737"/>
      <c r="AH283" s="1744">
        <v>0</v>
      </c>
    </row>
    <row s="8113" customFormat="1" customHeight="1" ht="0.75" hidden="1">
      <c r="A284" s="1893"/>
      <c r="B284" s="1893"/>
      <c r="C284" s="482" t="s">
        <v>1330</v>
      </c>
      <c r="D284" s="2575"/>
      <c r="E284" s="2317"/>
      <c r="F284" s="2496"/>
      <c r="G284" s="513"/>
      <c r="H284" s="1613"/>
      <c r="I284" s="764"/>
      <c r="J284" s="684"/>
      <c r="K284" s="1613"/>
      <c r="L284" s="327"/>
      <c r="M284" s="454"/>
      <c r="N284" s="447"/>
      <c r="O284" s="1737"/>
      <c r="P284" s="1737"/>
      <c r="AH284" s="1744">
        <v>0</v>
      </c>
    </row>
    <row s="8113" customFormat="1" customHeight="1" ht="18.75" hidden="1">
      <c r="A285" s="1893" t="s">
        <v>256</v>
      </c>
      <c r="B285" s="1893" t="s">
        <v>257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461</v>
      </c>
      <c r="M285" s="454"/>
      <c r="N285" s="447"/>
      <c r="O285" s="1737"/>
      <c r="P285" s="1737"/>
      <c r="AH285" s="1744">
        <v>0</v>
      </c>
    </row>
    <row s="8113" customFormat="1" customHeight="1" ht="18.75" hidden="1">
      <c r="A286" s="1893"/>
      <c r="B286" s="1893"/>
      <c r="C286" s="482" t="s">
        <v>1323</v>
      </c>
      <c r="D286" s="2575"/>
      <c r="E286" s="2317"/>
      <c r="F286" s="2496"/>
      <c r="G286" s="2540"/>
      <c r="H286" s="1613"/>
      <c r="I286" s="764" t="s">
        <v>1322</v>
      </c>
      <c r="J286" s="684"/>
      <c r="K286" s="1613"/>
      <c r="L286" s="327"/>
      <c r="M286" s="454"/>
      <c r="N286" s="447"/>
      <c r="O286" s="1737"/>
      <c r="P286" s="1737"/>
      <c r="AH286" s="1744">
        <v>0</v>
      </c>
    </row>
    <row s="8113" customFormat="1" customHeight="1" ht="0.75" hidden="1">
      <c r="A287" s="1893"/>
      <c r="B287" s="1893"/>
      <c r="C287" s="482" t="s">
        <v>1330</v>
      </c>
      <c r="D287" s="2575"/>
      <c r="E287" s="2317"/>
      <c r="F287" s="2496"/>
      <c r="G287" s="513"/>
      <c r="H287" s="1613"/>
      <c r="I287" s="764"/>
      <c r="J287" s="684"/>
      <c r="K287" s="1613"/>
      <c r="L287" s="327"/>
      <c r="M287" s="454"/>
      <c r="N287" s="447"/>
      <c r="O287" s="1737"/>
      <c r="P287" s="1737"/>
      <c r="AH287" s="1744">
        <v>0</v>
      </c>
    </row>
    <row s="8113" customFormat="1" customHeight="1" ht="18.75" hidden="1">
      <c r="A288" s="1893" t="s">
        <v>266</v>
      </c>
      <c r="B288" s="1893" t="s">
        <v>267</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Плата за услуги по поддержанию резервной тепловой мощности при отсутствии потребления тепловой энергии </v>
      </c>
      <c r="H288" s="1975"/>
      <c r="I288" s="1852"/>
      <c r="J288" s="1886"/>
      <c r="K288" s="1891"/>
      <c r="L288" s="1975" t="s">
        <v>461</v>
      </c>
      <c r="M288" s="454"/>
      <c r="N288" s="447"/>
      <c r="O288" s="1737"/>
      <c r="P288" s="1737"/>
      <c r="AH288" s="1744">
        <v>0</v>
      </c>
    </row>
    <row s="8113" customFormat="1" customHeight="1" ht="18.75" hidden="1">
      <c r="A289" s="1893"/>
      <c r="B289" s="1893"/>
      <c r="C289" s="482" t="s">
        <v>1323</v>
      </c>
      <c r="D289" s="2575"/>
      <c r="E289" s="2317"/>
      <c r="F289" s="2496"/>
      <c r="G289" s="2540"/>
      <c r="H289" s="1613"/>
      <c r="I289" s="764" t="s">
        <v>1322</v>
      </c>
      <c r="J289" s="684"/>
      <c r="K289" s="1613"/>
      <c r="L289" s="327"/>
      <c r="M289" s="454"/>
      <c r="N289" s="447"/>
      <c r="O289" s="1737"/>
      <c r="P289" s="1737"/>
      <c r="AH289" s="1744">
        <v>0</v>
      </c>
    </row>
    <row s="8113" customFormat="1" customHeight="1" ht="0.75" hidden="1">
      <c r="A290" s="1893"/>
      <c r="B290" s="1893"/>
      <c r="C290" s="482" t="s">
        <v>1330</v>
      </c>
      <c r="D290" s="2575"/>
      <c r="E290" s="2317"/>
      <c r="F290" s="2496"/>
      <c r="G290" s="513"/>
      <c r="H290" s="1613"/>
      <c r="I290" s="764"/>
      <c r="J290" s="684"/>
      <c r="K290" s="1613"/>
      <c r="L290" s="327"/>
      <c r="M290" s="454"/>
      <c r="N290" s="447"/>
      <c r="O290" s="1737"/>
      <c r="P290" s="1737"/>
      <c r="AH290" s="1744">
        <v>0</v>
      </c>
    </row>
    <row s="8113" customFormat="1" customHeight="1" ht="18.75" hidden="1">
      <c r="A291" s="1893" t="s">
        <v>354</v>
      </c>
      <c r="B291" s="1893" t="s">
        <v>355</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461</v>
      </c>
      <c r="M291" s="454"/>
      <c r="N291" s="447"/>
      <c r="O291" s="1737"/>
      <c r="P291" s="1737"/>
      <c r="AH291" s="1744">
        <v>0</v>
      </c>
    </row>
    <row s="8113" customFormat="1" customHeight="1" ht="18.75" hidden="1">
      <c r="A292" s="1893"/>
      <c r="B292" s="1893"/>
      <c r="C292" s="482" t="s">
        <v>1323</v>
      </c>
      <c r="D292" s="2575"/>
      <c r="E292" s="2317"/>
      <c r="F292" s="2496"/>
      <c r="G292" s="2540"/>
      <c r="H292" s="1613"/>
      <c r="I292" s="764" t="s">
        <v>1322</v>
      </c>
      <c r="J292" s="684"/>
      <c r="K292" s="1613"/>
      <c r="L292" s="327"/>
      <c r="M292" s="454"/>
      <c r="N292" s="447"/>
      <c r="O292" s="1737"/>
      <c r="P292" s="1737"/>
      <c r="AH292" s="1744">
        <v>0</v>
      </c>
    </row>
    <row s="8113" customFormat="1" customHeight="1" ht="0.75" hidden="1">
      <c r="A293" s="1893"/>
      <c r="B293" s="1893"/>
      <c r="C293" s="482" t="s">
        <v>1330</v>
      </c>
      <c r="D293" s="2575"/>
      <c r="E293" s="2317"/>
      <c r="F293" s="2496"/>
      <c r="G293" s="513"/>
      <c r="H293" s="1613"/>
      <c r="I293" s="764"/>
      <c r="J293" s="684"/>
      <c r="K293" s="1613"/>
      <c r="L293" s="327"/>
      <c r="M293" s="454"/>
      <c r="N293" s="447"/>
      <c r="O293" s="1737"/>
      <c r="P293" s="1737"/>
      <c r="AH293" s="1744">
        <v>0</v>
      </c>
    </row>
    <row s="8113" customFormat="1" customHeight="1" ht="18.75" hidden="1">
      <c r="A294" s="1893" t="s">
        <v>360</v>
      </c>
      <c r="B294" s="1893" t="s">
        <v>361</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461</v>
      </c>
      <c r="M294" s="454"/>
      <c r="N294" s="447"/>
      <c r="O294" s="1737"/>
      <c r="P294" s="1737"/>
      <c r="AH294" s="1744">
        <v>0</v>
      </c>
    </row>
    <row s="8113" customFormat="1" customHeight="1" ht="18.75" hidden="1">
      <c r="A295" s="1893"/>
      <c r="B295" s="1893"/>
      <c r="C295" s="482" t="s">
        <v>1323</v>
      </c>
      <c r="D295" s="2575"/>
      <c r="E295" s="2317"/>
      <c r="F295" s="2496"/>
      <c r="G295" s="2540"/>
      <c r="H295" s="1613"/>
      <c r="I295" s="764" t="s">
        <v>1322</v>
      </c>
      <c r="J295" s="684"/>
      <c r="K295" s="1613"/>
      <c r="L295" s="327"/>
      <c r="M295" s="454"/>
      <c r="N295" s="447"/>
      <c r="O295" s="1737"/>
      <c r="P295" s="1737"/>
      <c r="AH295" s="1744">
        <v>0</v>
      </c>
    </row>
    <row s="8113" customFormat="1" customHeight="1" ht="0.75" hidden="1">
      <c r="A296" s="1893"/>
      <c r="B296" s="1893"/>
      <c r="C296" s="482" t="s">
        <v>1330</v>
      </c>
      <c r="D296" s="2575"/>
      <c r="E296" s="2317"/>
      <c r="F296" s="2496"/>
      <c r="G296" s="513"/>
      <c r="H296" s="1613"/>
      <c r="I296" s="764"/>
      <c r="J296" s="684"/>
      <c r="K296" s="1613"/>
      <c r="L296" s="327"/>
      <c r="M296" s="454"/>
      <c r="N296" s="447"/>
      <c r="O296" s="1737"/>
      <c r="P296" s="1737"/>
      <c r="AH296" s="1744">
        <v>0</v>
      </c>
    </row>
    <row s="8113" customFormat="1" customHeight="1" ht="18.75" hidden="1">
      <c r="A297" s="1893" t="s">
        <v>380</v>
      </c>
      <c r="B297" s="1893" t="s">
        <v>381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461</v>
      </c>
      <c r="M297" s="454"/>
      <c r="N297" s="447"/>
      <c r="O297" s="1737"/>
      <c r="P297" s="1737"/>
      <c r="AH297" s="1744">
        <v>0</v>
      </c>
    </row>
    <row s="8113" customFormat="1" customHeight="1" ht="18.75" hidden="1">
      <c r="A298" s="1893"/>
      <c r="B298" s="1893"/>
      <c r="C298" s="482" t="s">
        <v>1323</v>
      </c>
      <c r="D298" s="2575"/>
      <c r="E298" s="2317"/>
      <c r="F298" s="2496"/>
      <c r="G298" s="2540"/>
      <c r="H298" s="1613"/>
      <c r="I298" s="764" t="s">
        <v>1322</v>
      </c>
      <c r="J298" s="684"/>
      <c r="K298" s="1613"/>
      <c r="L298" s="327"/>
      <c r="M298" s="454"/>
      <c r="N298" s="447"/>
      <c r="O298" s="1737"/>
      <c r="P298" s="1737"/>
      <c r="AH298" s="1744">
        <v>0</v>
      </c>
    </row>
    <row s="8113" customFormat="1" customHeight="1" ht="0.75" hidden="1">
      <c r="A299" s="1893"/>
      <c r="B299" s="1893"/>
      <c r="C299" s="482" t="s">
        <v>1330</v>
      </c>
      <c r="D299" s="2575"/>
      <c r="E299" s="2317"/>
      <c r="F299" s="2496"/>
      <c r="G299" s="513"/>
      <c r="H299" s="1613"/>
      <c r="I299" s="764"/>
      <c r="J299" s="684"/>
      <c r="K299" s="1613"/>
      <c r="L299" s="327"/>
      <c r="M299" s="454"/>
      <c r="N299" s="447"/>
      <c r="O299" s="1737"/>
      <c r="P299" s="1737"/>
      <c r="AH299" s="1744">
        <v>0</v>
      </c>
    </row>
    <row s="8113" customFormat="1" customHeight="1" ht="18.75" hidden="1">
      <c r="A300" s="1893" t="s">
        <v>385</v>
      </c>
      <c r="B300" s="1893" t="s">
        <v>386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461</v>
      </c>
      <c r="M300" s="454"/>
      <c r="N300" s="447"/>
      <c r="O300" s="1737"/>
      <c r="P300" s="1737"/>
      <c r="AH300" s="1744">
        <v>0</v>
      </c>
    </row>
    <row s="8113" customFormat="1" customHeight="1" ht="18.75" hidden="1">
      <c r="A301" s="1893"/>
      <c r="B301" s="1893"/>
      <c r="C301" s="482" t="s">
        <v>1323</v>
      </c>
      <c r="D301" s="2575"/>
      <c r="E301" s="2317"/>
      <c r="F301" s="2496"/>
      <c r="G301" s="2540"/>
      <c r="H301" s="1613"/>
      <c r="I301" s="764" t="s">
        <v>1322</v>
      </c>
      <c r="J301" s="684"/>
      <c r="K301" s="1613"/>
      <c r="L301" s="327"/>
      <c r="M301" s="454"/>
      <c r="N301" s="447"/>
      <c r="O301" s="1737"/>
      <c r="P301" s="1737"/>
      <c r="AH301" s="1744">
        <v>0</v>
      </c>
    </row>
    <row s="8113" customFormat="1" customHeight="1" ht="0.75" hidden="1">
      <c r="A302" s="1893"/>
      <c r="B302" s="1893"/>
      <c r="C302" s="482" t="s">
        <v>1330</v>
      </c>
      <c r="D302" s="2575"/>
      <c r="E302" s="2317"/>
      <c r="F302" s="2496"/>
      <c r="G302" s="513"/>
      <c r="H302" s="1613"/>
      <c r="I302" s="764"/>
      <c r="J302" s="684"/>
      <c r="K302" s="1613"/>
      <c r="L302" s="327"/>
      <c r="M302" s="454"/>
      <c r="N302" s="447"/>
      <c r="O302" s="1737"/>
      <c r="P302" s="1737"/>
      <c r="AH302" s="1744">
        <v>0</v>
      </c>
    </row>
    <row s="8113" customFormat="1" customHeight="1" ht="18.75" hidden="1">
      <c r="A303" s="1893" t="s">
        <v>390</v>
      </c>
      <c r="B303" s="1893" t="s">
        <v>391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461</v>
      </c>
      <c r="M303" s="454"/>
      <c r="N303" s="447"/>
      <c r="O303" s="1737"/>
      <c r="P303" s="1737"/>
      <c r="AH303" s="1744">
        <v>0</v>
      </c>
    </row>
    <row s="8113" customFormat="1" customHeight="1" ht="18.75" hidden="1">
      <c r="A304" s="1893"/>
      <c r="B304" s="1893"/>
      <c r="C304" s="482" t="s">
        <v>1323</v>
      </c>
      <c r="D304" s="2575"/>
      <c r="E304" s="2317"/>
      <c r="F304" s="2496"/>
      <c r="G304" s="2540"/>
      <c r="H304" s="1613"/>
      <c r="I304" s="764" t="s">
        <v>1322</v>
      </c>
      <c r="J304" s="684"/>
      <c r="K304" s="1613"/>
      <c r="L304" s="327"/>
      <c r="M304" s="454"/>
      <c r="N304" s="447"/>
      <c r="O304" s="1737"/>
      <c r="P304" s="1737"/>
      <c r="AH304" s="1744">
        <v>0</v>
      </c>
    </row>
    <row s="8113" customFormat="1" customHeight="1" ht="0.75" hidden="1">
      <c r="A305" s="1893"/>
      <c r="B305" s="1893"/>
      <c r="C305" s="482" t="s">
        <v>1330</v>
      </c>
      <c r="D305" s="2575"/>
      <c r="E305" s="2317"/>
      <c r="F305" s="2496"/>
      <c r="G305" s="513"/>
      <c r="H305" s="1613"/>
      <c r="I305" s="764"/>
      <c r="J305" s="684"/>
      <c r="K305" s="1613"/>
      <c r="L305" s="327"/>
      <c r="M305" s="454"/>
      <c r="N305" s="447"/>
      <c r="O305" s="1737"/>
      <c r="P305" s="1737"/>
      <c r="AH305" s="1744">
        <v>0</v>
      </c>
    </row>
    <row s="8113" customFormat="1" customHeight="1" ht="18.75" hidden="1">
      <c r="A306" s="1893" t="s">
        <v>395</v>
      </c>
      <c r="B306" s="1893" t="s">
        <v>396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461</v>
      </c>
      <c r="M306" s="454"/>
      <c r="N306" s="447"/>
      <c r="O306" s="1737"/>
      <c r="P306" s="1737"/>
      <c r="AH306" s="1744">
        <v>0</v>
      </c>
    </row>
    <row s="8113" customFormat="1" customHeight="1" ht="18.75" hidden="1">
      <c r="A307" s="1893"/>
      <c r="B307" s="1893"/>
      <c r="C307" s="482" t="s">
        <v>1323</v>
      </c>
      <c r="D307" s="2575"/>
      <c r="E307" s="2317"/>
      <c r="F307" s="2496"/>
      <c r="G307" s="2540"/>
      <c r="H307" s="1613"/>
      <c r="I307" s="764" t="s">
        <v>1322</v>
      </c>
      <c r="J307" s="684"/>
      <c r="K307" s="1613"/>
      <c r="L307" s="327"/>
      <c r="M307" s="454"/>
      <c r="N307" s="447"/>
      <c r="O307" s="1737"/>
      <c r="P307" s="1737"/>
      <c r="AH307" s="1744">
        <v>0</v>
      </c>
    </row>
    <row s="8113" customFormat="1" customHeight="1" ht="0.75" hidden="1">
      <c r="A308" s="1893"/>
      <c r="B308" s="1893"/>
      <c r="C308" s="482" t="s">
        <v>1330</v>
      </c>
      <c r="D308" s="2575"/>
      <c r="E308" s="2317"/>
      <c r="F308" s="2496"/>
      <c r="G308" s="513"/>
      <c r="H308" s="1613"/>
      <c r="I308" s="764"/>
      <c r="J308" s="684"/>
      <c r="K308" s="1613"/>
      <c r="L308" s="327"/>
      <c r="M308" s="454"/>
      <c r="N308" s="447"/>
      <c r="O308" s="1737"/>
      <c r="P308" s="1737"/>
      <c r="AH308" s="1744">
        <v>0</v>
      </c>
    </row>
    <row s="8113" customFormat="1" customHeight="1" ht="18.75" hidden="1">
      <c r="A309" s="1893" t="s">
        <v>400</v>
      </c>
      <c r="B309" s="1893" t="s">
        <v>401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461</v>
      </c>
      <c r="M309" s="454"/>
      <c r="N309" s="447"/>
      <c r="O309" s="1737"/>
      <c r="P309" s="1737"/>
      <c r="AH309" s="1744">
        <v>0</v>
      </c>
    </row>
    <row s="8113" customFormat="1" customHeight="1" ht="18.75" hidden="1">
      <c r="A310" s="1893"/>
      <c r="B310" s="1893"/>
      <c r="C310" s="482" t="s">
        <v>1323</v>
      </c>
      <c r="D310" s="2575"/>
      <c r="E310" s="2317"/>
      <c r="F310" s="2496"/>
      <c r="G310" s="2540"/>
      <c r="H310" s="1613"/>
      <c r="I310" s="764" t="s">
        <v>1322</v>
      </c>
      <c r="J310" s="684"/>
      <c r="K310" s="1613"/>
      <c r="L310" s="327"/>
      <c r="M310" s="454"/>
      <c r="N310" s="447"/>
      <c r="O310" s="1737"/>
      <c r="P310" s="1737"/>
      <c r="AH310" s="1744">
        <v>0</v>
      </c>
    </row>
    <row s="8113" customFormat="1" customHeight="1" ht="0.75" hidden="1">
      <c r="A311" s="1893"/>
      <c r="B311" s="1893"/>
      <c r="C311" s="482" t="s">
        <v>1330</v>
      </c>
      <c r="D311" s="2575"/>
      <c r="E311" s="2317"/>
      <c r="F311" s="2496"/>
      <c r="G311" s="513"/>
      <c r="H311" s="1613"/>
      <c r="I311" s="764"/>
      <c r="J311" s="684"/>
      <c r="K311" s="1613"/>
      <c r="L311" s="327"/>
      <c r="M311" s="454"/>
      <c r="N311" s="447"/>
      <c r="O311" s="1737"/>
      <c r="P311" s="1737"/>
      <c r="AH311" s="1744">
        <v>0</v>
      </c>
    </row>
    <row s="8113" customFormat="1" customHeight="1" ht="18.75" hidden="1">
      <c r="A312" s="1893" t="s">
        <v>405</v>
      </c>
      <c r="B312" s="1893" t="s">
        <v>406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461</v>
      </c>
      <c r="M312" s="454"/>
      <c r="N312" s="447"/>
      <c r="O312" s="1737"/>
      <c r="P312" s="1737"/>
      <c r="AH312" s="1744">
        <v>0</v>
      </c>
    </row>
    <row s="8113" customFormat="1" customHeight="1" ht="18.75" hidden="1">
      <c r="A313" s="1893"/>
      <c r="B313" s="1893"/>
      <c r="C313" s="482" t="s">
        <v>1323</v>
      </c>
      <c r="D313" s="2575"/>
      <c r="E313" s="2317"/>
      <c r="F313" s="2496"/>
      <c r="G313" s="2540"/>
      <c r="H313" s="1613"/>
      <c r="I313" s="764" t="s">
        <v>1322</v>
      </c>
      <c r="J313" s="684"/>
      <c r="K313" s="1613"/>
      <c r="L313" s="327"/>
      <c r="M313" s="454"/>
      <c r="N313" s="447"/>
      <c r="O313" s="1737"/>
      <c r="P313" s="1737"/>
      <c r="AH313" s="1744">
        <v>0</v>
      </c>
    </row>
    <row s="8113" customFormat="1" customHeight="1" ht="0.75" hidden="1">
      <c r="A314" s="1893"/>
      <c r="B314" s="1893"/>
      <c r="C314" s="482" t="s">
        <v>1330</v>
      </c>
      <c r="D314" s="2575"/>
      <c r="E314" s="2317"/>
      <c r="F314" s="2496"/>
      <c r="G314" s="513"/>
      <c r="H314" s="1613"/>
      <c r="I314" s="764"/>
      <c r="J314" s="684"/>
      <c r="K314" s="1613"/>
      <c r="L314" s="327"/>
      <c r="M314" s="454"/>
      <c r="N314" s="447"/>
      <c r="O314" s="1737"/>
      <c r="P314" s="1737"/>
      <c r="AH314" s="1744">
        <v>0</v>
      </c>
    </row>
    <row s="8113" customFormat="1" customHeight="1" ht="18.75" hidden="1">
      <c r="A315" s="1893" t="s">
        <v>410</v>
      </c>
      <c r="B315" s="1893" t="s">
        <v>411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461</v>
      </c>
      <c r="M315" s="454"/>
      <c r="N315" s="447"/>
      <c r="O315" s="1737"/>
      <c r="P315" s="1737"/>
      <c r="AH315" s="1744">
        <v>0</v>
      </c>
    </row>
    <row s="8113" customFormat="1" customHeight="1" ht="18.75" hidden="1">
      <c r="A316" s="1893"/>
      <c r="B316" s="1893"/>
      <c r="C316" s="482" t="s">
        <v>1323</v>
      </c>
      <c r="D316" s="2575"/>
      <c r="E316" s="2317"/>
      <c r="F316" s="2496"/>
      <c r="G316" s="2540"/>
      <c r="H316" s="1613"/>
      <c r="I316" s="764" t="s">
        <v>1322</v>
      </c>
      <c r="J316" s="684"/>
      <c r="K316" s="1613"/>
      <c r="L316" s="327"/>
      <c r="M316" s="454"/>
      <c r="N316" s="447"/>
      <c r="O316" s="1737"/>
      <c r="P316" s="1737"/>
      <c r="AH316" s="1744">
        <v>0</v>
      </c>
    </row>
    <row s="8113" customFormat="1" customHeight="1" ht="0.75" hidden="1">
      <c r="A317" s="1893"/>
      <c r="B317" s="1893"/>
      <c r="C317" s="482" t="s">
        <v>1330</v>
      </c>
      <c r="D317" s="2575"/>
      <c r="E317" s="2317"/>
      <c r="F317" s="2496"/>
      <c r="G317" s="513"/>
      <c r="H317" s="1613"/>
      <c r="I317" s="764"/>
      <c r="J317" s="684"/>
      <c r="K317" s="1613"/>
      <c r="L317" s="327"/>
      <c r="M317" s="454"/>
      <c r="N317" s="447"/>
      <c r="O317" s="1737"/>
      <c r="P317" s="1737"/>
      <c r="AH317" s="1744">
        <v>0</v>
      </c>
    </row>
    <row s="8113" customFormat="1" customHeight="1" ht="18.75" hidden="1">
      <c r="A318" s="1893" t="s">
        <v>415</v>
      </c>
      <c r="B318" s="1893" t="s">
        <v>416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461</v>
      </c>
      <c r="M318" s="454"/>
      <c r="N318" s="447"/>
      <c r="O318" s="1737"/>
      <c r="P318" s="1737"/>
      <c r="AH318" s="1744">
        <v>0</v>
      </c>
    </row>
    <row s="8113" customFormat="1" customHeight="1" ht="18.75" hidden="1">
      <c r="A319" s="1893"/>
      <c r="B319" s="1893"/>
      <c r="C319" s="482" t="s">
        <v>1323</v>
      </c>
      <c r="D319" s="2575"/>
      <c r="E319" s="2317"/>
      <c r="F319" s="2496"/>
      <c r="G319" s="2540"/>
      <c r="H319" s="1613"/>
      <c r="I319" s="764" t="s">
        <v>1322</v>
      </c>
      <c r="J319" s="684"/>
      <c r="K319" s="1613"/>
      <c r="L319" s="327"/>
      <c r="M319" s="454"/>
      <c r="N319" s="447"/>
      <c r="O319" s="1737"/>
      <c r="P319" s="1737"/>
      <c r="AH319" s="1744">
        <v>0</v>
      </c>
    </row>
    <row s="8113" customFormat="1" customHeight="1" ht="0.75" hidden="1">
      <c r="A320" s="1893"/>
      <c r="B320" s="1893"/>
      <c r="C320" s="482" t="s">
        <v>1330</v>
      </c>
      <c r="D320" s="2575"/>
      <c r="E320" s="2317"/>
      <c r="F320" s="2496"/>
      <c r="G320" s="513"/>
      <c r="H320" s="1613"/>
      <c r="I320" s="764"/>
      <c r="J320" s="684"/>
      <c r="K320" s="1613"/>
      <c r="L320" s="327"/>
      <c r="M320" s="454"/>
      <c r="N320" s="447"/>
      <c r="O320" s="1737"/>
      <c r="P320" s="1737"/>
      <c r="AH320" s="1744">
        <v>0</v>
      </c>
    </row>
    <row s="8113" customFormat="1" customHeight="1" ht="18.75" hidden="1">
      <c r="A321" s="1893" t="s">
        <v>420</v>
      </c>
      <c r="B321" s="1893" t="s">
        <v>421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461</v>
      </c>
      <c r="M321" s="454"/>
      <c r="N321" s="447"/>
      <c r="O321" s="1737"/>
      <c r="P321" s="1737"/>
      <c r="AH321" s="1744">
        <v>0</v>
      </c>
    </row>
    <row s="8113" customFormat="1" customHeight="1" ht="18.75" hidden="1">
      <c r="A322" s="1893"/>
      <c r="B322" s="1893"/>
      <c r="C322" s="482" t="s">
        <v>1323</v>
      </c>
      <c r="D322" s="2575"/>
      <c r="E322" s="2317"/>
      <c r="F322" s="2496"/>
      <c r="G322" s="2540"/>
      <c r="H322" s="1613"/>
      <c r="I322" s="764" t="s">
        <v>1322</v>
      </c>
      <c r="J322" s="684"/>
      <c r="K322" s="1613"/>
      <c r="L322" s="327"/>
      <c r="M322" s="454"/>
      <c r="N322" s="447"/>
      <c r="O322" s="1737"/>
      <c r="P322" s="1737"/>
      <c r="AH322" s="1744">
        <v>0</v>
      </c>
    </row>
    <row s="8113" customFormat="1" customHeight="1" ht="0.75" hidden="1">
      <c r="A323" s="1893"/>
      <c r="B323" s="1893"/>
      <c r="C323" s="482" t="s">
        <v>1330</v>
      </c>
      <c r="D323" s="2575"/>
      <c r="E323" s="2317"/>
      <c r="F323" s="2496"/>
      <c r="G323" s="513"/>
      <c r="H323" s="1613"/>
      <c r="I323" s="764"/>
      <c r="J323" s="684"/>
      <c r="K323" s="1613"/>
      <c r="L323" s="327"/>
      <c r="M323" s="454"/>
      <c r="N323" s="447"/>
      <c r="O323" s="1737"/>
      <c r="P323" s="1737"/>
      <c r="AH323" s="1744">
        <v>0</v>
      </c>
    </row>
    <row s="8113" customFormat="1" customHeight="1" ht="18.75" hidden="1">
      <c r="A324" s="1893" t="s">
        <v>425</v>
      </c>
      <c r="B324" s="1893" t="s">
        <v>426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461</v>
      </c>
      <c r="M324" s="454"/>
      <c r="N324" s="447"/>
      <c r="O324" s="1737"/>
      <c r="P324" s="1737"/>
      <c r="AH324" s="1744">
        <v>0</v>
      </c>
    </row>
    <row s="8113" customFormat="1" customHeight="1" ht="18.75" hidden="1">
      <c r="A325" s="1893"/>
      <c r="B325" s="1893"/>
      <c r="C325" s="482" t="s">
        <v>1323</v>
      </c>
      <c r="D325" s="2575"/>
      <c r="E325" s="2317"/>
      <c r="F325" s="2496"/>
      <c r="G325" s="2540"/>
      <c r="H325" s="1613"/>
      <c r="I325" s="764" t="s">
        <v>1322</v>
      </c>
      <c r="J325" s="684"/>
      <c r="K325" s="1613"/>
      <c r="L325" s="327"/>
      <c r="M325" s="454"/>
      <c r="N325" s="447"/>
      <c r="O325" s="1737"/>
      <c r="P325" s="1737"/>
      <c r="AH325" s="1744">
        <v>0</v>
      </c>
    </row>
    <row s="8113" customFormat="1" customHeight="1" ht="0.75" hidden="1">
      <c r="A326" s="1893"/>
      <c r="B326" s="1893"/>
      <c r="C326" s="482" t="s">
        <v>1330</v>
      </c>
      <c r="D326" s="2575"/>
      <c r="E326" s="2317"/>
      <c r="F326" s="2496"/>
      <c r="G326" s="513"/>
      <c r="H326" s="1613"/>
      <c r="I326" s="764"/>
      <c r="J326" s="684"/>
      <c r="K326" s="1613"/>
      <c r="L326" s="327"/>
      <c r="M326" s="454"/>
      <c r="N326" s="447"/>
      <c r="O326" s="1737"/>
      <c r="P326" s="1737"/>
      <c r="AH326" s="1744">
        <v>0</v>
      </c>
    </row>
    <row s="8113" customFormat="1" customHeight="1" ht="18.75" hidden="1">
      <c r="A327" s="1893" t="s">
        <v>430</v>
      </c>
      <c r="B327" s="1893" t="s">
        <v>431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461</v>
      </c>
      <c r="M327" s="454"/>
      <c r="N327" s="447"/>
      <c r="O327" s="1737"/>
      <c r="P327" s="1737"/>
      <c r="AH327" s="1744">
        <v>0</v>
      </c>
    </row>
    <row s="8113" customFormat="1" customHeight="1" ht="18.75" hidden="1">
      <c r="A328" s="1893"/>
      <c r="B328" s="1893"/>
      <c r="C328" s="482" t="s">
        <v>1323</v>
      </c>
      <c r="D328" s="2575"/>
      <c r="E328" s="2317"/>
      <c r="F328" s="2496"/>
      <c r="G328" s="2540"/>
      <c r="H328" s="1613"/>
      <c r="I328" s="764" t="s">
        <v>1322</v>
      </c>
      <c r="J328" s="684"/>
      <c r="K328" s="1613"/>
      <c r="L328" s="327"/>
      <c r="M328" s="454"/>
      <c r="N328" s="447"/>
      <c r="O328" s="1737"/>
      <c r="P328" s="1737"/>
      <c r="AH328" s="1744">
        <v>0</v>
      </c>
    </row>
    <row s="8113" customFormat="1" customHeight="1" ht="1.05">
      <c r="A329" s="1893"/>
      <c r="B329" s="1893"/>
      <c r="C329" s="482" t="s">
        <v>1330</v>
      </c>
      <c r="D329" s="2575"/>
      <c r="E329" s="2317"/>
      <c r="F329" s="2496"/>
      <c r="G329" s="513"/>
      <c r="H329" s="1613"/>
      <c r="I329" s="764"/>
      <c r="J329" s="684"/>
      <c r="K329" s="1613"/>
      <c r="L329" s="327"/>
      <c r="M329" s="454"/>
      <c r="N329" s="447"/>
      <c r="O329" s="1737"/>
      <c r="P329" s="1737"/>
      <c r="AH329" s="1744">
        <v>1</v>
      </c>
    </row>
    <row s="12647"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801D-E6E8-CFB2-8CEE-9AD5E5BF91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45" width="9.140625" hidden="1" customWidth="1"/>
    <col min="2" max="2" style="8191" width="9.140625" hidden="1" customWidth="1"/>
    <col min="3" max="3" style="9046" width="3.00390625" customWidth="1"/>
    <col min="4" max="4" style="8113" width="6.00390625" customWidth="1"/>
    <col min="5" max="5" style="8113" width="53.00390625" customWidth="1"/>
    <col min="6" max="7" style="8113" width="35.00390625" customWidth="1"/>
    <col min="8" max="8" style="8113" width="89.00390625" customWidth="1"/>
    <col min="9" max="9" style="8113" width="10.00390625" customWidth="1"/>
    <col min="10" max="11" style="8291" width="10.00390625" customWidth="1"/>
    <col min="12" max="17" style="8113" width="10.00390625" customWidth="1"/>
    <col min="18" max="18" style="8113" width="10.57421875" hidden="1"/>
  </cols>
  <sheetData>
    <row customHeight="1" ht="22.5" hidden="1">
      <c r="N1" s="368"/>
      <c r="O1" s="368"/>
      <c r="Q1" s="368"/>
      <c r="R1" s="487" t="s">
        <v>14</v>
      </c>
    </row>
    <row s="8113" customFormat="1" customHeight="1" ht="18.75" hidden="1">
      <c r="A2" s="215"/>
      <c r="B2" s="1273"/>
      <c r="C2" s="1843" t="s">
        <v>106</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8113"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455</v>
      </c>
      <c r="E8" s="2322"/>
      <c r="F8" s="2322"/>
      <c r="G8" s="2322"/>
      <c r="H8" s="2502" t="s">
        <v>456</v>
      </c>
      <c r="R8" s="487">
        <v>14</v>
      </c>
    </row>
    <row customHeight="1" ht="24">
      <c r="C9" s="489"/>
      <c r="D9" s="499" t="s">
        <v>90</v>
      </c>
      <c r="E9" s="221" t="s">
        <v>457</v>
      </c>
      <c r="F9" s="221" t="s">
        <v>458</v>
      </c>
      <c r="G9" s="221" t="s">
        <v>545</v>
      </c>
      <c r="H9" s="2502"/>
      <c r="R9" s="487">
        <v>23</v>
      </c>
    </row>
    <row customHeight="1" ht="14.699999999999998">
      <c r="A10" s="456"/>
      <c r="C10" s="489"/>
      <c r="D10" s="260" t="s">
        <v>155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1331</v>
      </c>
      <c r="R10" s="487">
        <v>14</v>
      </c>
    </row>
    <row customHeight="1" ht="14.699999999999998">
      <c r="A11" s="456"/>
      <c r="C11" s="489"/>
      <c r="D11" s="260" t="s">
        <v>105</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477</v>
      </c>
      <c r="F14" s="462"/>
      <c r="G14" s="314"/>
      <c r="H14" s="2284"/>
      <c r="R14" s="487">
        <v>14</v>
      </c>
    </row>
    <row s="811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3E42-B199-1C0A-EB49-FF81D2167AD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77" width="9.140625" hidden="1" customWidth="1"/>
    <col min="2" max="2" style="8113" width="9.140625" hidden="1" customWidth="1"/>
    <col min="3" max="3" style="12377" width="4.00390625" customWidth="1"/>
    <col min="4" max="4" style="8113" width="6.00390625" customWidth="1"/>
    <col min="5" max="5" style="8113" width="47.00390625" customWidth="1"/>
    <col min="6" max="6" style="8113" width="9.00390625" customWidth="1"/>
    <col min="7" max="7" style="8113" width="25.7109375" hidden="1" customWidth="1"/>
    <col min="8" max="8" style="8113" width="34.00390625" hidden="1" customWidth="1"/>
    <col min="9" max="9" style="8113" width="25.7109375" customWidth="1"/>
    <col min="10" max="10" style="8113" width="33.00390625" customWidth="1"/>
    <col min="11" max="11" style="8191" width="50.00390625" customWidth="1"/>
    <col min="12" max="20" style="8113" width="10.00390625" customWidth="1"/>
    <col min="21" max="21" style="12378" width="10.00390625" customWidth="1"/>
    <col min="22" max="22" style="8113" width="10.57421875" hidden="1"/>
  </cols>
  <sheetData>
    <row s="8191" customFormat="1" customHeight="1" ht="22.5" hidden="1">
      <c r="C1" s="785"/>
      <c r="G1" s="530">
        <v>4</v>
      </c>
      <c r="I1" s="530">
        <v>4</v>
      </c>
      <c r="U1" s="533"/>
      <c r="V1" s="530" t="s">
        <v>14</v>
      </c>
    </row>
    <row s="8113" customFormat="1" customHeight="1" ht="15" hidden="1">
      <c r="A2" s="475"/>
      <c r="C2" s="289"/>
      <c r="D2" s="459"/>
      <c r="E2" s="786"/>
      <c r="F2" s="635"/>
      <c r="G2" s="729"/>
      <c r="H2" s="729"/>
      <c r="I2" s="729"/>
      <c r="J2" s="729"/>
      <c r="U2" s="787"/>
      <c r="V2" s="622">
        <v>0</v>
      </c>
    </row>
    <row s="8191" customFormat="1" customHeight="1" ht="15" hidden="1">
      <c r="C3" s="785"/>
      <c r="U3" s="533"/>
      <c r="V3" s="530">
        <v>0</v>
      </c>
    </row>
    <row customHeight="1" ht="15.75">
      <c r="C4" s="289"/>
      <c r="D4" s="622"/>
      <c r="E4" s="622"/>
      <c r="F4" s="622"/>
      <c r="G4" s="622"/>
      <c r="H4" s="622"/>
      <c r="I4" s="622"/>
      <c r="J4" s="622"/>
      <c r="V4" s="618">
        <v>15</v>
      </c>
    </row>
    <row customHeight="1" ht="66">
      <c r="C5" s="289"/>
      <c r="D5" s="2350" t="s">
        <v>1332</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8113" customFormat="1" customHeight="1" ht="1.05">
      <c r="A8" s="872"/>
      <c r="C8" s="289"/>
      <c r="D8" s="622"/>
      <c r="E8" s="622"/>
      <c r="F8" s="622"/>
      <c r="G8" s="650"/>
      <c r="H8" s="865"/>
      <c r="I8" s="650" t="s">
        <v>194</v>
      </c>
      <c r="J8" s="865"/>
      <c r="K8" s="530"/>
      <c r="U8" s="788"/>
      <c r="V8" s="871">
        <v>1</v>
      </c>
    </row>
    <row customHeight="1" ht="15.75">
      <c r="C9" s="289"/>
      <c r="D9" s="824"/>
      <c r="E9" s="2480" t="s">
        <v>186</v>
      </c>
      <c r="F9" s="2481"/>
      <c r="G9" s="2508" t="str">
        <f>IF(G8="","",INDEX(DIFFERENTIATION_UNMERGE_VD,MATCH(G8,DIFFERENTIATION_ID_DIFF,0)))</f>
        <v/>
      </c>
      <c r="H9" s="2509"/>
      <c r="I9" s="2508">
        <f>IF(I8="","",INDEX(DIFFERENTIATION_UNMERGE_VD,MATCH(I8,DIFFERENTIATION_ID_DIFF,0)))</f>
        <v>0</v>
      </c>
      <c r="J9" s="2509"/>
      <c r="K9" s="2288" t="s">
        <v>456</v>
      </c>
      <c r="V9" s="618">
        <v>15</v>
      </c>
    </row>
    <row s="8113" customFormat="1" customHeight="1" ht="15.75">
      <c r="A10" s="872"/>
      <c r="C10" s="289"/>
      <c r="D10" s="824"/>
      <c r="E10" s="2480" t="s">
        <v>718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8113" customFormat="1" customHeight="1" ht="15.75">
      <c r="A11" s="872"/>
      <c r="C11" s="289"/>
      <c r="D11" s="824"/>
      <c r="E11" s="2480" t="s">
        <v>719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8113" customFormat="1" customHeight="1" ht="15.75">
      <c r="A12" s="872"/>
      <c r="C12" s="289"/>
      <c r="D12" s="2482" t="s">
        <v>455</v>
      </c>
      <c r="E12" s="2483"/>
      <c r="F12" s="2483"/>
      <c r="G12" s="1000"/>
      <c r="H12" s="1000"/>
      <c r="I12" s="1000"/>
      <c r="J12" s="1000"/>
      <c r="K12" s="2312"/>
      <c r="U12" s="788"/>
      <c r="V12" s="871">
        <v>15</v>
      </c>
    </row>
    <row customHeight="1" ht="35.699999999999996">
      <c r="C13" s="289"/>
      <c r="D13" s="918" t="s">
        <v>90</v>
      </c>
      <c r="E13" s="920" t="s">
        <v>457</v>
      </c>
      <c r="F13" s="920" t="s">
        <v>720</v>
      </c>
      <c r="G13" s="921" t="s">
        <v>458</v>
      </c>
      <c r="H13" s="920" t="s">
        <v>545</v>
      </c>
      <c r="I13" s="921" t="s">
        <v>458</v>
      </c>
      <c r="J13" s="920" t="s">
        <v>545</v>
      </c>
      <c r="K13" s="2345"/>
      <c r="V13" s="618">
        <v>34</v>
      </c>
    </row>
    <row customHeight="1" ht="15" hidden="1">
      <c r="C14" s="289"/>
      <c r="D14" s="706" t="s">
        <v>155</v>
      </c>
      <c r="E14" s="706" t="s">
        <v>105</v>
      </c>
      <c r="F14" s="706" t="s">
        <v>92</v>
      </c>
      <c r="G14" s="772" t="str">
        <f>G1&amp;".1"</f>
        <v>4.1</v>
      </c>
      <c r="H14" s="772"/>
      <c r="I14" s="772" t="str">
        <f>I1&amp;".1"</f>
        <v>4.1</v>
      </c>
      <c r="J14" s="772"/>
      <c r="K14" s="402"/>
      <c r="V14" s="618">
        <v>0</v>
      </c>
    </row>
    <row customHeight="1" ht="22.5" hidden="1">
      <c r="A15" s="618"/>
      <c r="C15" s="639"/>
      <c r="D15" s="634">
        <v>1</v>
      </c>
      <c r="E15" s="790" t="s">
        <v>962</v>
      </c>
      <c r="F15" s="634" t="s">
        <v>963</v>
      </c>
      <c r="G15" s="791"/>
      <c r="H15" s="791"/>
      <c r="I15" s="791"/>
      <c r="J15" s="791"/>
      <c r="K15" s="402" t="s">
        <v>964</v>
      </c>
      <c r="V15" s="618">
        <v>0</v>
      </c>
    </row>
    <row customHeight="1" ht="22.5" hidden="1">
      <c r="A16" s="618"/>
      <c r="C16" s="639"/>
      <c r="D16" s="634">
        <v>2</v>
      </c>
      <c r="E16" s="392" t="s">
        <v>965</v>
      </c>
      <c r="F16" s="634" t="s">
        <v>966</v>
      </c>
      <c r="G16" s="791"/>
      <c r="H16" s="791"/>
      <c r="I16" s="791"/>
      <c r="J16" s="791"/>
      <c r="K16" s="402" t="s">
        <v>967</v>
      </c>
      <c r="V16" s="618">
        <v>0</v>
      </c>
    </row>
    <row customHeight="1" ht="123.75" hidden="1">
      <c r="A17" s="618"/>
      <c r="C17" s="639"/>
      <c r="D17" s="634">
        <v>3</v>
      </c>
      <c r="E17" s="392" t="s">
        <v>1333</v>
      </c>
      <c r="F17" s="634" t="s">
        <v>461</v>
      </c>
      <c r="G17" s="791"/>
      <c r="H17" s="791"/>
      <c r="I17" s="791"/>
      <c r="J17" s="791"/>
      <c r="K17" s="402" t="s">
        <v>1334</v>
      </c>
      <c r="V17" s="618">
        <v>0</v>
      </c>
    </row>
    <row customHeight="1" ht="48.29999999999999">
      <c r="A18" s="618"/>
      <c r="C18" s="639"/>
      <c r="D18" s="634">
        <v>3</v>
      </c>
      <c r="E18" s="392" t="s">
        <v>968</v>
      </c>
      <c r="F18" s="634" t="s">
        <v>461</v>
      </c>
      <c r="G18" s="922" t="s">
        <v>461</v>
      </c>
      <c r="H18" s="923" t="s">
        <v>461</v>
      </c>
      <c r="I18" s="634" t="s">
        <v>461</v>
      </c>
      <c r="J18" s="691" t="s">
        <v>461</v>
      </c>
      <c r="K18" s="402" t="s">
        <v>1335</v>
      </c>
      <c r="V18" s="618">
        <v>46</v>
      </c>
    </row>
    <row customHeight="1" ht="35.699999999999996">
      <c r="A19" s="618"/>
      <c r="C19" s="639"/>
      <c r="D19" s="652" t="s">
        <v>479</v>
      </c>
      <c r="E19" s="672" t="s">
        <v>970</v>
      </c>
      <c r="F19" s="634" t="s">
        <v>971</v>
      </c>
      <c r="G19" s="930"/>
      <c r="H19" s="219"/>
      <c r="I19" s="930"/>
      <c r="J19" s="931"/>
      <c r="K19" s="792"/>
      <c r="V19" s="618">
        <v>34</v>
      </c>
    </row>
    <row customHeight="1" ht="35.699999999999996">
      <c r="A20" s="618"/>
      <c r="C20" s="639"/>
      <c r="D20" s="2003" t="s">
        <v>487</v>
      </c>
      <c r="E20" s="672" t="s">
        <v>972</v>
      </c>
      <c r="F20" s="634" t="s">
        <v>973</v>
      </c>
      <c r="G20" s="930"/>
      <c r="H20" s="219"/>
      <c r="I20" s="930"/>
      <c r="J20" s="219"/>
      <c r="K20" s="792"/>
      <c r="V20" s="618">
        <v>34</v>
      </c>
    </row>
    <row customHeight="1" ht="48.29999999999999">
      <c r="A21" s="618"/>
      <c r="C21" s="639"/>
      <c r="D21" s="2003" t="s">
        <v>489</v>
      </c>
      <c r="E21" s="672" t="s">
        <v>974</v>
      </c>
      <c r="F21" s="634" t="s">
        <v>725</v>
      </c>
      <c r="G21" s="793"/>
      <c r="H21" s="219"/>
      <c r="I21" s="793"/>
      <c r="J21" s="219"/>
      <c r="K21" s="792"/>
      <c r="V21" s="618">
        <v>46</v>
      </c>
    </row>
    <row customHeight="1" ht="67.5" hidden="1">
      <c r="A22" s="618"/>
      <c r="C22" s="639"/>
      <c r="D22" s="634">
        <v>5</v>
      </c>
      <c r="E22" s="392" t="s">
        <v>1336</v>
      </c>
      <c r="F22" s="634" t="s">
        <v>712</v>
      </c>
      <c r="G22" s="794"/>
      <c r="H22" s="795"/>
      <c r="I22" s="794"/>
      <c r="J22" s="795"/>
      <c r="K22" s="402" t="s">
        <v>1337</v>
      </c>
      <c r="V22" s="618">
        <v>0</v>
      </c>
    </row>
    <row customHeight="1" ht="33.75" hidden="1">
      <c r="C23" s="564"/>
      <c r="D23" s="634">
        <v>6</v>
      </c>
      <c r="E23" s="392" t="s">
        <v>1338</v>
      </c>
      <c r="F23" s="634" t="s">
        <v>1339</v>
      </c>
      <c r="G23" s="794"/>
      <c r="H23" s="794"/>
      <c r="I23" s="794"/>
      <c r="J23" s="794"/>
      <c r="K23" s="402" t="s">
        <v>1340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FF3518-C8CF-48E3-F168-2865BC58620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804" width="32.57421875" customWidth="1"/>
    <col min="2" max="2" style="8252" width="11.00390625" customWidth="1"/>
    <col min="3" max="3" style="8252" width="9.140625"/>
    <col min="4" max="4" style="8252" width="26.57421875" customWidth="1"/>
    <col min="5" max="5" style="12647" width="36.8515625" customWidth="1"/>
    <col min="6" max="6" style="12647" width="23.57421875" customWidth="1"/>
    <col min="7" max="7" style="12647" width="31.421875" customWidth="1"/>
    <col min="8" max="8" style="12647" width="40.8515625" customWidth="1"/>
    <col min="9" max="9" style="12647" width="14.57421875" customWidth="1"/>
    <col min="10" max="10" style="12647" width="26.8515625" customWidth="1"/>
    <col min="11" max="11" style="12647" width="50.00390625" customWidth="1"/>
    <col min="12" max="12" style="12647" width="52.421875" customWidth="1"/>
    <col min="13" max="13" style="12647" width="10.7109375" customWidth="1"/>
    <col min="14" max="14" style="12647" width="55.140625" customWidth="1"/>
    <col min="15" max="15" style="12647" width="31.8515625" customWidth="1"/>
    <col min="16" max="16" style="12647" width="23.8515625" customWidth="1"/>
    <col min="17" max="17" style="12647" width="46.57421875" customWidth="1"/>
    <col min="18" max="18" style="12647" width="24.00390625" customWidth="1"/>
    <col min="19" max="19" style="12647" width="20.57421875" customWidth="1"/>
    <col min="20" max="20" style="12647" width="22.00390625" customWidth="1"/>
    <col min="21" max="22" style="12647" width="26.421875" customWidth="1"/>
    <col min="23" max="23" style="12647" width="8.28125" hidden="1" customWidth="1"/>
    <col min="24" max="24" style="12647" width="59.7109375" customWidth="1"/>
    <col min="25" max="25" style="12647" width="49.140625" customWidth="1"/>
    <col min="26" max="26" style="12647" width="11.140625" customWidth="1"/>
    <col min="27" max="30" style="12647" width="29.00390625" customWidth="1"/>
    <col min="31" max="31" style="12647" width="9.140625"/>
    <col min="32" max="32" style="12647" width="34.7109375" customWidth="1"/>
    <col min="33" max="33" style="12647" width="9.140625"/>
    <col min="34" max="35" style="12647" width="34.421875" customWidth="1"/>
    <col min="36" max="36" style="12647" width="9.140625"/>
    <col min="37" max="37" style="12647" width="24.57421875" customWidth="1"/>
    <col min="38" max="38" style="12647" width="9.140625"/>
    <col min="39" max="39" style="12647" width="26.140625" customWidth="1"/>
    <col min="40" max="40" style="12647" width="1.7109375" customWidth="1"/>
    <col min="41" max="41" style="12647" width="9.140625"/>
    <col min="42" max="43" style="12647" width="47.8515625" customWidth="1"/>
    <col min="44" max="44" style="12647" width="1.7109375" customWidth="1"/>
    <col min="45" max="45" style="12647" width="21.421875" customWidth="1"/>
    <col min="46" max="46" style="12647" width="1.7109375" customWidth="1"/>
    <col min="47" max="47" style="12647" width="31.28125" customWidth="1"/>
    <col min="48" max="48" style="12647" width="1.7109375" customWidth="1"/>
    <col min="49" max="50" style="12647" width="9.140625"/>
    <col min="51" max="51" style="12647" width="3.7109375" customWidth="1"/>
    <col min="52" max="52" style="12647" width="60.8515625" customWidth="1"/>
    <col min="53" max="53" style="12647" width="49.28125" customWidth="1"/>
    <col min="54" max="54" style="12647" width="35.140625" customWidth="1"/>
    <col min="55" max="55" style="12647" width="9.140625"/>
    <col min="56" max="56" style="12647" width="1.7109375" customWidth="1"/>
    <col min="57" max="57" style="12805" width="12.57421875" customWidth="1"/>
    <col min="58" max="58" style="12805" width="14.28125" customWidth="1"/>
    <col min="59" max="59" style="12647" width="30.7109375" customWidth="1"/>
    <col min="60" max="60" style="12806" width="40.7109375" customWidth="1"/>
    <col min="61" max="61" style="12806" width="15.00390625" customWidth="1"/>
    <col min="62" max="62" style="12806" width="40.7109375" customWidth="1"/>
    <col min="63" max="63" style="12806" width="2.7109375" customWidth="1"/>
    <col min="64" max="64" style="12806" width="44.7109375" customWidth="1"/>
    <col min="65" max="65" style="12806" width="2.7109375" customWidth="1"/>
    <col min="66" max="66" style="12806" width="40.7109375" customWidth="1"/>
    <col min="67" max="68" style="12647" width="9.140625"/>
    <col min="69" max="69" style="12647" width="18.140625" customWidth="1"/>
    <col min="70" max="70" style="12647" width="57.8515625" customWidth="1"/>
    <col min="71" max="71" style="12647" width="1.7109375" customWidth="1"/>
    <col min="72" max="72" style="12647" width="22.57421875" customWidth="1"/>
    <col min="73" max="73" style="12647" width="57.8515625" customWidth="1"/>
    <col min="74" max="74" style="12647" width="1.7109375" customWidth="1"/>
    <col min="75" max="75" style="12647" width="22.57421875" customWidth="1"/>
    <col min="76" max="76" style="12647" width="57.8515625" customWidth="1"/>
    <col min="77" max="77" style="12647" width="1.7109375" customWidth="1"/>
    <col min="78" max="78" style="12647" width="22.57421875" customWidth="1"/>
    <col min="79" max="79" style="12647" width="57.8515625" customWidth="1"/>
    <col min="80" max="81" style="12647" width="9.140625"/>
    <col min="82" max="82" style="12647" width="49.57421875" customWidth="1"/>
  </cols>
  <sheetData>
    <row s="12707" customFormat="1" customHeight="1" ht="11.25">
      <c r="A1" s="1180" t="s">
        <v>1341</v>
      </c>
      <c r="B1" s="1180" t="s">
        <v>1342</v>
      </c>
      <c r="C1" s="1180" t="s">
        <v>1343</v>
      </c>
      <c r="D1" s="1180" t="s">
        <v>1344</v>
      </c>
      <c r="E1" s="1180" t="s">
        <v>1345</v>
      </c>
      <c r="F1" s="1180" t="s">
        <v>1346</v>
      </c>
      <c r="G1" s="1180" t="s">
        <v>1347</v>
      </c>
      <c r="H1" s="1180" t="s">
        <v>1348</v>
      </c>
      <c r="I1" s="1180" t="s">
        <v>1349</v>
      </c>
      <c r="J1" s="1180" t="s">
        <v>1350</v>
      </c>
      <c r="K1" s="1180" t="s">
        <v>1351</v>
      </c>
      <c r="L1" s="1180" t="s">
        <v>1352</v>
      </c>
      <c r="M1" s="1180"/>
      <c r="N1" s="1180" t="s">
        <v>1353</v>
      </c>
      <c r="O1" s="1180" t="s">
        <v>1354</v>
      </c>
      <c r="P1" s="1180" t="s">
        <v>1355</v>
      </c>
      <c r="Q1" s="1180" t="s">
        <v>1356</v>
      </c>
      <c r="R1" s="1180" t="s">
        <v>1357</v>
      </c>
      <c r="S1" s="1180" t="s">
        <v>1358</v>
      </c>
      <c r="T1" s="1180" t="s">
        <v>1359</v>
      </c>
      <c r="U1" s="1180" t="s">
        <v>1360</v>
      </c>
      <c r="V1" s="1180"/>
      <c r="W1" s="910" t="s">
        <v>1361</v>
      </c>
      <c r="X1" s="1180" t="s">
        <v>1362</v>
      </c>
      <c r="Y1" s="1180" t="s">
        <v>1363</v>
      </c>
      <c r="Z1" s="1180"/>
      <c r="AA1" s="1180" t="s">
        <v>1364</v>
      </c>
      <c r="AB1" s="1180"/>
      <c r="AC1" s="1180" t="s">
        <v>1365</v>
      </c>
      <c r="AD1" s="1180"/>
      <c r="AF1" s="1180" t="s">
        <v>1366</v>
      </c>
      <c r="AH1" s="1180" t="s">
        <v>1367</v>
      </c>
      <c r="AI1" s="1180" t="s">
        <v>1368</v>
      </c>
      <c r="AK1" s="1180" t="s">
        <v>1369</v>
      </c>
      <c r="AM1" s="1180" t="s">
        <v>1370</v>
      </c>
      <c r="AP1" s="1180" t="s">
        <v>1371</v>
      </c>
      <c r="AQ1" s="1180" t="s">
        <v>1372</v>
      </c>
      <c r="AS1" s="1180" t="s">
        <v>1373</v>
      </c>
      <c r="AU1" s="1180" t="s">
        <v>1374</v>
      </c>
      <c r="AW1" s="1180" t="s">
        <v>1375</v>
      </c>
      <c r="AX1" s="1180" t="s">
        <v>1376</v>
      </c>
      <c r="AZ1" s="1265" t="s">
        <v>1377</v>
      </c>
      <c r="BB1" s="1180" t="s">
        <v>1378</v>
      </c>
      <c r="BC1" s="1180"/>
      <c r="BE1" s="1180" t="s">
        <v>1379</v>
      </c>
      <c r="BF1" s="1180" t="s">
        <v>1380</v>
      </c>
      <c r="BH1" s="1182" t="s">
        <v>961</v>
      </c>
      <c r="BI1" s="1183"/>
      <c r="BJ1" s="1184" t="s">
        <v>1381</v>
      </c>
      <c r="BK1" s="1183"/>
      <c r="BL1" s="1185" t="s">
        <v>1060</v>
      </c>
      <c r="BM1" s="1183"/>
      <c r="BN1" s="1186" t="s">
        <v>1382</v>
      </c>
      <c r="BS1" s="1540"/>
    </row>
    <row customHeight="1" ht="11.25">
      <c r="A2" s="1187" t="s">
        <v>1383</v>
      </c>
      <c r="B2" s="1188">
        <v>2000</v>
      </c>
      <c r="C2" s="1188">
        <v>2022</v>
      </c>
      <c r="D2" s="1188" t="s">
        <v>63</v>
      </c>
      <c r="E2" s="1189" t="s">
        <v>1384</v>
      </c>
      <c r="F2" s="1189" t="s">
        <v>1385</v>
      </c>
      <c r="G2" s="1189" t="s">
        <v>1386</v>
      </c>
      <c r="H2" s="1190" t="s">
        <v>57</v>
      </c>
      <c r="I2" s="1189" t="s">
        <v>155</v>
      </c>
      <c r="J2" s="1189" t="s">
        <v>1387</v>
      </c>
      <c r="K2" s="1191" t="s">
        <v>1388</v>
      </c>
      <c r="L2" s="1192"/>
      <c r="M2" s="1191">
        <v>1</v>
      </c>
      <c r="N2" s="1275" t="s">
        <v>1389</v>
      </c>
      <c r="O2" s="1190" t="s">
        <v>603</v>
      </c>
      <c r="P2" s="1193" t="s">
        <v>37</v>
      </c>
      <c r="Q2" s="1194" t="s">
        <v>601</v>
      </c>
      <c r="R2" s="256" t="s">
        <v>1390</v>
      </c>
      <c r="S2" s="256" t="s">
        <v>1391</v>
      </c>
      <c r="T2" s="1195" t="s">
        <v>1392</v>
      </c>
      <c r="U2" s="1192" t="s">
        <v>1393</v>
      </c>
      <c r="V2" s="1196">
        <v>1</v>
      </c>
      <c r="W2" s="1197"/>
      <c r="X2" s="1197" t="s">
        <v>1394</v>
      </c>
      <c r="Y2" s="1188" t="s">
        <v>1395</v>
      </c>
      <c r="Z2" s="1198"/>
      <c r="AA2" s="1188" t="s">
        <v>1396</v>
      </c>
      <c r="AB2" s="1199" t="s">
        <v>1396</v>
      </c>
      <c r="AC2" s="1188" t="s">
        <v>1397</v>
      </c>
      <c r="AD2" s="1199" t="s">
        <v>1397</v>
      </c>
      <c r="AF2" s="1190" t="s">
        <v>1393</v>
      </c>
      <c r="AH2" s="1189" t="s">
        <v>1398</v>
      </c>
      <c r="AI2" s="1189" t="s">
        <v>1398</v>
      </c>
      <c r="AK2" s="1189" t="s">
        <v>1399</v>
      </c>
      <c r="AM2" s="1189" t="s">
        <v>1400</v>
      </c>
      <c r="AP2" s="1200" t="s">
        <v>1394</v>
      </c>
      <c r="AQ2" s="1201" t="s">
        <v>1394</v>
      </c>
      <c r="AS2" s="1188" t="s">
        <v>1401</v>
      </c>
      <c r="AU2" s="1233" t="s">
        <v>1402</v>
      </c>
      <c r="AW2" s="1233" t="s">
        <v>1403</v>
      </c>
      <c r="AX2" s="1233" t="s">
        <v>1403</v>
      </c>
      <c r="AZ2" s="1233" t="s">
        <v>55</v>
      </c>
      <c r="BB2" s="1233" t="s">
        <v>1404</v>
      </c>
      <c r="BC2" s="1233" t="s">
        <v>1405</v>
      </c>
      <c r="BE2" s="1233">
        <v>2000</v>
      </c>
      <c r="BF2" s="1233" t="s">
        <v>1406</v>
      </c>
    </row>
    <row customHeight="1" ht="11.25">
      <c r="A3" s="1187" t="s">
        <v>1407</v>
      </c>
      <c r="B3" s="1188">
        <v>2001</v>
      </c>
      <c r="C3" s="1188">
        <v>2023</v>
      </c>
      <c r="D3" s="1188" t="s">
        <v>19</v>
      </c>
      <c r="E3" s="1189" t="s">
        <v>1408</v>
      </c>
      <c r="F3" s="1189" t="s">
        <v>1409</v>
      </c>
      <c r="G3" s="1189" t="s">
        <v>1410</v>
      </c>
      <c r="H3" s="1190" t="s">
        <v>1411</v>
      </c>
      <c r="I3" s="1189" t="s">
        <v>105</v>
      </c>
      <c r="J3" s="1189" t="s">
        <v>710</v>
      </c>
      <c r="K3" s="1191" t="s">
        <v>1412</v>
      </c>
      <c r="L3" s="1192">
        <f>_xlfn.IFERROR(MATCH(K3,OFFER_METHOD,0),0)</f>
        <v>0</v>
      </c>
      <c r="M3" s="1191">
        <v>2</v>
      </c>
      <c r="N3" s="1275" t="s">
        <v>1413</v>
      </c>
      <c r="O3" s="1190" t="s">
        <v>1414</v>
      </c>
      <c r="P3" s="1193" t="s">
        <v>1415</v>
      </c>
      <c r="Q3" s="1194" t="s">
        <v>1416</v>
      </c>
      <c r="R3" s="256" t="s">
        <v>1417</v>
      </c>
      <c r="S3" s="256" t="s">
        <v>1418</v>
      </c>
      <c r="T3" s="1195" t="s">
        <v>1419</v>
      </c>
      <c r="U3" s="1192" t="s">
        <v>1420</v>
      </c>
      <c r="V3" s="1196">
        <v>2</v>
      </c>
      <c r="W3" s="1197"/>
      <c r="X3" s="1197" t="s">
        <v>1421</v>
      </c>
      <c r="Y3" s="1188" t="s">
        <v>1395</v>
      </c>
      <c r="Z3" s="1198"/>
      <c r="AA3" s="1188" t="s">
        <v>1422</v>
      </c>
      <c r="AB3" s="1199" t="s">
        <v>1422</v>
      </c>
      <c r="AC3" s="1188" t="s">
        <v>1423</v>
      </c>
      <c r="AD3" s="1199" t="s">
        <v>1423</v>
      </c>
      <c r="AF3" s="1190" t="s">
        <v>1420</v>
      </c>
      <c r="AH3" s="1189" t="s">
        <v>1424</v>
      </c>
      <c r="AI3" s="1189" t="s">
        <v>1425</v>
      </c>
      <c r="AK3" s="1189" t="s">
        <v>1426</v>
      </c>
      <c r="AM3" s="1189" t="s">
        <v>1427</v>
      </c>
      <c r="AP3" s="1200" t="s">
        <v>1428</v>
      </c>
      <c r="AQ3" s="1201" t="s">
        <v>1428</v>
      </c>
      <c r="AS3" s="1188" t="s">
        <v>1429</v>
      </c>
      <c r="AU3" s="1233" t="s">
        <v>1430</v>
      </c>
      <c r="AW3" s="1233" t="s">
        <v>1431</v>
      </c>
      <c r="AX3" s="1233" t="s">
        <v>1431</v>
      </c>
      <c r="AZ3" s="1233" t="s">
        <v>1432</v>
      </c>
      <c r="BB3" s="1233" t="s">
        <v>1433</v>
      </c>
      <c r="BC3" s="1233" t="s">
        <v>1405</v>
      </c>
      <c r="BE3" s="1233">
        <v>2001</v>
      </c>
      <c r="BF3" s="1233" t="s">
        <v>1434</v>
      </c>
      <c r="BH3" s="1180" t="s">
        <v>1435</v>
      </c>
      <c r="BJ3" s="1180" t="s">
        <v>1436</v>
      </c>
      <c r="BL3" s="1180" t="s">
        <v>1437</v>
      </c>
      <c r="BN3" s="1180" t="s">
        <v>1438</v>
      </c>
      <c r="BR3" s="1180" t="s">
        <v>1439</v>
      </c>
      <c r="BS3" s="1541"/>
      <c r="BT3" s="1183"/>
      <c r="BU3" s="1180" t="s">
        <v>1440</v>
      </c>
      <c r="BV3" s="1183"/>
      <c r="BW3" s="1803"/>
      <c r="BX3" s="1805" t="s">
        <v>1441</v>
      </c>
      <c r="CA3" s="1180" t="s">
        <v>1442</v>
      </c>
    </row>
    <row customHeight="1" ht="11.25">
      <c r="A4" s="1187" t="s">
        <v>1443</v>
      </c>
      <c r="B4" s="1188">
        <v>2002</v>
      </c>
      <c r="C4" s="1188">
        <v>2024</v>
      </c>
      <c r="E4" s="1189" t="s">
        <v>1444</v>
      </c>
      <c r="F4" s="1189" t="s">
        <v>1445</v>
      </c>
      <c r="H4" s="1190" t="s">
        <v>1446</v>
      </c>
      <c r="I4" s="1189" t="s">
        <v>92</v>
      </c>
      <c r="J4" s="1189" t="s">
        <v>1447</v>
      </c>
      <c r="K4" s="1191" t="s">
        <v>1448</v>
      </c>
      <c r="L4" s="1192">
        <f>_xlfn.IFERROR(MATCH(K4,OFFER_METHOD,0),0)</f>
        <v>0</v>
      </c>
      <c r="M4" s="1191">
        <v>3</v>
      </c>
      <c r="N4" s="1275" t="s">
        <v>1449</v>
      </c>
      <c r="O4" s="1189" t="s">
        <v>1450</v>
      </c>
      <c r="Q4" s="1194" t="s">
        <v>1451</v>
      </c>
      <c r="R4" s="256" t="s">
        <v>1452</v>
      </c>
      <c r="S4" s="256" t="s">
        <v>1453</v>
      </c>
      <c r="T4" s="1195" t="s">
        <v>1454</v>
      </c>
      <c r="U4" s="1192" t="s">
        <v>1455</v>
      </c>
      <c r="V4" s="1196">
        <v>3</v>
      </c>
      <c r="W4" s="1197"/>
      <c r="X4" s="1197" t="s">
        <v>1456</v>
      </c>
      <c r="Y4" s="1188" t="s">
        <v>1395</v>
      </c>
      <c r="Z4" s="1204"/>
      <c r="AC4" s="1188" t="s">
        <v>1457</v>
      </c>
      <c r="AD4" s="1199" t="s">
        <v>1457</v>
      </c>
      <c r="AF4" s="1190" t="s">
        <v>1455</v>
      </c>
      <c r="AH4" s="1190" t="s">
        <v>1458</v>
      </c>
      <c r="AK4" s="1189" t="s">
        <v>1459</v>
      </c>
      <c r="AM4" s="1189" t="s">
        <v>1460</v>
      </c>
      <c r="AP4" s="1200" t="s">
        <v>1421</v>
      </c>
      <c r="AQ4" s="1201" t="s">
        <v>1421</v>
      </c>
      <c r="AS4" s="1188" t="s">
        <v>1461</v>
      </c>
      <c r="AU4" s="1233" t="s">
        <v>1462</v>
      </c>
      <c r="AW4" s="1233" t="s">
        <v>1463</v>
      </c>
      <c r="AX4" s="1233" t="s">
        <v>1463</v>
      </c>
      <c r="AZ4" s="1233" t="s">
        <v>1464</v>
      </c>
      <c r="BB4" s="1233" t="s">
        <v>1465</v>
      </c>
      <c r="BC4" s="1233" t="s">
        <v>1466</v>
      </c>
      <c r="BE4" s="1233">
        <v>2002</v>
      </c>
      <c r="BF4" s="1233" t="s">
        <v>1467</v>
      </c>
      <c r="BH4" s="1181" t="s">
        <v>1468</v>
      </c>
      <c r="BJ4" s="1181" t="s">
        <v>1468</v>
      </c>
      <c r="BL4" s="1181" t="s">
        <v>1468</v>
      </c>
      <c r="BN4" s="1181" t="s">
        <v>1468</v>
      </c>
      <c r="BQ4" s="1545" t="s">
        <v>1469</v>
      </c>
      <c r="BR4" s="1272" t="s">
        <v>1470</v>
      </c>
      <c r="BS4" s="387"/>
      <c r="BT4" s="1545" t="s">
        <v>1471</v>
      </c>
      <c r="BU4" s="1272" t="s">
        <v>1472</v>
      </c>
      <c r="BV4" s="1183"/>
      <c r="BW4" s="1810" t="s">
        <v>1473</v>
      </c>
      <c r="BX4" s="1804" t="s">
        <v>1474</v>
      </c>
      <c r="BZ4" s="1545" t="s">
        <v>1475</v>
      </c>
      <c r="CA4" s="1272" t="s">
        <v>1476</v>
      </c>
    </row>
    <row customHeight="1" ht="11.25">
      <c r="A5" s="1187" t="s">
        <v>1477</v>
      </c>
      <c r="B5" s="1188">
        <v>2003</v>
      </c>
      <c r="C5" s="1188">
        <v>2025</v>
      </c>
      <c r="E5" s="1189" t="s">
        <v>1478</v>
      </c>
      <c r="F5" s="1189" t="s">
        <v>1479</v>
      </c>
      <c r="H5" s="1190" t="s">
        <v>1480</v>
      </c>
      <c r="I5" s="1189" t="s">
        <v>93</v>
      </c>
      <c r="K5" s="1191" t="s">
        <v>1481</v>
      </c>
      <c r="L5" s="1192">
        <f>_xlfn.IFERROR(MATCH(K5,OFFER_METHOD,0),0)</f>
        <v>0</v>
      </c>
      <c r="M5" s="1191">
        <v>4</v>
      </c>
      <c r="N5" s="1205" t="s">
        <v>1482</v>
      </c>
      <c r="O5" s="1189" t="s">
        <v>1483</v>
      </c>
      <c r="Q5" s="1194" t="s">
        <v>1484</v>
      </c>
      <c r="R5" s="256" t="s">
        <v>602</v>
      </c>
      <c r="T5" s="1190" t="s">
        <v>1485</v>
      </c>
      <c r="U5" s="1192" t="s">
        <v>1486</v>
      </c>
      <c r="V5" s="1196">
        <v>4</v>
      </c>
      <c r="W5" s="1197"/>
      <c r="X5" s="1197" t="s">
        <v>237</v>
      </c>
      <c r="Y5" s="1188" t="s">
        <v>1487</v>
      </c>
      <c r="Z5" s="1204">
        <v>1</v>
      </c>
      <c r="AF5" s="1190" t="s">
        <v>1488</v>
      </c>
      <c r="AH5" s="1189" t="s">
        <v>1489</v>
      </c>
      <c r="AK5" s="1189" t="s">
        <v>1490</v>
      </c>
      <c r="AM5" s="1189" t="s">
        <v>1491</v>
      </c>
      <c r="AP5" s="1200" t="s">
        <v>237</v>
      </c>
      <c r="AQ5" s="1201" t="s">
        <v>237</v>
      </c>
      <c r="AU5" s="1233" t="s">
        <v>1492</v>
      </c>
      <c r="AW5" s="1233" t="s">
        <v>1493</v>
      </c>
      <c r="AX5" s="1233" t="s">
        <v>1493</v>
      </c>
      <c r="AZ5" s="1233" t="s">
        <v>1494</v>
      </c>
      <c r="BB5" s="1233" t="s">
        <v>1495</v>
      </c>
      <c r="BC5" s="1233" t="s">
        <v>1496</v>
      </c>
      <c r="BE5" s="1233">
        <v>2003</v>
      </c>
      <c r="BF5" s="1233" t="s">
        <v>1497</v>
      </c>
      <c r="BH5" s="1181" t="s">
        <v>1498</v>
      </c>
      <c r="BJ5" s="1181" t="s">
        <v>1498</v>
      </c>
      <c r="BL5" s="1181" t="s">
        <v>1498</v>
      </c>
      <c r="BN5" s="1181" t="s">
        <v>1499</v>
      </c>
      <c r="BQ5" s="1394">
        <v>4213775</v>
      </c>
      <c r="BR5" s="1181" t="s">
        <v>1394</v>
      </c>
      <c r="BS5" s="1542"/>
      <c r="BT5" s="1394">
        <v>64236871</v>
      </c>
      <c r="BU5" s="1181" t="s">
        <v>384</v>
      </c>
      <c r="BV5" s="1183"/>
      <c r="BW5" s="1808">
        <v>4213767</v>
      </c>
      <c r="BX5" s="1806" t="s">
        <v>1500</v>
      </c>
      <c r="BZ5" s="1394">
        <v>64237509</v>
      </c>
      <c r="CA5" s="1408" t="s">
        <v>1501</v>
      </c>
    </row>
    <row customHeight="1" ht="11.25">
      <c r="A6" s="1187" t="s">
        <v>1502</v>
      </c>
      <c r="B6" s="1188">
        <v>2004</v>
      </c>
      <c r="C6" s="1188">
        <v>2026</v>
      </c>
      <c r="E6" s="1189" t="s">
        <v>1503</v>
      </c>
      <c r="F6" s="1206"/>
      <c r="H6" s="1190" t="s">
        <v>1504</v>
      </c>
      <c r="I6" s="1189" t="s">
        <v>120</v>
      </c>
      <c r="J6" s="1180" t="s">
        <v>1505</v>
      </c>
      <c r="L6" s="1192">
        <f>SUM(kind_of_control_method_filter)</f>
        <v>0</v>
      </c>
      <c r="N6" s="1205" t="s">
        <v>1506</v>
      </c>
      <c r="O6" s="1189" t="s">
        <v>1507</v>
      </c>
      <c r="R6" s="256" t="s">
        <v>601</v>
      </c>
      <c r="T6" s="1190" t="s">
        <v>1508</v>
      </c>
      <c r="U6" s="1192" t="s">
        <v>1488</v>
      </c>
      <c r="V6" s="1196">
        <v>5</v>
      </c>
      <c r="W6" s="1197"/>
      <c r="X6" s="1188" t="s">
        <v>243</v>
      </c>
      <c r="Y6" s="1188" t="s">
        <v>1509</v>
      </c>
      <c r="Z6" s="1204"/>
      <c r="AA6" s="1207"/>
      <c r="AH6" s="1189" t="s">
        <v>1510</v>
      </c>
      <c r="AK6" s="1189" t="s">
        <v>1511</v>
      </c>
      <c r="AM6" s="1189" t="s">
        <v>1512</v>
      </c>
      <c r="AP6" s="1200" t="s">
        <v>243</v>
      </c>
      <c r="AQ6" s="1201" t="s">
        <v>243</v>
      </c>
      <c r="AU6" s="1233" t="s">
        <v>1513</v>
      </c>
      <c r="AW6" s="1233" t="s">
        <v>1514</v>
      </c>
      <c r="AX6" s="1233" t="s">
        <v>1514</v>
      </c>
      <c r="BB6" s="1233" t="s">
        <v>1515</v>
      </c>
      <c r="BC6" s="1233" t="s">
        <v>1496</v>
      </c>
      <c r="BE6" s="1233">
        <v>2004</v>
      </c>
      <c r="BF6" s="1233" t="s">
        <v>1516</v>
      </c>
      <c r="BH6" s="1181" t="s">
        <v>1517</v>
      </c>
      <c r="BJ6" s="1181" t="s">
        <v>1518</v>
      </c>
      <c r="BL6" s="1181" t="s">
        <v>1518</v>
      </c>
      <c r="BN6" s="1181" t="s">
        <v>1519</v>
      </c>
      <c r="BQ6" s="1394">
        <v>4213784</v>
      </c>
      <c r="BR6" s="1408" t="s">
        <v>1428</v>
      </c>
      <c r="BS6" s="1543"/>
      <c r="BT6" s="1394">
        <v>64236872</v>
      </c>
      <c r="BU6" s="1181" t="s">
        <v>389</v>
      </c>
      <c r="BV6" s="1183"/>
      <c r="BW6" s="1808">
        <v>4213768</v>
      </c>
      <c r="BX6" s="1806" t="s">
        <v>409</v>
      </c>
      <c r="BZ6" s="1394">
        <v>64237510</v>
      </c>
      <c r="CA6" s="1181" t="s">
        <v>1520</v>
      </c>
    </row>
    <row customHeight="1" ht="11.25">
      <c r="A7" s="1187" t="s">
        <v>1521</v>
      </c>
      <c r="B7" s="1188">
        <v>2005</v>
      </c>
      <c r="E7" s="1189" t="s">
        <v>1522</v>
      </c>
      <c r="F7" s="1206"/>
      <c r="H7" s="1190" t="s">
        <v>1523</v>
      </c>
      <c r="I7" s="1189" t="s">
        <v>94</v>
      </c>
      <c r="J7" s="1189" t="s">
        <v>1524</v>
      </c>
      <c r="N7" s="1209" t="s">
        <v>1525</v>
      </c>
      <c r="O7" s="1189" t="s">
        <v>1526</v>
      </c>
      <c r="U7" s="1192" t="s">
        <v>19</v>
      </c>
      <c r="V7" s="483" t="s">
        <v>94</v>
      </c>
      <c r="W7" s="1197"/>
      <c r="X7" s="1188" t="s">
        <v>249</v>
      </c>
      <c r="Y7" s="1188" t="s">
        <v>1487</v>
      </c>
      <c r="Z7" s="1204"/>
      <c r="AA7" s="1207"/>
      <c r="AH7" s="1189" t="s">
        <v>1527</v>
      </c>
      <c r="AK7" s="1189" t="s">
        <v>1528</v>
      </c>
      <c r="AM7" s="1189" t="s">
        <v>1529</v>
      </c>
      <c r="AP7" s="1200" t="s">
        <v>249</v>
      </c>
      <c r="AQ7" s="1201" t="s">
        <v>249</v>
      </c>
      <c r="AU7" s="1233" t="s">
        <v>1530</v>
      </c>
      <c r="AW7" s="1233" t="s">
        <v>1531</v>
      </c>
      <c r="AX7" s="1233" t="s">
        <v>1531</v>
      </c>
      <c r="AZ7" s="1180" t="s">
        <v>1532</v>
      </c>
      <c r="BB7" s="1233" t="s">
        <v>1533</v>
      </c>
      <c r="BC7" s="1233" t="s">
        <v>1496</v>
      </c>
      <c r="BE7" s="1233">
        <v>2005</v>
      </c>
      <c r="BF7" s="1233" t="s">
        <v>1534</v>
      </c>
      <c r="BH7" s="1181" t="s">
        <v>1535</v>
      </c>
      <c r="BJ7" s="1181" t="s">
        <v>1517</v>
      </c>
      <c r="BL7" s="1181" t="s">
        <v>1517</v>
      </c>
      <c r="BN7" s="1181" t="s">
        <v>1536</v>
      </c>
      <c r="BQ7" s="1394">
        <v>4213781</v>
      </c>
      <c r="BR7" s="1181" t="s">
        <v>1421</v>
      </c>
      <c r="BS7" s="1542"/>
      <c r="BT7" s="1394">
        <v>64236873</v>
      </c>
      <c r="BU7" s="1181" t="s">
        <v>394</v>
      </c>
      <c r="BV7" s="1183"/>
      <c r="BW7" s="1808">
        <v>4213769</v>
      </c>
      <c r="BX7" s="1806" t="s">
        <v>1537</v>
      </c>
      <c r="BZ7" s="1394">
        <v>64237511</v>
      </c>
      <c r="CA7" s="1181" t="s">
        <v>424</v>
      </c>
    </row>
    <row customHeight="1" ht="11.25">
      <c r="A8" s="1187" t="s">
        <v>1538</v>
      </c>
      <c r="B8" s="1188">
        <v>2006</v>
      </c>
      <c r="E8" s="1189" t="s">
        <v>1539</v>
      </c>
      <c r="F8" s="1206"/>
      <c r="H8" s="1190" t="s">
        <v>1540</v>
      </c>
      <c r="I8" s="1189" t="s">
        <v>95</v>
      </c>
      <c r="J8" s="1189" t="s">
        <v>1541</v>
      </c>
      <c r="N8" s="1276" t="s">
        <v>1542</v>
      </c>
      <c r="O8" s="1189" t="s">
        <v>1543</v>
      </c>
      <c r="V8" s="483" t="s">
        <v>95</v>
      </c>
      <c r="W8" s="1197"/>
      <c r="X8" s="1188" t="s">
        <v>255</v>
      </c>
      <c r="Y8" s="1188" t="s">
        <v>1487</v>
      </c>
      <c r="Z8" s="1204"/>
      <c r="AA8" s="1207"/>
      <c r="AK8" s="1189" t="s">
        <v>1544</v>
      </c>
      <c r="AP8" s="1200" t="s">
        <v>255</v>
      </c>
      <c r="AQ8" s="1201" t="s">
        <v>255</v>
      </c>
      <c r="AU8" s="1233" t="s">
        <v>1545</v>
      </c>
      <c r="AW8" s="1233" t="s">
        <v>1546</v>
      </c>
      <c r="AX8" s="1233" t="s">
        <v>1546</v>
      </c>
      <c r="AZ8" s="1233" t="s">
        <v>1547</v>
      </c>
      <c r="BB8" s="1233" t="s">
        <v>1548</v>
      </c>
      <c r="BC8" s="1233" t="s">
        <v>1496</v>
      </c>
      <c r="BE8" s="1233">
        <v>2006</v>
      </c>
      <c r="BF8" s="1233" t="s">
        <v>1549</v>
      </c>
      <c r="BH8" s="1181" t="s">
        <v>1550</v>
      </c>
      <c r="BJ8" s="1181" t="s">
        <v>1551</v>
      </c>
      <c r="BL8" s="1181" t="s">
        <v>1551</v>
      </c>
      <c r="BN8" s="1181" t="s">
        <v>1552</v>
      </c>
      <c r="BQ8" s="1394">
        <v>4213776</v>
      </c>
      <c r="BR8" s="1181" t="s">
        <v>237</v>
      </c>
      <c r="BS8" s="1542"/>
      <c r="BT8" s="1394">
        <v>64236874</v>
      </c>
      <c r="BU8" s="1408" t="s">
        <v>1553</v>
      </c>
      <c r="BV8" s="1183"/>
      <c r="BW8" s="1808">
        <v>4213770</v>
      </c>
      <c r="BX8" s="1809" t="s">
        <v>1554</v>
      </c>
      <c r="BZ8" s="1394">
        <v>64237512</v>
      </c>
      <c r="CA8" s="1181" t="s">
        <v>419</v>
      </c>
    </row>
    <row customHeight="1" ht="11.25">
      <c r="A9" s="1187" t="s">
        <v>1555</v>
      </c>
      <c r="B9" s="1188">
        <v>2007</v>
      </c>
      <c r="E9" s="1189" t="s">
        <v>1556</v>
      </c>
      <c r="F9" s="1206"/>
      <c r="G9" s="1180" t="s">
        <v>1557</v>
      </c>
      <c r="H9" s="1180" t="s">
        <v>1558</v>
      </c>
      <c r="I9" s="1189" t="s">
        <v>134</v>
      </c>
      <c r="O9" s="1189" t="s">
        <v>1559</v>
      </c>
      <c r="V9" s="483" t="s">
        <v>134</v>
      </c>
      <c r="W9" s="1197"/>
      <c r="X9" s="1188" t="s">
        <v>261</v>
      </c>
      <c r="Y9" s="1188" t="s">
        <v>1395</v>
      </c>
      <c r="Z9" s="1204">
        <v>1</v>
      </c>
      <c r="AA9" s="1207"/>
      <c r="AK9" s="1189" t="s">
        <v>1560</v>
      </c>
      <c r="AP9" s="1200" t="s">
        <v>1561</v>
      </c>
      <c r="AQ9" s="1201" t="s">
        <v>1561</v>
      </c>
      <c r="AW9" s="1233" t="s">
        <v>1562</v>
      </c>
      <c r="AX9" s="1233" t="s">
        <v>1562</v>
      </c>
      <c r="AZ9" s="1233" t="s">
        <v>1563</v>
      </c>
      <c r="BB9" s="1233" t="s">
        <v>1564</v>
      </c>
      <c r="BC9" s="1233" t="s">
        <v>1496</v>
      </c>
      <c r="BE9" s="1233">
        <v>2007</v>
      </c>
      <c r="BF9" s="1233" t="s">
        <v>1565</v>
      </c>
      <c r="BH9" s="1181" t="s">
        <v>1566</v>
      </c>
      <c r="BJ9" s="1181" t="s">
        <v>1567</v>
      </c>
      <c r="BL9" s="1181" t="s">
        <v>1567</v>
      </c>
      <c r="BN9" s="1181" t="s">
        <v>1568</v>
      </c>
      <c r="BQ9" s="1394">
        <v>4213777</v>
      </c>
      <c r="BR9" s="1181" t="s">
        <v>243</v>
      </c>
      <c r="BS9" s="1542"/>
      <c r="BT9" s="1394">
        <v>64236875</v>
      </c>
      <c r="BU9" s="1181" t="s">
        <v>399</v>
      </c>
      <c r="BV9" s="1183"/>
      <c r="BW9" s="1803"/>
      <c r="BX9" s="1803"/>
    </row>
    <row customHeight="1" ht="11.25">
      <c r="A10" s="1187" t="s">
        <v>1569</v>
      </c>
      <c r="B10" s="1188">
        <v>2008</v>
      </c>
      <c r="E10" s="1189" t="s">
        <v>1570</v>
      </c>
      <c r="F10" s="1206"/>
      <c r="G10" s="1189" t="s">
        <v>1571</v>
      </c>
      <c r="H10" s="1189" t="s">
        <v>1572</v>
      </c>
      <c r="I10" s="1189" t="s">
        <v>139</v>
      </c>
      <c r="J10" s="1180" t="s">
        <v>1573</v>
      </c>
      <c r="K10" s="1180" t="s">
        <v>1574</v>
      </c>
      <c r="O10" s="1189" t="s">
        <v>1575</v>
      </c>
      <c r="V10" s="484" t="s">
        <v>139</v>
      </c>
      <c r="W10" s="1210"/>
      <c r="X10" s="1210" t="s">
        <v>1576</v>
      </c>
      <c r="Y10" s="1211" t="s">
        <v>1577</v>
      </c>
      <c r="Z10" s="1204"/>
      <c r="AP10" s="1200" t="s">
        <v>1576</v>
      </c>
      <c r="AQ10" s="1201" t="s">
        <v>1576</v>
      </c>
      <c r="AW10" s="1233" t="s">
        <v>1578</v>
      </c>
      <c r="AX10" s="1233" t="s">
        <v>1578</v>
      </c>
      <c r="AZ10" s="1233" t="s">
        <v>1579</v>
      </c>
      <c r="BB10" s="1233" t="s">
        <v>1580</v>
      </c>
      <c r="BC10" s="1233" t="s">
        <v>1496</v>
      </c>
      <c r="BE10" s="1233">
        <v>2008</v>
      </c>
      <c r="BF10" s="1233" t="s">
        <v>1581</v>
      </c>
      <c r="BH10" s="1181" t="s">
        <v>1582</v>
      </c>
      <c r="BJ10" s="1181" t="s">
        <v>1583</v>
      </c>
      <c r="BL10" s="1181" t="s">
        <v>1583</v>
      </c>
      <c r="BN10" s="1181" t="s">
        <v>1584</v>
      </c>
      <c r="BQ10" s="1394">
        <v>4213778</v>
      </c>
      <c r="BR10" s="1181" t="s">
        <v>249</v>
      </c>
      <c r="BS10" s="1542"/>
      <c r="BT10" s="1394">
        <v>64236876</v>
      </c>
      <c r="BU10" s="1181" t="s">
        <v>379</v>
      </c>
      <c r="BV10" s="1183"/>
      <c r="BW10" s="1803"/>
      <c r="BX10" s="1803"/>
    </row>
    <row customHeight="1" ht="11.25">
      <c r="A11" s="1187" t="s">
        <v>1585</v>
      </c>
      <c r="B11" s="1188">
        <v>2009</v>
      </c>
      <c r="E11" s="1189" t="s">
        <v>1586</v>
      </c>
      <c r="F11" s="1206"/>
      <c r="G11" s="1189" t="s">
        <v>1587</v>
      </c>
      <c r="H11" s="1189" t="s">
        <v>1588</v>
      </c>
      <c r="I11" s="1189" t="s">
        <v>144</v>
      </c>
      <c r="J11" s="1190" t="s">
        <v>1589</v>
      </c>
      <c r="K11" s="1212" t="s">
        <v>1590</v>
      </c>
      <c r="O11" s="1190" t="s">
        <v>1591</v>
      </c>
      <c r="V11" s="483" t="s">
        <v>144</v>
      </c>
      <c r="W11" s="388"/>
      <c r="X11" s="1197" t="s">
        <v>1561</v>
      </c>
      <c r="Y11" s="1188" t="s">
        <v>1592</v>
      </c>
      <c r="Z11" s="1204"/>
      <c r="AP11" s="1200" t="s">
        <v>261</v>
      </c>
      <c r="AQ11" s="1202" t="s">
        <v>261</v>
      </c>
      <c r="AW11" s="1233" t="s">
        <v>1593</v>
      </c>
      <c r="AX11" s="1233" t="s">
        <v>1593</v>
      </c>
      <c r="AZ11" s="1233" t="s">
        <v>1594</v>
      </c>
      <c r="BB11" s="1233" t="s">
        <v>1595</v>
      </c>
      <c r="BC11" s="1233" t="s">
        <v>1496</v>
      </c>
      <c r="BE11" s="1233">
        <v>2009</v>
      </c>
      <c r="BF11" s="1233" t="s">
        <v>1596</v>
      </c>
      <c r="BH11" s="1181" t="s">
        <v>1597</v>
      </c>
      <c r="BJ11" s="1181" t="s">
        <v>1566</v>
      </c>
      <c r="BL11" s="1181" t="s">
        <v>1566</v>
      </c>
      <c r="BN11" s="1181" t="s">
        <v>1598</v>
      </c>
      <c r="BQ11" s="1394">
        <v>4213780</v>
      </c>
      <c r="BR11" s="1181" t="s">
        <v>255</v>
      </c>
      <c r="BS11" s="1542"/>
      <c r="BW11" s="1803"/>
      <c r="BX11" s="1803"/>
    </row>
    <row customHeight="1" ht="11.25">
      <c r="A12" s="1187" t="s">
        <v>1599</v>
      </c>
      <c r="B12" s="1188">
        <v>2010</v>
      </c>
      <c r="E12" s="1189" t="s">
        <v>1600</v>
      </c>
      <c r="F12" s="1206"/>
      <c r="G12" s="1189" t="s">
        <v>1588</v>
      </c>
      <c r="I12" s="1189" t="s">
        <v>148</v>
      </c>
      <c r="J12" s="1190" t="s">
        <v>1601</v>
      </c>
      <c r="K12" s="1212" t="s">
        <v>1602</v>
      </c>
      <c r="O12" s="1190" t="s">
        <v>601</v>
      </c>
      <c r="V12" s="483" t="s">
        <v>148</v>
      </c>
      <c r="W12" s="1202"/>
      <c r="X12" s="1197" t="s">
        <v>1603</v>
      </c>
      <c r="Y12" s="1188" t="s">
        <v>1395</v>
      </c>
      <c r="AP12" s="1200"/>
      <c r="AW12" s="1233" t="s">
        <v>144</v>
      </c>
      <c r="AX12" s="1233" t="s">
        <v>144</v>
      </c>
      <c r="AZ12" s="1233" t="s">
        <v>1604</v>
      </c>
      <c r="BB12" s="1233" t="s">
        <v>1605</v>
      </c>
      <c r="BC12" s="1233" t="s">
        <v>1496</v>
      </c>
      <c r="BE12" s="1233">
        <v>2010</v>
      </c>
      <c r="BF12" s="1233" t="s">
        <v>1606</v>
      </c>
      <c r="BH12" s="1181" t="s">
        <v>1607</v>
      </c>
      <c r="BJ12" s="1181" t="s">
        <v>1608</v>
      </c>
      <c r="BL12" s="1181" t="s">
        <v>1608</v>
      </c>
      <c r="BN12" s="1181" t="s">
        <v>1609</v>
      </c>
      <c r="BQ12" s="1394">
        <v>4213779</v>
      </c>
      <c r="BR12" s="1181" t="s">
        <v>1561</v>
      </c>
      <c r="BS12" s="1542"/>
      <c r="BT12" s="1183"/>
      <c r="BU12" s="1183"/>
      <c r="BV12" s="1183"/>
      <c r="BW12" s="1803"/>
      <c r="BX12" s="1803"/>
    </row>
    <row customHeight="1" ht="11.25">
      <c r="A13" s="1187" t="s">
        <v>1610</v>
      </c>
      <c r="B13" s="1188">
        <v>2011</v>
      </c>
      <c r="E13" s="1189" t="s">
        <v>1611</v>
      </c>
      <c r="F13" s="1206"/>
      <c r="I13" s="1189" t="s">
        <v>153</v>
      </c>
      <c r="K13" s="1212" t="s">
        <v>1560</v>
      </c>
      <c r="V13" s="483" t="s">
        <v>153</v>
      </c>
      <c r="W13" s="1202"/>
      <c r="X13" s="1202"/>
      <c r="Y13" s="1202"/>
      <c r="AW13" s="1233" t="s">
        <v>148</v>
      </c>
      <c r="AX13" s="1233" t="s">
        <v>148</v>
      </c>
      <c r="BB13" s="1233" t="s">
        <v>1612</v>
      </c>
      <c r="BC13" s="1233" t="s">
        <v>1613</v>
      </c>
      <c r="BE13" s="1233">
        <v>2011</v>
      </c>
      <c r="BF13" s="1233" t="s">
        <v>1614</v>
      </c>
      <c r="BH13" s="1181" t="s">
        <v>1615</v>
      </c>
      <c r="BJ13" s="1181" t="s">
        <v>1597</v>
      </c>
      <c r="BL13" s="1181" t="s">
        <v>1597</v>
      </c>
      <c r="BN13" s="1181" t="s">
        <v>1616</v>
      </c>
      <c r="BQ13" s="1394">
        <v>4213783</v>
      </c>
      <c r="BR13" s="1181" t="s">
        <v>1576</v>
      </c>
      <c r="BS13" s="1542"/>
      <c r="BT13" s="1183"/>
      <c r="BU13" s="1183"/>
      <c r="BV13" s="1183"/>
      <c r="BW13" s="1807"/>
      <c r="BX13" s="1803"/>
    </row>
    <row customHeight="1" ht="11.25">
      <c r="A14" s="1187" t="s">
        <v>1617</v>
      </c>
      <c r="B14" s="1188">
        <v>2012</v>
      </c>
      <c r="I14" s="1189" t="s">
        <v>158</v>
      </c>
      <c r="J14" s="1180" t="s">
        <v>1618</v>
      </c>
      <c r="N14" s="1180" t="s">
        <v>1619</v>
      </c>
      <c r="V14" s="1196">
        <v>13</v>
      </c>
      <c r="W14" s="1197"/>
      <c r="X14" s="1197" t="s">
        <v>1428</v>
      </c>
      <c r="Y14" s="1188" t="s">
        <v>1395</v>
      </c>
      <c r="AW14" s="1233" t="s">
        <v>153</v>
      </c>
      <c r="AX14" s="1233" t="s">
        <v>153</v>
      </c>
      <c r="AZ14" s="1180" t="s">
        <v>1620</v>
      </c>
      <c r="BB14" s="1233" t="s">
        <v>1621</v>
      </c>
      <c r="BC14" s="1233" t="s">
        <v>1613</v>
      </c>
      <c r="BE14" s="1233">
        <v>2012</v>
      </c>
      <c r="BH14" s="1181" t="s">
        <v>1536</v>
      </c>
      <c r="BJ14" s="1330" t="s">
        <v>1622</v>
      </c>
      <c r="BL14" s="1330" t="s">
        <v>1622</v>
      </c>
      <c r="BN14" s="1181" t="s">
        <v>1623</v>
      </c>
      <c r="BQ14" s="1394">
        <v>4213782</v>
      </c>
      <c r="BR14" s="1181" t="s">
        <v>261</v>
      </c>
      <c r="BS14" s="1542"/>
      <c r="BT14" s="1183"/>
      <c r="BU14" s="1183"/>
      <c r="BV14" s="1183"/>
      <c r="BW14" s="1807"/>
      <c r="BX14" s="1803"/>
    </row>
    <row customHeight="1" ht="19.5">
      <c r="A15" s="1187" t="s">
        <v>1624</v>
      </c>
      <c r="B15" s="1188">
        <v>2013</v>
      </c>
      <c r="E15" s="1811" t="s">
        <v>1625</v>
      </c>
      <c r="G15" s="1180" t="s">
        <v>1626</v>
      </c>
      <c r="H15" s="1180" t="s">
        <v>1627</v>
      </c>
      <c r="I15" s="1191" t="s">
        <v>122</v>
      </c>
      <c r="J15" s="1202" t="s">
        <v>737</v>
      </c>
      <c r="N15" s="1271" t="s">
        <v>1628</v>
      </c>
      <c r="X15" s="1200"/>
      <c r="AW15" s="1233" t="s">
        <v>158</v>
      </c>
      <c r="AX15" s="1233" t="s">
        <v>158</v>
      </c>
      <c r="AZ15" s="1233" t="s">
        <v>1547</v>
      </c>
      <c r="BB15" s="1233" t="s">
        <v>1629</v>
      </c>
      <c r="BC15" s="1233" t="s">
        <v>1613</v>
      </c>
      <c r="BE15" s="1233">
        <v>2013</v>
      </c>
      <c r="BH15" s="1181" t="s">
        <v>1552</v>
      </c>
      <c r="BJ15" s="1330" t="s">
        <v>1630</v>
      </c>
      <c r="BL15" s="1330" t="s">
        <v>1630</v>
      </c>
      <c r="BN15" s="1181" t="s">
        <v>1631</v>
      </c>
      <c r="BR15" s="1183"/>
      <c r="BS15" s="1544"/>
      <c r="BT15" s="1183"/>
      <c r="BU15" s="1183"/>
      <c r="BV15" s="1183"/>
      <c r="BW15" s="1807"/>
      <c r="BX15" s="1803"/>
    </row>
    <row customHeight="1" ht="21">
      <c r="A16" s="1983" t="s">
        <v>1632</v>
      </c>
      <c r="B16" s="1188">
        <v>2014</v>
      </c>
      <c r="E16" s="1812" t="s">
        <v>1633</v>
      </c>
      <c r="G16" s="1189" t="s">
        <v>1634</v>
      </c>
      <c r="H16" s="1189" t="s">
        <v>1635</v>
      </c>
      <c r="I16" s="1191" t="s">
        <v>126</v>
      </c>
      <c r="J16" s="1202" t="s">
        <v>710</v>
      </c>
      <c r="N16" s="1271" t="s">
        <v>1636</v>
      </c>
      <c r="AW16" s="1233" t="s">
        <v>122</v>
      </c>
      <c r="AX16" s="1233" t="s">
        <v>122</v>
      </c>
      <c r="AZ16" s="1233" t="s">
        <v>1563</v>
      </c>
      <c r="BB16" s="1233" t="s">
        <v>1637</v>
      </c>
      <c r="BC16" s="1233" t="s">
        <v>1613</v>
      </c>
      <c r="BE16" s="1233">
        <v>2014</v>
      </c>
      <c r="BH16" s="1181" t="s">
        <v>1568</v>
      </c>
      <c r="BJ16" s="1330" t="s">
        <v>1638</v>
      </c>
      <c r="BL16" s="1330" t="s">
        <v>1638</v>
      </c>
      <c r="BN16" s="1181" t="s">
        <v>1639</v>
      </c>
      <c r="BR16" s="1183"/>
      <c r="BS16" s="1544"/>
      <c r="BT16" s="1183"/>
      <c r="BU16" s="1183"/>
      <c r="BV16" s="1183"/>
      <c r="BW16" s="1807"/>
      <c r="BX16" s="1803"/>
    </row>
    <row customHeight="1" ht="21">
      <c r="A17" s="1187" t="s">
        <v>1640</v>
      </c>
      <c r="B17" s="1188">
        <v>2015</v>
      </c>
      <c r="G17" s="1189" t="s">
        <v>1588</v>
      </c>
      <c r="H17" s="1189" t="s">
        <v>1588</v>
      </c>
      <c r="I17" s="1189" t="s">
        <v>117</v>
      </c>
      <c r="N17" s="1271" t="s">
        <v>1641</v>
      </c>
      <c r="X17" s="1200"/>
      <c r="AW17" s="1233" t="s">
        <v>126</v>
      </c>
      <c r="AX17" s="1233" t="s">
        <v>126</v>
      </c>
      <c r="AZ17" s="1233" t="s">
        <v>1642</v>
      </c>
      <c r="BB17" s="1233" t="s">
        <v>1643</v>
      </c>
      <c r="BC17" s="1233" t="s">
        <v>1496</v>
      </c>
      <c r="BE17" s="1233">
        <v>2015</v>
      </c>
      <c r="BH17" s="1181" t="s">
        <v>1584</v>
      </c>
      <c r="BJ17" s="1330" t="s">
        <v>1644</v>
      </c>
      <c r="BL17" s="1330" t="s">
        <v>1644</v>
      </c>
      <c r="BN17" s="1181" t="s">
        <v>1645</v>
      </c>
      <c r="BR17" s="1180" t="s">
        <v>1439</v>
      </c>
      <c r="BS17" s="1541"/>
      <c r="BU17" s="1180" t="s">
        <v>1646</v>
      </c>
      <c r="BV17" s="1183"/>
      <c r="BW17" s="1803"/>
      <c r="BX17" s="1805" t="s">
        <v>1647</v>
      </c>
      <c r="CA17" s="1180" t="s">
        <v>1648</v>
      </c>
      <c r="CD17" s="1180" t="s">
        <v>1649</v>
      </c>
    </row>
    <row customHeight="1" ht="21">
      <c r="A18" s="1187" t="s">
        <v>1650</v>
      </c>
      <c r="B18" s="1188">
        <v>2016</v>
      </c>
      <c r="E18" s="2118" t="s">
        <v>1651</v>
      </c>
      <c r="I18" s="1189" t="s">
        <v>173</v>
      </c>
      <c r="N18" s="1271" t="s">
        <v>1652</v>
      </c>
      <c r="X18" s="1200"/>
      <c r="AW18" s="1233" t="s">
        <v>117</v>
      </c>
      <c r="AX18" s="1233" t="s">
        <v>117</v>
      </c>
      <c r="BB18" s="1233" t="s">
        <v>1653</v>
      </c>
      <c r="BC18" s="1233" t="s">
        <v>1496</v>
      </c>
      <c r="BE18" s="1233">
        <v>2016</v>
      </c>
      <c r="BH18" s="1181" t="s">
        <v>1598</v>
      </c>
      <c r="BJ18" s="1330" t="s">
        <v>1654</v>
      </c>
      <c r="BL18" s="1330" t="s">
        <v>1654</v>
      </c>
      <c r="BN18" s="1181" t="s">
        <v>1655</v>
      </c>
      <c r="BQ18" s="1545" t="s">
        <v>1469</v>
      </c>
      <c r="BR18" s="1272" t="s">
        <v>1470</v>
      </c>
      <c r="BS18" s="387"/>
      <c r="BT18" s="1545" t="s">
        <v>1656</v>
      </c>
      <c r="BU18" s="1272" t="s">
        <v>1657</v>
      </c>
      <c r="BV18" s="1183"/>
      <c r="BW18" s="1810" t="s">
        <v>1658</v>
      </c>
      <c r="BX18" s="1804" t="s">
        <v>1659</v>
      </c>
      <c r="BZ18" s="1545" t="s">
        <v>1660</v>
      </c>
      <c r="CA18" s="1272" t="s">
        <v>1661</v>
      </c>
      <c r="CC18" s="1545" t="s">
        <v>1662</v>
      </c>
      <c r="CD18" s="1272" t="s">
        <v>1663</v>
      </c>
    </row>
    <row customHeight="1" ht="21">
      <c r="A19" s="1983" t="s">
        <v>1664</v>
      </c>
      <c r="B19" s="1188">
        <v>2017</v>
      </c>
      <c r="E19" s="1187" t="s">
        <v>231</v>
      </c>
      <c r="I19" s="1189" t="s">
        <v>175</v>
      </c>
      <c r="N19" s="1271" t="s">
        <v>1665</v>
      </c>
      <c r="X19" s="1200"/>
      <c r="AW19" s="1233" t="s">
        <v>173</v>
      </c>
      <c r="AX19" s="1233" t="s">
        <v>173</v>
      </c>
      <c r="AZ19" s="1180" t="s">
        <v>1666</v>
      </c>
      <c r="BB19" s="1233" t="s">
        <v>1667</v>
      </c>
      <c r="BC19" s="1233" t="s">
        <v>1496</v>
      </c>
      <c r="BE19" s="1233">
        <v>2017</v>
      </c>
      <c r="BH19" s="1181" t="s">
        <v>1668</v>
      </c>
      <c r="BJ19" s="1330" t="s">
        <v>1669</v>
      </c>
      <c r="BL19" s="1330" t="s">
        <v>1669</v>
      </c>
      <c r="BQ19" s="1394">
        <v>4190064</v>
      </c>
      <c r="BR19" s="1181" t="s">
        <v>1670</v>
      </c>
      <c r="BS19" s="1542"/>
      <c r="BT19" s="1394">
        <v>4189671</v>
      </c>
      <c r="BU19" s="1181" t="s">
        <v>1671</v>
      </c>
      <c r="BV19" s="1183"/>
      <c r="BW19" s="1808">
        <v>4189706</v>
      </c>
      <c r="BX19" s="1806" t="s">
        <v>1672</v>
      </c>
      <c r="BZ19" s="1394">
        <v>4189714</v>
      </c>
      <c r="CA19" s="1181" t="s">
        <v>1673</v>
      </c>
      <c r="CC19" s="1394">
        <v>4189708</v>
      </c>
      <c r="CD19" s="1181" t="s">
        <v>1674</v>
      </c>
    </row>
    <row customHeight="1" ht="21">
      <c r="A20" s="1187" t="s">
        <v>1675</v>
      </c>
      <c r="B20" s="1188">
        <v>2018</v>
      </c>
      <c r="E20" s="1187" t="s">
        <v>1428</v>
      </c>
      <c r="I20" s="1189" t="s">
        <v>166</v>
      </c>
      <c r="N20" s="1271" t="s">
        <v>1676</v>
      </c>
      <c r="AW20" s="1233" t="s">
        <v>175</v>
      </c>
      <c r="AX20" s="1233" t="s">
        <v>175</v>
      </c>
      <c r="AZ20" s="1233" t="s">
        <v>1677</v>
      </c>
      <c r="BB20" s="1233" t="s">
        <v>1678</v>
      </c>
      <c r="BC20" s="1233" t="s">
        <v>1613</v>
      </c>
      <c r="BE20" s="1233">
        <v>2018</v>
      </c>
      <c r="BH20" s="1181" t="s">
        <v>1609</v>
      </c>
      <c r="BJ20" s="1181" t="s">
        <v>1536</v>
      </c>
      <c r="BL20" s="1181" t="s">
        <v>1536</v>
      </c>
      <c r="BQ20" s="1394">
        <v>4190065</v>
      </c>
      <c r="BR20" s="1181" t="s">
        <v>1679</v>
      </c>
      <c r="BS20" s="1542"/>
      <c r="BT20" s="1394">
        <v>4189672</v>
      </c>
      <c r="BU20" s="1181" t="s">
        <v>1680</v>
      </c>
      <c r="BV20" s="1183"/>
      <c r="BW20" s="1808">
        <v>4189705</v>
      </c>
      <c r="BX20" s="1806" t="s">
        <v>1681</v>
      </c>
      <c r="BZ20" s="1394">
        <v>4189713</v>
      </c>
      <c r="CA20" s="1181" t="s">
        <v>1681</v>
      </c>
      <c r="CC20" s="1394">
        <v>4189709</v>
      </c>
      <c r="CD20" s="1181" t="s">
        <v>1682</v>
      </c>
    </row>
    <row customHeight="1" ht="21">
      <c r="A21" s="1187" t="s">
        <v>1683</v>
      </c>
      <c r="B21" s="1188">
        <v>2019</v>
      </c>
      <c r="I21" s="1189" t="s">
        <v>1684</v>
      </c>
      <c r="N21" s="1271" t="s">
        <v>1685</v>
      </c>
      <c r="AW21" s="1233" t="s">
        <v>166</v>
      </c>
      <c r="AX21" s="1233" t="s">
        <v>166</v>
      </c>
      <c r="AZ21" s="1233" t="s">
        <v>1686</v>
      </c>
      <c r="BB21" s="1233" t="s">
        <v>1687</v>
      </c>
      <c r="BC21" s="1233" t="s">
        <v>1496</v>
      </c>
      <c r="BE21" s="1233">
        <v>2019</v>
      </c>
      <c r="BH21" s="1181" t="s">
        <v>1616</v>
      </c>
      <c r="BJ21" s="1181" t="s">
        <v>1552</v>
      </c>
      <c r="BL21" s="1181" t="s">
        <v>1552</v>
      </c>
      <c r="BQ21" s="1394">
        <v>4190066</v>
      </c>
      <c r="BR21" s="1181" t="s">
        <v>1688</v>
      </c>
      <c r="BS21" s="1542"/>
      <c r="BT21" s="1394">
        <v>4189673</v>
      </c>
      <c r="BU21" s="1181" t="s">
        <v>1689</v>
      </c>
      <c r="BV21" s="1183"/>
      <c r="BW21" s="1808">
        <v>4189707</v>
      </c>
      <c r="BX21" s="1806" t="s">
        <v>1690</v>
      </c>
      <c r="BZ21" s="1394">
        <v>4189712</v>
      </c>
      <c r="CA21" s="1181" t="s">
        <v>1691</v>
      </c>
      <c r="CC21" s="1394">
        <v>4189710</v>
      </c>
      <c r="CD21" s="1181" t="s">
        <v>1692</v>
      </c>
    </row>
    <row customHeight="1" ht="21">
      <c r="A22" s="1187" t="s">
        <v>1693</v>
      </c>
      <c r="B22" s="1188">
        <v>2020</v>
      </c>
      <c r="N22" s="1271" t="s">
        <v>1694</v>
      </c>
      <c r="AW22" s="1233" t="s">
        <v>1684</v>
      </c>
      <c r="AX22" s="1233" t="s">
        <v>1684</v>
      </c>
      <c r="AZ22" s="1233" t="s">
        <v>1695</v>
      </c>
      <c r="BB22" s="1233" t="s">
        <v>1696</v>
      </c>
      <c r="BC22" s="1233" t="s">
        <v>1496</v>
      </c>
      <c r="BE22" s="1233">
        <v>2020</v>
      </c>
      <c r="BH22" s="1181" t="s">
        <v>1623</v>
      </c>
      <c r="BJ22" s="1181" t="s">
        <v>1568</v>
      </c>
      <c r="BL22" s="1181" t="s">
        <v>1568</v>
      </c>
      <c r="BQ22" s="1394">
        <v>4190067</v>
      </c>
      <c r="BR22" s="1181" t="s">
        <v>1697</v>
      </c>
      <c r="BS22" s="1542"/>
      <c r="BT22" s="1394">
        <v>4189674</v>
      </c>
      <c r="BU22" s="1181" t="s">
        <v>1698</v>
      </c>
      <c r="BV22" s="1183"/>
      <c r="BW22" s="1183"/>
      <c r="CC22" s="1394">
        <v>4189711</v>
      </c>
      <c r="CD22" s="1181" t="s">
        <v>448</v>
      </c>
    </row>
    <row customHeight="1" ht="21">
      <c r="A23" s="1187" t="s">
        <v>1699</v>
      </c>
      <c r="B23" s="1188">
        <v>2021</v>
      </c>
      <c r="AW23" s="1233" t="s">
        <v>108</v>
      </c>
      <c r="AX23" s="1233" t="s">
        <v>108</v>
      </c>
      <c r="AZ23" s="1233" t="s">
        <v>1700</v>
      </c>
      <c r="BB23" s="1233" t="s">
        <v>1701</v>
      </c>
      <c r="BC23" s="1233" t="s">
        <v>1405</v>
      </c>
      <c r="BE23" s="1233">
        <v>2021</v>
      </c>
      <c r="BH23" s="1181" t="s">
        <v>1631</v>
      </c>
      <c r="BJ23" s="1181" t="s">
        <v>1584</v>
      </c>
      <c r="BL23" s="1181" t="s">
        <v>1584</v>
      </c>
      <c r="BQ23" s="1394">
        <v>4190068</v>
      </c>
      <c r="BR23" s="1181" t="s">
        <v>1702</v>
      </c>
      <c r="BS23" s="1542"/>
      <c r="BT23" s="1394">
        <v>4189675</v>
      </c>
      <c r="BU23" s="1181" t="s">
        <v>1703</v>
      </c>
      <c r="BV23" s="1183"/>
      <c r="BW23" s="1183"/>
      <c r="CC23" s="1394">
        <v>5110778</v>
      </c>
      <c r="CD23" s="1181" t="s">
        <v>1704</v>
      </c>
    </row>
    <row customHeight="1" ht="21">
      <c r="A24" s="1187" t="s">
        <v>1705</v>
      </c>
      <c r="B24" s="1188">
        <v>2022</v>
      </c>
      <c r="AW24" s="1233" t="s">
        <v>113</v>
      </c>
      <c r="AX24" s="1233" t="s">
        <v>113</v>
      </c>
      <c r="AZ24" s="1233" t="s">
        <v>1706</v>
      </c>
      <c r="BB24" s="1233" t="s">
        <v>1707</v>
      </c>
      <c r="BC24" s="1233" t="s">
        <v>1708</v>
      </c>
      <c r="BE24" s="1233">
        <v>2022</v>
      </c>
      <c r="BH24" s="1181" t="s">
        <v>1639</v>
      </c>
      <c r="BJ24" s="1181" t="s">
        <v>1598</v>
      </c>
      <c r="BL24" s="1181" t="s">
        <v>1598</v>
      </c>
      <c r="BQ24" s="1394">
        <v>4190069</v>
      </c>
      <c r="BR24" s="1181" t="s">
        <v>1709</v>
      </c>
      <c r="BS24" s="1542"/>
      <c r="BT24" s="1394">
        <v>4189676</v>
      </c>
      <c r="BU24" s="1181" t="s">
        <v>1710</v>
      </c>
      <c r="BV24" s="1183"/>
      <c r="BW24" s="1183"/>
      <c r="CC24" s="1394">
        <v>25575374</v>
      </c>
      <c r="CD24" s="1181" t="s">
        <v>1711</v>
      </c>
    </row>
    <row customHeight="1" ht="11.25">
      <c r="A25" s="1187" t="s">
        <v>1712</v>
      </c>
      <c r="B25" s="1188">
        <v>2023</v>
      </c>
      <c r="AW25" s="1233" t="s">
        <v>170</v>
      </c>
      <c r="AX25" s="1233" t="s">
        <v>170</v>
      </c>
      <c r="AZ25" s="1233" t="s">
        <v>1713</v>
      </c>
      <c r="BB25" s="1233" t="s">
        <v>1714</v>
      </c>
      <c r="BC25" s="1233" t="s">
        <v>1708</v>
      </c>
      <c r="BE25" s="1233">
        <v>2023</v>
      </c>
      <c r="BH25" s="1181" t="s">
        <v>1645</v>
      </c>
      <c r="BJ25" s="1181" t="s">
        <v>1668</v>
      </c>
      <c r="BL25" s="1181" t="s">
        <v>1668</v>
      </c>
      <c r="BQ25" s="1394">
        <v>4190070</v>
      </c>
      <c r="BR25" s="1181" t="s">
        <v>1715</v>
      </c>
      <c r="BS25" s="1542"/>
      <c r="BT25" s="1394">
        <v>4189677</v>
      </c>
      <c r="BU25" s="1181" t="s">
        <v>1716</v>
      </c>
      <c r="BV25" s="1183"/>
      <c r="BW25" s="1183"/>
    </row>
    <row customHeight="1" ht="11.25">
      <c r="A26" s="1187" t="s">
        <v>1717</v>
      </c>
      <c r="B26" s="1188">
        <v>2024</v>
      </c>
      <c r="J26" s="1844" t="s">
        <v>1718</v>
      </c>
      <c r="AX26" s="1233" t="s">
        <v>1719</v>
      </c>
      <c r="AZ26" s="1233" t="s">
        <v>1591</v>
      </c>
      <c r="BB26" s="1233" t="s">
        <v>1720</v>
      </c>
      <c r="BC26" s="1233" t="s">
        <v>1708</v>
      </c>
      <c r="BE26" s="1233">
        <v>2024</v>
      </c>
      <c r="BH26" s="1181" t="s">
        <v>1655</v>
      </c>
      <c r="BJ26" s="1181" t="s">
        <v>1609</v>
      </c>
      <c r="BL26" s="1181" t="s">
        <v>1609</v>
      </c>
      <c r="BQ26" s="1394">
        <v>4190071</v>
      </c>
      <c r="BR26" s="1181" t="s">
        <v>1721</v>
      </c>
      <c r="BS26" s="1542"/>
      <c r="BV26" s="1183"/>
      <c r="BW26" s="1183"/>
    </row>
    <row customHeight="1" ht="11.25">
      <c r="A27" s="1187" t="s">
        <v>1722</v>
      </c>
      <c r="B27" s="1188">
        <v>2025</v>
      </c>
      <c r="J27" s="289" t="s">
        <v>106</v>
      </c>
      <c r="AX27" s="1233" t="s">
        <v>136</v>
      </c>
      <c r="BB27" s="1233" t="s">
        <v>1723</v>
      </c>
      <c r="BC27" s="1233" t="s">
        <v>1708</v>
      </c>
      <c r="BE27" s="1233">
        <v>2025</v>
      </c>
      <c r="BH27" s="1183" t="s">
        <v>28</v>
      </c>
      <c r="BJ27" s="1181" t="s">
        <v>1616</v>
      </c>
      <c r="BL27" s="1181" t="s">
        <v>1616</v>
      </c>
      <c r="BN27" s="1183" t="s">
        <v>28</v>
      </c>
      <c r="BQ27" s="1394">
        <v>4190072</v>
      </c>
      <c r="BR27" s="1181" t="s">
        <v>1724</v>
      </c>
      <c r="BS27" s="1542"/>
      <c r="BV27" s="1183"/>
      <c r="BW27" s="1183"/>
    </row>
    <row customHeight="1" ht="11.25">
      <c r="A28" s="1187" t="s">
        <v>1725</v>
      </c>
      <c r="D28" s="1214"/>
      <c r="E28" s="1215"/>
      <c r="F28" s="1215"/>
      <c r="H28" s="1216" t="s">
        <v>1726</v>
      </c>
      <c r="AX28" s="1233" t="s">
        <v>130</v>
      </c>
      <c r="AZ28" s="1180" t="s">
        <v>1727</v>
      </c>
      <c r="BB28" s="1233" t="s">
        <v>1728</v>
      </c>
      <c r="BC28" s="1233" t="s">
        <v>1729</v>
      </c>
      <c r="BE28" s="1233">
        <v>2026</v>
      </c>
      <c r="BH28" s="1183" t="s">
        <v>28</v>
      </c>
      <c r="BJ28" s="1181" t="s">
        <v>1623</v>
      </c>
      <c r="BL28" s="1181" t="s">
        <v>1623</v>
      </c>
      <c r="BN28" s="1183" t="s">
        <v>28</v>
      </c>
      <c r="BQ28" s="1394">
        <v>4190073</v>
      </c>
      <c r="BR28" s="1181" t="s">
        <v>1730</v>
      </c>
      <c r="BS28" s="1542"/>
      <c r="BV28" s="1183"/>
      <c r="BW28" s="1183"/>
    </row>
    <row customHeight="1" ht="11.25">
      <c r="A29" s="1187" t="s">
        <v>1731</v>
      </c>
      <c r="D29" s="1217" t="s">
        <v>1732</v>
      </c>
      <c r="E29" s="1218" t="str">
        <f>IF(TEMPLATE_GROUP="","",INDEX(StartDateList,MATCH(TEMPLATE_GROUP,CodeTemplateList,0),1))</f>
        <v>01.01.2025</v>
      </c>
      <c r="F29" s="1218" t="str">
        <f>IF(TEMPLATE_GROUP="","",INDEX(EndDateList,MATCH(TEMPLATE_GROUP,CodeTemplateList,0),1))</f>
        <v>31.12.2025</v>
      </c>
      <c r="H29" s="1219" t="s">
        <v>1733</v>
      </c>
      <c r="AX29" s="1233" t="s">
        <v>150</v>
      </c>
      <c r="AZ29" s="1233" t="s">
        <v>1390</v>
      </c>
      <c r="BB29" s="1233" t="s">
        <v>1591</v>
      </c>
      <c r="BC29" s="1204"/>
      <c r="BE29" s="1233">
        <v>2027</v>
      </c>
      <c r="BJ29" s="1181" t="s">
        <v>1631</v>
      </c>
      <c r="BL29" s="1181" t="s">
        <v>1631</v>
      </c>
    </row>
    <row customHeight="1" ht="11.25">
      <c r="A30" s="1187" t="s">
        <v>1734</v>
      </c>
      <c r="D30" s="1220"/>
      <c r="E30" s="1221"/>
      <c r="F30" s="1221"/>
      <c r="AX30" s="1233" t="s">
        <v>1735</v>
      </c>
      <c r="AZ30" s="1233" t="s">
        <v>1417</v>
      </c>
      <c r="BE30" s="1233">
        <v>2028</v>
      </c>
      <c r="BJ30" s="1181" t="s">
        <v>1736</v>
      </c>
      <c r="BL30" s="1181" t="s">
        <v>1736</v>
      </c>
    </row>
    <row customHeight="1" ht="12.75">
      <c r="A31" s="1187" t="s">
        <v>1737</v>
      </c>
      <c r="D31" s="1214"/>
      <c r="E31" s="1215"/>
      <c r="F31" s="1215"/>
      <c r="H31" s="1222"/>
      <c r="AX31" s="1233" t="s">
        <v>1738</v>
      </c>
      <c r="AZ31" s="1233" t="s">
        <v>1739</v>
      </c>
      <c r="BE31" s="1233">
        <v>2029</v>
      </c>
      <c r="BJ31" s="1181" t="s">
        <v>1740</v>
      </c>
      <c r="BL31" s="1181" t="s">
        <v>1740</v>
      </c>
    </row>
    <row customHeight="1" ht="11.25">
      <c r="A32" s="1187" t="s">
        <v>1741</v>
      </c>
      <c r="D32" s="1217" t="s">
        <v>1742</v>
      </c>
      <c r="E32" s="1218" t="str">
        <f>IF(TEMPLATE_GROUP="","",INDEX(StartDateList,MATCH(TEMPLATE_GROUP,CodeTemplateList,0),1))</f>
        <v>01.01.2025</v>
      </c>
      <c r="F32" s="1218" t="str">
        <f>IF(TEMPLATE_GROUP="","",INDEX(EndDateList,MATCH(TEMPLATE_GROUP,CodeTemplateList,0),1))</f>
        <v>31.12.2025</v>
      </c>
      <c r="H32" s="1223" t="s">
        <v>1743</v>
      </c>
      <c r="O32" s="1187" t="s">
        <v>603</v>
      </c>
      <c r="AX32" s="1233" t="s">
        <v>1744</v>
      </c>
      <c r="AZ32" s="1233" t="s">
        <v>602</v>
      </c>
      <c r="BE32" s="1233">
        <v>2030</v>
      </c>
      <c r="BJ32" s="1181" t="s">
        <v>1639</v>
      </c>
      <c r="BL32" s="1181" t="s">
        <v>1639</v>
      </c>
    </row>
    <row customHeight="1" ht="11.25">
      <c r="A33" s="1187" t="s">
        <v>1745</v>
      </c>
      <c r="O33" s="1187" t="s">
        <v>1414</v>
      </c>
      <c r="AX33" s="1233" t="s">
        <v>1746</v>
      </c>
      <c r="AZ33" s="1233" t="s">
        <v>601</v>
      </c>
      <c r="BE33" s="1233">
        <v>2031</v>
      </c>
      <c r="BJ33" s="1181" t="s">
        <v>1645</v>
      </c>
      <c r="BL33" s="1181" t="s">
        <v>1645</v>
      </c>
    </row>
    <row customHeight="1" ht="11.25">
      <c r="A34" s="1187" t="s">
        <v>1747</v>
      </c>
      <c r="O34" s="1187" t="s">
        <v>1450</v>
      </c>
      <c r="AX34" s="1233" t="s">
        <v>1748</v>
      </c>
      <c r="BE34" s="1233">
        <v>2032</v>
      </c>
      <c r="BJ34" s="1181" t="s">
        <v>1655</v>
      </c>
      <c r="BL34" s="1181" t="s">
        <v>1655</v>
      </c>
    </row>
    <row customHeight="1" ht="11.25">
      <c r="A35" s="1187" t="s">
        <v>1749</v>
      </c>
      <c r="O35" s="1187" t="s">
        <v>1483</v>
      </c>
      <c r="AX35" s="1233" t="s">
        <v>1750</v>
      </c>
      <c r="AZ35" s="1180" t="s">
        <v>1751</v>
      </c>
      <c r="BE35" s="1233">
        <v>2033</v>
      </c>
      <c r="BL35" s="1181" t="s">
        <v>1752</v>
      </c>
    </row>
    <row customHeight="1" ht="11.25">
      <c r="A36" s="1983" t="s">
        <v>1753</v>
      </c>
      <c r="D36" s="1224" t="s">
        <v>1754</v>
      </c>
      <c r="E36" s="1225" t="s">
        <v>961</v>
      </c>
      <c r="F36" s="1226" t="str">
        <f>INDEX(E37:E41,MATCH(TEMPLATE_SPHERE,F37:F41,0))</f>
        <v>теплоснабжения</v>
      </c>
      <c r="G36" s="1226" t="str">
        <f>INDEX(G37:G41,MATCH(TEMPLATE_SPHERE,F37:F41,0))</f>
        <v>теплоснабжение</v>
      </c>
      <c r="O36" s="1187" t="s">
        <v>1507</v>
      </c>
      <c r="AX36" s="1233" t="s">
        <v>141</v>
      </c>
      <c r="AZ36" s="1233" t="s">
        <v>601</v>
      </c>
      <c r="BE36" s="1233">
        <v>2034</v>
      </c>
      <c r="BL36" s="1181" t="s">
        <v>1755</v>
      </c>
    </row>
    <row customHeight="1" ht="11.25">
      <c r="A37" s="1187" t="s">
        <v>1756</v>
      </c>
      <c r="E37" s="520" t="s">
        <v>1757</v>
      </c>
      <c r="F37" s="1227" t="s">
        <v>961</v>
      </c>
      <c r="G37" s="520" t="s">
        <v>1758</v>
      </c>
      <c r="O37" s="1187" t="s">
        <v>1526</v>
      </c>
      <c r="AX37" s="1233" t="s">
        <v>1759</v>
      </c>
      <c r="AZ37" s="1233" t="s">
        <v>1416</v>
      </c>
      <c r="BE37" s="1233">
        <v>2035</v>
      </c>
    </row>
    <row customHeight="1" ht="11.25">
      <c r="A38" s="1187" t="s">
        <v>1760</v>
      </c>
      <c r="E38" s="520" t="s">
        <v>1761</v>
      </c>
      <c r="F38" s="1228" t="s">
        <v>1007</v>
      </c>
      <c r="G38" s="520" t="s">
        <v>1762</v>
      </c>
      <c r="O38" s="1187" t="s">
        <v>1543</v>
      </c>
      <c r="AX38" s="1233" t="s">
        <v>101</v>
      </c>
      <c r="AZ38" s="1233" t="s">
        <v>1451</v>
      </c>
      <c r="BE38" s="1233">
        <v>2036</v>
      </c>
      <c r="BH38" s="1180" t="s">
        <v>1763</v>
      </c>
      <c r="BJ38" s="1180" t="s">
        <v>1764</v>
      </c>
      <c r="BL38" s="1180" t="s">
        <v>1765</v>
      </c>
      <c r="BN38" s="1180" t="s">
        <v>1766</v>
      </c>
    </row>
    <row customHeight="1" ht="11.25">
      <c r="A39" s="1187" t="s">
        <v>16</v>
      </c>
      <c r="E39" s="520" t="s">
        <v>1767</v>
      </c>
      <c r="F39" s="1228" t="s">
        <v>1060</v>
      </c>
      <c r="G39" s="520" t="s">
        <v>1768</v>
      </c>
      <c r="O39" s="1187" t="s">
        <v>1559</v>
      </c>
      <c r="AX39" s="1233" t="s">
        <v>1769</v>
      </c>
      <c r="AZ39" s="1233" t="s">
        <v>1484</v>
      </c>
      <c r="BE39" s="1233">
        <v>2037</v>
      </c>
      <c r="BH39" s="1181" t="s">
        <v>1770</v>
      </c>
      <c r="BJ39" s="1330" t="s">
        <v>1770</v>
      </c>
      <c r="BL39" s="1330" t="s">
        <v>1770</v>
      </c>
      <c r="BN39" s="1181" t="s">
        <v>1771</v>
      </c>
    </row>
    <row customHeight="1" ht="11.25">
      <c r="A40" s="1187" t="s">
        <v>1772</v>
      </c>
      <c r="E40" s="520" t="s">
        <v>1773</v>
      </c>
      <c r="F40" s="1228" t="s">
        <v>1047</v>
      </c>
      <c r="G40" s="520" t="s">
        <v>1774</v>
      </c>
      <c r="O40" s="1187" t="s">
        <v>1575</v>
      </c>
      <c r="AX40" s="1233" t="s">
        <v>1775</v>
      </c>
      <c r="BE40" s="1233">
        <v>2038</v>
      </c>
      <c r="BH40" s="1181" t="s">
        <v>1776</v>
      </c>
      <c r="BJ40" s="1330" t="s">
        <v>1180</v>
      </c>
      <c r="BL40" s="1330" t="s">
        <v>1180</v>
      </c>
      <c r="BN40" s="1181" t="s">
        <v>1214</v>
      </c>
    </row>
    <row customHeight="1" ht="11.25">
      <c r="A41" s="1187" t="s">
        <v>1777</v>
      </c>
      <c r="E41" s="520" t="s">
        <v>1778</v>
      </c>
      <c r="F41" s="1228" t="s">
        <v>1779</v>
      </c>
      <c r="G41" s="520" t="s">
        <v>1778</v>
      </c>
      <c r="O41" s="1187" t="s">
        <v>1591</v>
      </c>
      <c r="AX41" s="1233" t="s">
        <v>1780</v>
      </c>
      <c r="AZ41" s="1180" t="s">
        <v>1781</v>
      </c>
      <c r="BE41" s="1233">
        <v>2039</v>
      </c>
      <c r="BH41" s="1181" t="s">
        <v>1782</v>
      </c>
      <c r="BJ41" s="1330" t="s">
        <v>1176</v>
      </c>
      <c r="BL41" s="1330" t="s">
        <v>1176</v>
      </c>
      <c r="BN41" s="1181" t="s">
        <v>1201</v>
      </c>
    </row>
    <row customHeight="1" ht="11.25">
      <c r="A42" s="1187" t="s">
        <v>1783</v>
      </c>
      <c r="AX42" s="1233" t="s">
        <v>1784</v>
      </c>
      <c r="AZ42" s="1233" t="s">
        <v>603</v>
      </c>
      <c r="BE42" s="1233">
        <v>2040</v>
      </c>
      <c r="BH42" s="1181" t="s">
        <v>1198</v>
      </c>
      <c r="BJ42" s="1330" t="s">
        <v>1178</v>
      </c>
      <c r="BL42" s="1330" t="s">
        <v>1178</v>
      </c>
      <c r="BN42" s="1181" t="s">
        <v>1785</v>
      </c>
    </row>
    <row customHeight="1" ht="11.25">
      <c r="A43" s="1187" t="s">
        <v>1786</v>
      </c>
      <c r="AX43" s="1233" t="s">
        <v>1787</v>
      </c>
      <c r="AZ43" s="1233" t="s">
        <v>1414</v>
      </c>
      <c r="BE43" s="1233">
        <v>2041</v>
      </c>
      <c r="BH43" s="1181" t="s">
        <v>1788</v>
      </c>
      <c r="BJ43" s="1330" t="s">
        <v>1782</v>
      </c>
      <c r="BL43" s="1330" t="s">
        <v>1782</v>
      </c>
      <c r="BN43" s="1181" t="s">
        <v>1789</v>
      </c>
    </row>
    <row customHeight="1" ht="11.25">
      <c r="A44" s="1187" t="s">
        <v>1790</v>
      </c>
      <c r="G44" s="1207">
        <f>YEAR(TODAY())</f>
        <v>2025</v>
      </c>
      <c r="I44" s="912" t="s">
        <v>1791</v>
      </c>
      <c r="J44" s="1202" t="s">
        <v>1792</v>
      </c>
      <c r="K44" s="1202" t="s">
        <v>1793</v>
      </c>
      <c r="AX44" s="1233" t="s">
        <v>1794</v>
      </c>
      <c r="AZ44" s="1233" t="s">
        <v>1450</v>
      </c>
      <c r="BE44" s="1233">
        <v>2042</v>
      </c>
      <c r="BH44" s="1181" t="s">
        <v>1795</v>
      </c>
      <c r="BJ44" s="1330" t="s">
        <v>1198</v>
      </c>
      <c r="BL44" s="1330" t="s">
        <v>1198</v>
      </c>
      <c r="BN44" s="1181" t="s">
        <v>1796</v>
      </c>
    </row>
    <row customHeight="1" ht="11.25">
      <c r="A45" s="1187" t="s">
        <v>1797</v>
      </c>
      <c r="D45" s="1224" t="s">
        <v>1798</v>
      </c>
      <c r="E45" s="1225" t="s">
        <v>1799</v>
      </c>
      <c r="F45" s="910" t="s">
        <v>1800</v>
      </c>
      <c r="G45" s="909" t="s">
        <v>1801</v>
      </c>
      <c r="H45" s="912" t="s">
        <v>1802</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1803</v>
      </c>
      <c r="AZ45" s="1233" t="s">
        <v>1483</v>
      </c>
      <c r="BE45" s="1233">
        <v>2043</v>
      </c>
      <c r="BH45" s="1181" t="s">
        <v>1804</v>
      </c>
      <c r="BJ45" s="1330" t="s">
        <v>1192</v>
      </c>
      <c r="BL45" s="1330" t="s">
        <v>1192</v>
      </c>
      <c r="BN45" s="1181" t="s">
        <v>1805</v>
      </c>
    </row>
    <row customHeight="1" ht="11.25">
      <c r="A46" s="1187" t="s">
        <v>1806</v>
      </c>
      <c r="E46" s="520" t="s">
        <v>26</v>
      </c>
      <c r="F46" s="1227" t="s">
        <v>1807</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1808</v>
      </c>
      <c r="AZ46" s="1233" t="s">
        <v>1507</v>
      </c>
      <c r="BE46" s="1233">
        <v>2044</v>
      </c>
      <c r="BH46" s="1181" t="s">
        <v>1201</v>
      </c>
      <c r="BJ46" s="1330" t="s">
        <v>1182</v>
      </c>
      <c r="BL46" s="1330" t="s">
        <v>1182</v>
      </c>
      <c r="BN46" s="1181" t="s">
        <v>1809</v>
      </c>
    </row>
    <row customHeight="1" ht="11.25">
      <c r="A47" s="1187" t="s">
        <v>1810</v>
      </c>
      <c r="E47" s="520" t="s">
        <v>33</v>
      </c>
      <c r="F47" s="1228" t="s">
        <v>1811</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1812</v>
      </c>
      <c r="AZ47" s="1233" t="s">
        <v>1526</v>
      </c>
      <c r="BE47" s="1233">
        <v>2045</v>
      </c>
      <c r="BH47" s="1181" t="s">
        <v>1785</v>
      </c>
      <c r="BJ47" s="1330" t="s">
        <v>1184</v>
      </c>
      <c r="BL47" s="1330" t="s">
        <v>1184</v>
      </c>
      <c r="BN47" s="1181" t="s">
        <v>1813</v>
      </c>
    </row>
    <row customHeight="1" ht="11.25">
      <c r="A48" s="1187" t="s">
        <v>1814</v>
      </c>
      <c r="E48" s="520" t="s">
        <v>1815</v>
      </c>
      <c r="F48" s="1228" t="s">
        <v>1816</v>
      </c>
      <c r="G48" s="1229" t="str">
        <f>_xlfn.IFERROR(IF(f_year="","01.01."&amp;CURRENT_YEAR,"01.01."&amp;f_year),"01.01."&amp;CURRENT_YEAR)</f>
        <v>01.01.2025</v>
      </c>
      <c r="H48" s="1229" t="str">
        <f>_xlfn.IFERROR(IF(f_year="","31.12."&amp;CURRENT_YEAR,"31.12."&amp;f_year),"31.12."&amp;CURRENT_YEAR)</f>
        <v>31.12.2025</v>
      </c>
      <c r="I48" s="1855">
        <f>IF(f_year="",TRUE,FALSE)</f>
        <v>1</v>
      </c>
      <c r="J48" s="1858" t="s">
        <v>1817</v>
      </c>
      <c r="K48" s="1859"/>
      <c r="AX48" s="1233" t="s">
        <v>1818</v>
      </c>
      <c r="AZ48" s="1233" t="s">
        <v>1543</v>
      </c>
      <c r="BE48" s="1233">
        <v>2046</v>
      </c>
      <c r="BH48" s="1181" t="s">
        <v>1789</v>
      </c>
      <c r="BJ48" s="1330" t="s">
        <v>1186</v>
      </c>
      <c r="BL48" s="1330" t="s">
        <v>1186</v>
      </c>
      <c r="BN48" s="1181" t="s">
        <v>1819</v>
      </c>
    </row>
    <row customHeight="1" ht="11.25">
      <c r="A49" s="1187" t="s">
        <v>1820</v>
      </c>
      <c r="E49" s="520" t="s">
        <v>1821</v>
      </c>
      <c r="F49" s="1228" t="s">
        <v>1822</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1823</v>
      </c>
      <c r="AZ49" s="1233" t="s">
        <v>1559</v>
      </c>
      <c r="BE49" s="1233">
        <v>2047</v>
      </c>
      <c r="BH49" s="1181" t="s">
        <v>1202</v>
      </c>
      <c r="BJ49" s="1330" t="s">
        <v>1188</v>
      </c>
      <c r="BL49" s="1330" t="s">
        <v>1188</v>
      </c>
    </row>
    <row customHeight="1" ht="11.25">
      <c r="A50" s="1187" t="s">
        <v>1824</v>
      </c>
      <c r="E50" s="520" t="s">
        <v>1825</v>
      </c>
      <c r="F50" s="1228" t="s">
        <v>1172</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1826</v>
      </c>
      <c r="AZ50" s="1233" t="s">
        <v>1575</v>
      </c>
      <c r="BE50" s="1233">
        <v>2048</v>
      </c>
      <c r="BH50" s="1181" t="s">
        <v>1796</v>
      </c>
      <c r="BJ50" s="1330" t="s">
        <v>1190</v>
      </c>
      <c r="BL50" s="1330" t="s">
        <v>1190</v>
      </c>
    </row>
    <row customHeight="1" ht="11.25">
      <c r="A51" s="1187" t="s">
        <v>1827</v>
      </c>
      <c r="E51" s="520" t="s">
        <v>1828</v>
      </c>
      <c r="F51" s="1228" t="s">
        <v>1829</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1830</v>
      </c>
      <c r="AZ51" s="1233" t="s">
        <v>1591</v>
      </c>
      <c r="BE51" s="1233">
        <v>2049</v>
      </c>
      <c r="BH51" s="1181" t="s">
        <v>1805</v>
      </c>
      <c r="BJ51" s="1330" t="s">
        <v>1831</v>
      </c>
      <c r="BL51" s="1330" t="s">
        <v>1831</v>
      </c>
    </row>
    <row customHeight="1" ht="11.25">
      <c r="A52" s="1187" t="s">
        <v>1832</v>
      </c>
      <c r="E52" s="520" t="s">
        <v>1833</v>
      </c>
      <c r="F52" s="1228" t="s">
        <v>1799</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1834</v>
      </c>
      <c r="AZ52" s="1233" t="s">
        <v>601</v>
      </c>
      <c r="BE52" s="1233">
        <v>2050</v>
      </c>
      <c r="BH52" s="1181" t="s">
        <v>1809</v>
      </c>
      <c r="BJ52" s="1330" t="s">
        <v>1201</v>
      </c>
      <c r="BL52" s="1330" t="s">
        <v>1201</v>
      </c>
    </row>
    <row customHeight="1" ht="11.25">
      <c r="A53" s="1187" t="s">
        <v>1835</v>
      </c>
      <c r="E53" s="520" t="s">
        <v>1836</v>
      </c>
      <c r="F53" s="1228" t="s">
        <v>1836</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1837</v>
      </c>
      <c r="K53" s="1859"/>
      <c r="AX53" s="1233" t="s">
        <v>1838</v>
      </c>
      <c r="BE53" s="1233">
        <v>2051</v>
      </c>
      <c r="BH53" s="1181" t="s">
        <v>1813</v>
      </c>
      <c r="BJ53" s="1330" t="s">
        <v>1785</v>
      </c>
      <c r="BL53" s="1330" t="s">
        <v>1785</v>
      </c>
    </row>
    <row customHeight="1" ht="11.25">
      <c r="A54" s="1187" t="s">
        <v>1839</v>
      </c>
      <c r="AX54" s="1233" t="s">
        <v>1840</v>
      </c>
      <c r="AZ54" s="1180" t="s">
        <v>1841</v>
      </c>
      <c r="BE54" s="1233">
        <v>2052</v>
      </c>
      <c r="BH54" s="1181" t="s">
        <v>1819</v>
      </c>
      <c r="BJ54" s="1330" t="s">
        <v>1789</v>
      </c>
      <c r="BL54" s="1330" t="s">
        <v>1789</v>
      </c>
    </row>
    <row customHeight="1" ht="11.25">
      <c r="A55" s="1187" t="s">
        <v>1842</v>
      </c>
      <c r="AX55" s="1233" t="s">
        <v>1843</v>
      </c>
      <c r="AZ55" s="1233" t="s">
        <v>1391</v>
      </c>
      <c r="BE55" s="1233">
        <v>2053</v>
      </c>
      <c r="BH55" s="1183" t="s">
        <v>28</v>
      </c>
      <c r="BJ55" s="1330" t="s">
        <v>1202</v>
      </c>
      <c r="BL55" s="1330" t="s">
        <v>1202</v>
      </c>
    </row>
    <row customHeight="1" ht="11.25">
      <c r="A56" s="1187" t="s">
        <v>1844</v>
      </c>
      <c r="D56" s="1231" t="s">
        <v>1845</v>
      </c>
      <c r="E56" s="1208" t="s">
        <v>1846</v>
      </c>
      <c r="F56" s="1187" t="s">
        <v>1847</v>
      </c>
      <c r="AX56" s="1233" t="s">
        <v>1848</v>
      </c>
      <c r="AZ56" s="1233" t="s">
        <v>1418</v>
      </c>
      <c r="BE56" s="1233">
        <v>2054</v>
      </c>
      <c r="BH56" s="1183" t="s">
        <v>28</v>
      </c>
      <c r="BJ56" s="1330" t="s">
        <v>1796</v>
      </c>
      <c r="BL56" s="1330" t="s">
        <v>1796</v>
      </c>
    </row>
    <row customHeight="1" ht="11.25">
      <c r="A57" s="1187" t="s">
        <v>1849</v>
      </c>
      <c r="D57" s="1231" t="s">
        <v>1850</v>
      </c>
      <c r="E57" s="1208" t="s">
        <v>120</v>
      </c>
      <c r="F57" s="1187" t="s">
        <v>1847</v>
      </c>
      <c r="AX57" s="1233" t="s">
        <v>1851</v>
      </c>
      <c r="AZ57" s="1233" t="s">
        <v>1453</v>
      </c>
      <c r="BE57" s="1233">
        <v>2055</v>
      </c>
      <c r="BJ57" s="1330" t="s">
        <v>1805</v>
      </c>
      <c r="BL57" s="1330" t="s">
        <v>1805</v>
      </c>
    </row>
    <row customHeight="1" ht="11.25">
      <c r="A58" s="1187" t="s">
        <v>1852</v>
      </c>
      <c r="D58" s="1231" t="s">
        <v>1853</v>
      </c>
      <c r="E58" s="1208" t="s">
        <v>120</v>
      </c>
      <c r="F58" s="1187" t="s">
        <v>1847</v>
      </c>
      <c r="AX58" s="1233" t="s">
        <v>1854</v>
      </c>
      <c r="BE58" s="1233">
        <v>2056</v>
      </c>
      <c r="BJ58" s="1330" t="s">
        <v>1809</v>
      </c>
      <c r="BL58" s="1330" t="s">
        <v>1809</v>
      </c>
    </row>
    <row customHeight="1" ht="11.25">
      <c r="A59" s="1187" t="s">
        <v>1855</v>
      </c>
      <c r="D59" s="1231" t="s">
        <v>208</v>
      </c>
      <c r="E59" s="1208" t="s">
        <v>1744</v>
      </c>
      <c r="F59" s="1187" t="s">
        <v>1856</v>
      </c>
      <c r="AX59" s="1233" t="s">
        <v>1857</v>
      </c>
      <c r="AZ59" s="1180" t="s">
        <v>1858</v>
      </c>
      <c r="BE59" s="1233">
        <v>2057</v>
      </c>
      <c r="BJ59" s="1330" t="s">
        <v>1813</v>
      </c>
      <c r="BL59" s="1330" t="s">
        <v>1813</v>
      </c>
    </row>
    <row customHeight="1" ht="11.25">
      <c r="A60" s="1187" t="s">
        <v>1859</v>
      </c>
      <c r="D60" s="1231" t="s">
        <v>1860</v>
      </c>
      <c r="E60" s="1208" t="s">
        <v>1744</v>
      </c>
      <c r="F60" s="1187" t="s">
        <v>1856</v>
      </c>
      <c r="AX60" s="1233" t="s">
        <v>1861</v>
      </c>
      <c r="AZ60" s="1233" t="s">
        <v>1392</v>
      </c>
      <c r="BE60" s="1233">
        <v>2058</v>
      </c>
      <c r="BJ60" s="1330" t="s">
        <v>1819</v>
      </c>
      <c r="BL60" s="1330" t="s">
        <v>1819</v>
      </c>
    </row>
    <row customHeight="1" ht="11.25">
      <c r="A61" s="1187" t="s">
        <v>1862</v>
      </c>
      <c r="D61" s="1231" t="s">
        <v>1863</v>
      </c>
      <c r="E61" s="1208" t="s">
        <v>1744</v>
      </c>
      <c r="F61" s="1187" t="s">
        <v>1856</v>
      </c>
      <c r="AX61" s="1233" t="s">
        <v>1864</v>
      </c>
      <c r="AZ61" s="1233" t="s">
        <v>1419</v>
      </c>
      <c r="BE61" s="1233">
        <v>2059</v>
      </c>
      <c r="BL61" s="1330" t="s">
        <v>1194</v>
      </c>
    </row>
    <row customHeight="1" ht="11.25">
      <c r="A62" s="1187" t="s">
        <v>1865</v>
      </c>
      <c r="D62" s="1231" t="s">
        <v>207</v>
      </c>
      <c r="E62" s="1208">
        <v>48</v>
      </c>
      <c r="F62" s="1187" t="s">
        <v>1856</v>
      </c>
      <c r="AZ62" s="1233" t="s">
        <v>1454</v>
      </c>
      <c r="BE62" s="1233">
        <v>2060</v>
      </c>
      <c r="BL62" s="1330" t="s">
        <v>1196</v>
      </c>
    </row>
    <row customHeight="1" ht="11.25">
      <c r="A63" s="1187" t="s">
        <v>1866</v>
      </c>
      <c r="D63" s="1231" t="s">
        <v>1867</v>
      </c>
      <c r="E63" s="1208">
        <v>48</v>
      </c>
      <c r="F63" s="1187" t="s">
        <v>1856</v>
      </c>
      <c r="AZ63" s="1233" t="s">
        <v>1485</v>
      </c>
      <c r="BE63" s="1233">
        <v>2061</v>
      </c>
    </row>
    <row customHeight="1" ht="11.25">
      <c r="A64" s="1187" t="s">
        <v>1868</v>
      </c>
      <c r="D64" s="1231" t="s">
        <v>1869</v>
      </c>
      <c r="E64" s="1208">
        <v>56</v>
      </c>
      <c r="F64" s="1187" t="s">
        <v>1856</v>
      </c>
      <c r="AZ64" s="1233" t="s">
        <v>1508</v>
      </c>
      <c r="BE64" s="1233">
        <v>2062</v>
      </c>
    </row>
    <row customHeight="1" ht="11.25">
      <c r="A65" s="1187" t="s">
        <v>1870</v>
      </c>
      <c r="D65" s="1187"/>
      <c r="BE65" s="1233">
        <v>2063</v>
      </c>
    </row>
    <row customHeight="1" ht="11.25">
      <c r="A66" s="1187" t="s">
        <v>1871</v>
      </c>
      <c r="AZ66" s="1180" t="s">
        <v>1872</v>
      </c>
      <c r="BE66" s="1233">
        <v>2064</v>
      </c>
    </row>
    <row customHeight="1" ht="11.25">
      <c r="A67" s="1187" t="s">
        <v>1873</v>
      </c>
      <c r="AZ67" s="1233" t="s">
        <v>1393</v>
      </c>
      <c r="BE67" s="1233">
        <v>2065</v>
      </c>
    </row>
    <row customHeight="1" ht="11.25">
      <c r="A68" s="1187" t="s">
        <v>1874</v>
      </c>
      <c r="AZ68" s="1233" t="s">
        <v>1420</v>
      </c>
      <c r="BE68" s="1233">
        <v>2066</v>
      </c>
      <c r="BH68" s="1180" t="s">
        <v>1875</v>
      </c>
      <c r="BJ68" s="1180" t="s">
        <v>1876</v>
      </c>
      <c r="BL68" s="1180" t="s">
        <v>1877</v>
      </c>
      <c r="BN68" s="1180" t="s">
        <v>1878</v>
      </c>
    </row>
    <row customHeight="1" ht="11.25">
      <c r="A69" s="1187" t="s">
        <v>1879</v>
      </c>
      <c r="AZ69" s="1233" t="s">
        <v>1455</v>
      </c>
      <c r="BE69" s="1233">
        <v>2067</v>
      </c>
      <c r="BH69" s="1181" t="s">
        <v>1880</v>
      </c>
      <c r="BI69" s="1230" t="s">
        <v>155</v>
      </c>
      <c r="BJ69" s="1181" t="s">
        <v>1881</v>
      </c>
      <c r="BK69" s="1230" t="s">
        <v>155</v>
      </c>
      <c r="BL69" s="1181" t="s">
        <v>1882</v>
      </c>
      <c r="BM69" s="1183" t="s">
        <v>155</v>
      </c>
      <c r="BN69" s="1181" t="s">
        <v>1883</v>
      </c>
    </row>
    <row customHeight="1" ht="11.25">
      <c r="A70" s="1187" t="s">
        <v>1884</v>
      </c>
      <c r="AZ70" s="1233" t="s">
        <v>1486</v>
      </c>
      <c r="BE70" s="1233">
        <v>2068</v>
      </c>
      <c r="BH70" s="1181" t="s">
        <v>1885</v>
      </c>
      <c r="BJ70" s="1181" t="s">
        <v>1886</v>
      </c>
      <c r="BL70" s="1181" t="s">
        <v>1887</v>
      </c>
      <c r="BN70" s="1181" t="s">
        <v>1888</v>
      </c>
    </row>
    <row customHeight="1" ht="11.25">
      <c r="A71" s="1187" t="s">
        <v>1889</v>
      </c>
      <c r="AZ71" s="1233" t="s">
        <v>1488</v>
      </c>
      <c r="BE71" s="1233">
        <v>2069</v>
      </c>
      <c r="BH71" s="1181" t="s">
        <v>1890</v>
      </c>
      <c r="BI71" s="1230" t="s">
        <v>92</v>
      </c>
      <c r="BJ71" s="1181" t="s">
        <v>1891</v>
      </c>
      <c r="BK71" s="1230" t="s">
        <v>92</v>
      </c>
      <c r="BL71" s="1181" t="s">
        <v>1892</v>
      </c>
      <c r="BM71" s="1183" t="s">
        <v>92</v>
      </c>
      <c r="BN71" s="1181" t="s">
        <v>1893</v>
      </c>
    </row>
    <row customHeight="1" ht="11.25">
      <c r="A72" s="1187" t="s">
        <v>1894</v>
      </c>
      <c r="AZ72" s="1233" t="s">
        <v>19</v>
      </c>
      <c r="BE72" s="1233">
        <v>2070</v>
      </c>
      <c r="BH72" s="1181" t="s">
        <v>1895</v>
      </c>
      <c r="BJ72" s="1181" t="s">
        <v>1895</v>
      </c>
      <c r="BL72" s="1181" t="s">
        <v>1895</v>
      </c>
      <c r="BN72" s="1181" t="s">
        <v>1896</v>
      </c>
    </row>
    <row customHeight="1" ht="11.25">
      <c r="A73" s="1187" t="s">
        <v>1897</v>
      </c>
      <c r="BH73" s="1181" t="s">
        <v>1898</v>
      </c>
      <c r="BI73" s="1230" t="s">
        <v>120</v>
      </c>
      <c r="BJ73" s="1181" t="s">
        <v>1899</v>
      </c>
      <c r="BK73" s="1230" t="s">
        <v>120</v>
      </c>
      <c r="BL73" s="1181" t="s">
        <v>1900</v>
      </c>
      <c r="BM73" s="1183" t="s">
        <v>120</v>
      </c>
      <c r="BN73" s="1181" t="s">
        <v>1901</v>
      </c>
    </row>
    <row customHeight="1" ht="11.25">
      <c r="A74" s="1187" t="s">
        <v>1902</v>
      </c>
      <c r="BH74" s="1181" t="s">
        <v>1903</v>
      </c>
      <c r="BJ74" s="1181" t="s">
        <v>1904</v>
      </c>
      <c r="BL74" s="1181" t="s">
        <v>1905</v>
      </c>
      <c r="BN74" s="1181" t="s">
        <v>1906</v>
      </c>
    </row>
    <row customHeight="1" ht="11.25">
      <c r="A75" s="1187" t="s">
        <v>1907</v>
      </c>
      <c r="AZ75" s="1180" t="s">
        <v>1908</v>
      </c>
      <c r="BH75" s="1181" t="s">
        <v>1909</v>
      </c>
      <c r="BJ75" s="1181" t="s">
        <v>1909</v>
      </c>
      <c r="BL75" s="1181" t="s">
        <v>1909</v>
      </c>
    </row>
    <row customHeight="1" ht="11.25">
      <c r="A76" s="1187" t="s">
        <v>1910</v>
      </c>
      <c r="AZ76" s="1233" t="s">
        <v>1402</v>
      </c>
      <c r="BH76" s="1181" t="s">
        <v>1911</v>
      </c>
      <c r="BJ76" s="1181" t="s">
        <v>1912</v>
      </c>
      <c r="BL76" s="1181" t="s">
        <v>1913</v>
      </c>
    </row>
    <row customHeight="1" ht="11.25">
      <c r="A77" s="1187" t="s">
        <v>1914</v>
      </c>
      <c r="AZ77" s="1233" t="s">
        <v>1430</v>
      </c>
    </row>
    <row customHeight="1" ht="11.25">
      <c r="A78" s="1187" t="s">
        <v>1915</v>
      </c>
      <c r="AZ78" s="1233" t="s">
        <v>1462</v>
      </c>
    </row>
    <row customHeight="1" ht="11.25">
      <c r="A79" s="1187" t="s">
        <v>1916</v>
      </c>
      <c r="AZ79" s="1233" t="s">
        <v>1492</v>
      </c>
      <c r="BH79" s="1180" t="s">
        <v>1917</v>
      </c>
      <c r="BJ79" s="1180" t="s">
        <v>1918</v>
      </c>
      <c r="BL79" s="1180" t="s">
        <v>1919</v>
      </c>
    </row>
    <row customHeight="1" ht="11.25">
      <c r="A80" s="1187" t="s">
        <v>1920</v>
      </c>
      <c r="AZ80" s="1233" t="s">
        <v>1513</v>
      </c>
      <c r="BH80" s="1181" t="s">
        <v>1921</v>
      </c>
      <c r="BJ80" s="1181" t="s">
        <v>1922</v>
      </c>
      <c r="BL80" s="1181" t="s">
        <v>1923</v>
      </c>
    </row>
    <row customHeight="1" ht="11.25">
      <c r="A81" s="1187" t="s">
        <v>1924</v>
      </c>
      <c r="AZ81" s="1233" t="s">
        <v>1530</v>
      </c>
      <c r="BH81" s="1181" t="s">
        <v>1925</v>
      </c>
      <c r="BJ81" s="1181" t="s">
        <v>1926</v>
      </c>
      <c r="BL81" s="1181" t="s">
        <v>1927</v>
      </c>
    </row>
    <row customHeight="1" ht="11.25">
      <c r="A82" s="1187" t="s">
        <v>1928</v>
      </c>
      <c r="AZ82" s="1233" t="s">
        <v>1545</v>
      </c>
      <c r="BH82" s="1181" t="s">
        <v>1929</v>
      </c>
      <c r="BJ82" s="1181" t="s">
        <v>1930</v>
      </c>
      <c r="BL82" s="1181" t="s">
        <v>1931</v>
      </c>
    </row>
    <row customHeight="1" ht="11.25">
      <c r="A83" s="1187" t="s">
        <v>1932</v>
      </c>
      <c r="BH83" s="1181" t="s">
        <v>1933</v>
      </c>
      <c r="BJ83" s="1181" t="s">
        <v>1934</v>
      </c>
      <c r="BL83" s="1181" t="s">
        <v>1935</v>
      </c>
    </row>
    <row customHeight="1" ht="11.25">
      <c r="A84" s="1187" t="s">
        <v>1936</v>
      </c>
      <c r="AZ84" s="1180" t="s">
        <v>1937</v>
      </c>
    </row>
    <row customHeight="1" ht="11.25">
      <c r="A85" s="1983" t="s">
        <v>1938</v>
      </c>
      <c r="AZ85" s="1233" t="s">
        <v>1939</v>
      </c>
    </row>
    <row customHeight="1" ht="11.25">
      <c r="A86" s="1187" t="s">
        <v>1940</v>
      </c>
      <c r="AZ86" s="1233" t="s">
        <v>1941</v>
      </c>
      <c r="BH86" s="1180" t="s">
        <v>1942</v>
      </c>
      <c r="BJ86" s="1180" t="s">
        <v>1943</v>
      </c>
      <c r="BL86" s="1180" t="s">
        <v>1944</v>
      </c>
    </row>
    <row customHeight="1" ht="11.25">
      <c r="A87" s="1187" t="s">
        <v>1945</v>
      </c>
      <c r="AZ87" s="1233" t="s">
        <v>1946</v>
      </c>
      <c r="BH87" s="1181" t="s">
        <v>1947</v>
      </c>
      <c r="BJ87" s="1181" t="s">
        <v>1948</v>
      </c>
      <c r="BL87" s="1181" t="s">
        <v>1949</v>
      </c>
    </row>
    <row customHeight="1" ht="11.25">
      <c r="A88" s="1187" t="s">
        <v>1950</v>
      </c>
      <c r="AZ88" s="1719"/>
      <c r="BH88" s="1181" t="s">
        <v>1951</v>
      </c>
      <c r="BJ88" s="1181" t="s">
        <v>1952</v>
      </c>
      <c r="BL88" s="1181" t="s">
        <v>1953</v>
      </c>
    </row>
    <row customHeight="1" ht="11.25">
      <c r="A89" s="1187" t="s">
        <v>1954</v>
      </c>
      <c r="AZ89" s="1180" t="s">
        <v>1955</v>
      </c>
    </row>
    <row customHeight="1" ht="11.25">
      <c r="A90" s="1187" t="s">
        <v>1956</v>
      </c>
      <c r="AZ90" s="1233" t="s">
        <v>1172</v>
      </c>
    </row>
    <row customHeight="1" ht="11.25">
      <c r="A91" s="1187" t="s">
        <v>1957</v>
      </c>
      <c r="AZ91" s="1233" t="s">
        <v>1208</v>
      </c>
      <c r="BH91" s="1180" t="s">
        <v>1958</v>
      </c>
      <c r="BJ91" s="1180" t="s">
        <v>1959</v>
      </c>
      <c r="BL91" s="1180" t="s">
        <v>1960</v>
      </c>
    </row>
    <row customHeight="1" ht="11.25">
      <c r="AZ92" s="1233" t="s">
        <v>1961</v>
      </c>
      <c r="BH92" s="1181" t="s">
        <v>1962</v>
      </c>
      <c r="BJ92" s="1181" t="s">
        <v>1963</v>
      </c>
      <c r="BL92" s="1181" t="s">
        <v>1964</v>
      </c>
    </row>
    <row customHeight="1" ht="11.25">
      <c r="AZ93" s="1233" t="s">
        <v>1965</v>
      </c>
      <c r="BH93" s="1181" t="s">
        <v>1966</v>
      </c>
      <c r="BJ93" s="1181" t="s">
        <v>1967</v>
      </c>
      <c r="BL93" s="1181" t="s">
        <v>1968</v>
      </c>
    </row>
    <row customHeight="1" ht="11.25">
      <c r="AZ94" s="1233" t="s">
        <v>1969</v>
      </c>
    </row>
    <row r="96" customHeight="1" ht="11.25">
      <c r="AZ96" s="1180" t="s">
        <v>1970</v>
      </c>
      <c r="BH96" s="1180" t="s">
        <v>1971</v>
      </c>
      <c r="BJ96" s="1180" t="s">
        <v>1972</v>
      </c>
      <c r="BL96" s="1180" t="s">
        <v>1973</v>
      </c>
      <c r="BN96" s="1180" t="s">
        <v>1974</v>
      </c>
    </row>
    <row customHeight="1" ht="11.25">
      <c r="AZ97" s="2014" t="s">
        <v>1975</v>
      </c>
      <c r="BA97" s="2015" t="s">
        <v>1976</v>
      </c>
      <c r="BH97" s="1181" t="s">
        <v>1977</v>
      </c>
      <c r="BJ97" s="1181" t="s">
        <v>1978</v>
      </c>
      <c r="BL97" s="1181" t="s">
        <v>1979</v>
      </c>
      <c r="BN97" s="1181" t="s">
        <v>1980</v>
      </c>
    </row>
    <row customHeight="1" ht="11.25">
      <c r="AZ98" s="2014" t="s">
        <v>1981</v>
      </c>
      <c r="BA98" s="2015" t="s">
        <v>1982</v>
      </c>
      <c r="BH98" s="1181" t="s">
        <v>1983</v>
      </c>
      <c r="BJ98" s="1181" t="s">
        <v>1984</v>
      </c>
      <c r="BL98" s="1181" t="s">
        <v>1985</v>
      </c>
      <c r="BN98" s="1181" t="s">
        <v>1986</v>
      </c>
    </row>
    <row customHeight="1" ht="22.5">
      <c r="AZ99" s="2014" t="s">
        <v>1987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1988</v>
      </c>
      <c r="BJ99" s="1181" t="s">
        <v>1989</v>
      </c>
      <c r="BL99" s="1181" t="s">
        <v>1990</v>
      </c>
      <c r="BN99" s="1181" t="s">
        <v>1991</v>
      </c>
    </row>
    <row customHeight="1" ht="22.5">
      <c r="AZ100" s="2014" t="s">
        <v>1992</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1591</v>
      </c>
      <c r="BL100" s="1181" t="s">
        <v>1591</v>
      </c>
      <c r="BN100" s="1181" t="s">
        <v>1993</v>
      </c>
    </row>
    <row customHeight="1" ht="22.5">
      <c r="AZ101" s="2014" t="s">
        <v>1994</v>
      </c>
      <c r="BA101" s="2015" t="s">
        <v>1995</v>
      </c>
      <c r="BN101" s="1181" t="s">
        <v>1996</v>
      </c>
    </row>
    <row customHeight="1" ht="22.5">
      <c r="AZ102" s="2014" t="s">
        <v>1997</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1998</v>
      </c>
    </row>
    <row customHeight="1" ht="11.25">
      <c r="AZ103" s="2014" t="s">
        <v>1999</v>
      </c>
      <c r="BA103" s="2015" t="s">
        <v>2000</v>
      </c>
      <c r="BN103" s="1181" t="s">
        <v>2001</v>
      </c>
    </row>
    <row customHeight="1" ht="11.25">
      <c r="BN104" s="1181" t="s">
        <v>2002</v>
      </c>
    </row>
    <row customHeight="1" ht="11.25">
      <c r="AZ105" s="1805" t="s">
        <v>2003</v>
      </c>
    </row>
    <row customHeight="1" ht="11.25">
      <c r="AZ106" s="1233" t="s">
        <v>2004</v>
      </c>
    </row>
    <row customHeight="1" ht="11.25">
      <c r="AZ107" s="1233" t="s">
        <v>2005</v>
      </c>
      <c r="BH107" s="1180" t="s">
        <v>2006</v>
      </c>
      <c r="BJ107" s="1180" t="s">
        <v>2007</v>
      </c>
      <c r="BL107" s="1180" t="s">
        <v>2008</v>
      </c>
      <c r="BN107" s="1180" t="s">
        <v>2009</v>
      </c>
    </row>
    <row customHeight="1" ht="11.25">
      <c r="AZ108" s="1233" t="s">
        <v>725</v>
      </c>
      <c r="BH108" s="1181" t="s">
        <v>2010</v>
      </c>
      <c r="BJ108" s="1181" t="s">
        <v>2011</v>
      </c>
      <c r="BL108" s="1181" t="s">
        <v>1673</v>
      </c>
      <c r="BN108" s="1181" t="s">
        <v>2012</v>
      </c>
    </row>
    <row customHeight="1" ht="11.25">
      <c r="BH109" s="1181" t="s">
        <v>2013</v>
      </c>
    </row>
    <row customHeight="1" ht="11.25">
      <c r="AZ110" s="1805" t="s">
        <v>2014</v>
      </c>
      <c r="BH110" s="1181" t="s">
        <v>2013</v>
      </c>
    </row>
    <row customHeight="1" ht="11.25">
      <c r="AZ111" s="2014" t="s">
        <v>1975</v>
      </c>
      <c r="BA111" s="2015" t="s">
        <v>1976</v>
      </c>
    </row>
    <row customHeight="1" ht="11.25">
      <c r="AZ112" s="2014" t="s">
        <v>1981</v>
      </c>
      <c r="BA112" s="2015" t="s">
        <v>1982</v>
      </c>
    </row>
    <row customHeight="1" ht="22.5">
      <c r="AZ113" s="2014" t="s">
        <v>1987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1992</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2015</v>
      </c>
    </row>
    <row customHeight="1" ht="22.5">
      <c r="AZ115" s="2014" t="s">
        <v>1997</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601</v>
      </c>
    </row>
    <row customHeight="1" ht="11.25">
      <c r="AZ116" s="2014" t="s">
        <v>1999</v>
      </c>
      <c r="BA116" s="2015" t="s">
        <v>2000</v>
      </c>
      <c r="BH116" s="1181" t="s">
        <v>1416</v>
      </c>
    </row>
    <row customHeight="1" ht="11.25">
      <c r="BH117" s="1181" t="s">
        <v>1451</v>
      </c>
    </row>
    <row customHeight="1" ht="11.25">
      <c r="BH118" s="1181" t="s">
        <v>1484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3FE4A-2B36-F325-CF31-3314D18E6C75}" mc:Ignorable="x14ac xr xr2 xr3">
  <dimension ref="A1:J25"/>
  <sheetViews>
    <sheetView topLeftCell="A1" showGridLines="0" zoomScale="90" workbookViewId="0">
      <selection activeCell="A1" sqref="A1"/>
    </sheetView>
  </sheetViews>
  <sheetFormatPr defaultColWidth="9.140625" customHeight="1" defaultRowHeight="11.25"/>
  <cols>
    <col min="1" max="2" style="8713" width="15.00390625" hidden="1" customWidth="1"/>
    <col min="3" max="3" style="8757" width="3.00390625" customWidth="1"/>
    <col min="4" max="4" style="8758" width="6.00390625" customWidth="1"/>
    <col min="5" max="5" style="8757" width="52.00390625" customWidth="1"/>
    <col min="6" max="6" style="8757" width="48.00390625" customWidth="1"/>
    <col min="7" max="7" style="8757" width="93.00390625" customWidth="1"/>
    <col min="8" max="8" style="8757" width="8.00390625" customWidth="1"/>
    <col min="9" max="9" style="8757" width="64.00390625" customWidth="1"/>
    <col min="10" max="10" style="8757" width="9.140625" hidden="1"/>
  </cols>
  <sheetData>
    <row customHeight="1" ht="11.25" hidden="1">
      <c r="A1" s="614" t="s">
        <v>454</v>
      </c>
      <c r="J1" s="568" t="s">
        <v>14</v>
      </c>
    </row>
    <row customHeight="1" ht="22.5" hidden="1">
      <c r="A2" s="615"/>
      <c r="B2" s="615"/>
      <c r="C2" s="1843" t="s">
        <v>106</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867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455</v>
      </c>
      <c r="E9" s="2318"/>
      <c r="F9" s="2318"/>
      <c r="G9" s="2321" t="s">
        <v>456</v>
      </c>
      <c r="J9" s="568">
        <v>11</v>
      </c>
    </row>
    <row customHeight="1" ht="11.549999999999999">
      <c r="A10" s="615"/>
      <c r="B10" s="615"/>
      <c r="C10" s="570"/>
      <c r="D10" s="1587" t="s">
        <v>90</v>
      </c>
      <c r="E10" s="1589" t="s">
        <v>457</v>
      </c>
      <c r="F10" s="1589" t="s">
        <v>458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2016</v>
      </c>
      <c r="F13" s="1634" t="s">
        <v>461</v>
      </c>
      <c r="G13" s="587"/>
      <c r="H13" s="1646"/>
      <c r="J13" s="568">
        <v>19</v>
      </c>
    </row>
    <row customHeight="1" ht="19.95">
      <c r="A14" s="615"/>
      <c r="B14" s="615"/>
      <c r="C14" s="570"/>
      <c r="D14" s="1636" t="s">
        <v>862</v>
      </c>
      <c r="E14" s="1637" t="s">
        <v>2017</v>
      </c>
      <c r="F14" s="1639"/>
      <c r="G14" s="1638" t="s">
        <v>2018</v>
      </c>
      <c r="H14" s="1646"/>
      <c r="J14" s="568">
        <v>19</v>
      </c>
    </row>
    <row customHeight="1" ht="19.95">
      <c r="A15" s="615"/>
      <c r="B15" s="615"/>
      <c r="C15" s="570"/>
      <c r="D15" s="1636" t="s">
        <v>462</v>
      </c>
      <c r="E15" s="1637" t="s">
        <v>2019</v>
      </c>
      <c r="F15" s="1639"/>
      <c r="G15" s="1638" t="s">
        <v>2020</v>
      </c>
      <c r="H15" s="1646"/>
      <c r="J15" s="568">
        <v>19</v>
      </c>
    </row>
    <row customHeight="1" ht="24">
      <c r="A16" s="615"/>
      <c r="B16" s="615"/>
      <c r="C16" s="570"/>
      <c r="D16" s="1636" t="s">
        <v>465</v>
      </c>
      <c r="E16" s="1635" t="s">
        <v>2021</v>
      </c>
      <c r="F16" s="1644"/>
      <c r="G16" s="587" t="s">
        <v>2022</v>
      </c>
      <c r="H16" s="1646"/>
      <c r="J16" s="568">
        <v>23</v>
      </c>
    </row>
    <row customHeight="1" ht="48.29999999999999">
      <c r="A17" s="615"/>
      <c r="B17" s="615"/>
      <c r="C17" s="570"/>
      <c r="D17" s="1633">
        <v>3</v>
      </c>
      <c r="E17" s="1640" t="s">
        <v>2023</v>
      </c>
      <c r="F17" s="1639"/>
      <c r="G17" s="587" t="s">
        <v>2024</v>
      </c>
      <c r="H17" s="1646"/>
      <c r="J17" s="568">
        <v>46</v>
      </c>
    </row>
    <row customHeight="1" ht="48.29999999999999">
      <c r="A18" s="1588">
        <v>1</v>
      </c>
      <c r="B18" s="615"/>
      <c r="C18" s="1590"/>
      <c r="D18" s="1633" t="s">
        <v>93</v>
      </c>
      <c r="E18" s="1640" t="s">
        <v>2025</v>
      </c>
      <c r="F18" s="1639"/>
      <c r="G18" s="587" t="s">
        <v>2024</v>
      </c>
      <c r="H18" s="1646"/>
      <c r="I18" s="965"/>
      <c r="J18" s="568">
        <v>46</v>
      </c>
    </row>
    <row customHeight="1" ht="23.25">
      <c r="A19" s="615"/>
      <c r="B19" s="615"/>
      <c r="C19" s="570"/>
      <c r="D19" s="1633" t="s">
        <v>120</v>
      </c>
      <c r="E19" s="1640" t="s">
        <v>2026</v>
      </c>
      <c r="F19" s="1634" t="s">
        <v>461</v>
      </c>
      <c r="G19" s="2584" t="s">
        <v>2027</v>
      </c>
      <c r="H19" s="588"/>
      <c r="J19" s="568">
        <v>22</v>
      </c>
    </row>
    <row s="12822" customFormat="1" customHeight="1" ht="5.25" hidden="1">
      <c r="A20" s="615"/>
      <c r="B20" s="615"/>
      <c r="C20" s="1642"/>
      <c r="D20" s="1641" t="s">
        <v>1269</v>
      </c>
      <c r="E20" s="1127"/>
      <c r="F20" s="1126"/>
      <c r="G20" s="2585"/>
      <c r="J20" s="1643">
        <v>0</v>
      </c>
    </row>
    <row customHeight="1" ht="15.75">
      <c r="A21" s="615"/>
      <c r="B21" s="615"/>
      <c r="C21" s="570"/>
      <c r="D21" s="580"/>
      <c r="E21" s="528" t="s">
        <v>494</v>
      </c>
      <c r="F21" s="582"/>
      <c r="G21" s="2586"/>
      <c r="H21" s="1646"/>
      <c r="J21" s="568">
        <v>15</v>
      </c>
    </row>
    <row s="8713" customFormat="1" customHeight="1" ht="26.25">
      <c r="A22" s="615"/>
      <c r="B22" s="615"/>
      <c r="C22" s="615"/>
      <c r="D22" s="1633" t="s">
        <v>94</v>
      </c>
      <c r="E22" s="587" t="s">
        <v>2028</v>
      </c>
      <c r="F22" s="1639"/>
      <c r="G22" s="587" t="s">
        <v>2029</v>
      </c>
      <c r="H22" s="1645"/>
      <c r="J22" s="614">
        <v>25</v>
      </c>
    </row>
    <row s="8713" customFormat="1" customHeight="1" ht="19.95">
      <c r="A23" s="615"/>
      <c r="B23" s="615"/>
      <c r="C23" s="615"/>
      <c r="D23" s="1633" t="s">
        <v>95</v>
      </c>
      <c r="E23" s="1640" t="s">
        <v>2030</v>
      </c>
      <c r="F23" s="1644"/>
      <c r="G23" s="587" t="s">
        <v>2031</v>
      </c>
      <c r="H23" s="1645"/>
      <c r="J23" s="614">
        <v>19</v>
      </c>
    </row>
    <row s="8713" customFormat="1" customHeight="1" ht="144" hidden="1">
      <c r="A24" s="615"/>
      <c r="B24" s="615"/>
      <c r="C24" s="615"/>
      <c r="D24" s="1633" t="s">
        <v>134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F2747-99FA-19C2-01E5-A620EF7FD082}" mc:Ignorable="x14ac xr xr2 xr3">
  <dimension ref="A1:IU24"/>
  <sheetViews>
    <sheetView topLeftCell="A1" showGridLines="0" zoomScale="90" workbookViewId="0">
      <selection activeCell="A1" sqref="A1"/>
    </sheetView>
  </sheetViews>
  <sheetFormatPr defaultColWidth="9.140625" customHeight="1" defaultRowHeight="14.25"/>
  <cols>
    <col min="1" max="1" style="8113" width="9.140625" hidden="1"/>
    <col min="2" max="2" style="8191" width="9.140625" hidden="1"/>
    <col min="3" max="3" style="8113" width="3.7109375" hidden="1" customWidth="1"/>
    <col min="4" max="4" style="8290" width="3.00390625" customWidth="1"/>
    <col min="5" max="5" style="8113" width="6.00390625" customWidth="1"/>
    <col min="6" max="6" style="8113" width="46.00390625" customWidth="1"/>
    <col min="7" max="8" style="8113" width="16.00390625" customWidth="1"/>
    <col min="9" max="9" style="8113" width="35.00390625" customWidth="1"/>
    <col min="10" max="10" style="8113" width="89.00390625" customWidth="1"/>
    <col min="11" max="11" style="8291" width="3.00390625" customWidth="1"/>
    <col min="12" max="14" style="8291" width="8.00390625" customWidth="1"/>
    <col min="15" max="15" style="8291" width="25.00390625" customWidth="1"/>
    <col min="16" max="16" style="8291" width="14.00390625" customWidth="1"/>
    <col min="17" max="20" style="8292" width="8.00390625" customWidth="1"/>
    <col min="21" max="254" style="8113" width="8.00390625" customWidth="1"/>
    <col min="255" max="255" style="8113" width="9.140625" hidden="1"/>
  </cols>
  <sheetData>
    <row customHeight="1" ht="22.5" hidden="1">
      <c r="F1" s="1744" t="s">
        <v>2032</v>
      </c>
      <c r="G1" s="1744" t="s">
        <v>50</v>
      </c>
      <c r="H1" s="1744" t="s">
        <v>52</v>
      </c>
      <c r="IU1" s="1268" t="s">
        <v>14</v>
      </c>
    </row>
    <row s="8252" customFormat="1" customHeight="1" ht="22.5" hidden="1">
      <c r="A2" s="944"/>
      <c r="B2" s="1273">
        <v>1</v>
      </c>
      <c r="C2" s="1273"/>
      <c r="D2" s="2041" t="s">
        <v>106</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8192"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820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820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820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8207" customFormat="1" customHeight="1" ht="14.699999999999998">
      <c r="A7" s="1268"/>
      <c r="B7" s="1273"/>
      <c r="C7" s="1268"/>
      <c r="D7" s="1608"/>
      <c r="E7" s="2214" t="s">
        <v>455</v>
      </c>
      <c r="F7" s="2215"/>
      <c r="G7" s="2215"/>
      <c r="H7" s="2215"/>
      <c r="I7" s="2215"/>
      <c r="J7" s="2587" t="s">
        <v>456</v>
      </c>
      <c r="K7" s="613"/>
      <c r="L7" s="613"/>
      <c r="M7" s="613"/>
      <c r="N7" s="613"/>
      <c r="O7" s="339"/>
      <c r="P7" s="613"/>
      <c r="Q7" s="338"/>
      <c r="R7" s="338"/>
      <c r="S7" s="338"/>
      <c r="T7" s="338"/>
      <c r="IU7" s="620">
        <v>14</v>
      </c>
    </row>
    <row s="8207" customFormat="1" customHeight="1" ht="21">
      <c r="A8" s="1268"/>
      <c r="B8" s="1273"/>
      <c r="C8" s="1268"/>
      <c r="D8" s="1608"/>
      <c r="E8" s="1661" t="s">
        <v>90</v>
      </c>
      <c r="F8" s="1653" t="s">
        <v>2032</v>
      </c>
      <c r="G8" s="1653" t="s">
        <v>50</v>
      </c>
      <c r="H8" s="1653" t="s">
        <v>52</v>
      </c>
      <c r="I8" s="1653" t="s">
        <v>2033</v>
      </c>
      <c r="J8" s="2588"/>
      <c r="K8" s="613"/>
      <c r="L8" s="613"/>
      <c r="M8" s="613"/>
      <c r="N8" s="613"/>
      <c r="O8" s="339"/>
      <c r="P8" s="613"/>
      <c r="Q8" s="338"/>
      <c r="R8" s="338"/>
      <c r="S8" s="338"/>
      <c r="T8" s="338"/>
      <c r="IU8" s="620">
        <v>20</v>
      </c>
    </row>
    <row s="825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8252" customFormat="1" customHeight="1" ht="15.75">
      <c r="A10" s="1744"/>
      <c r="B10" s="1273"/>
      <c r="C10" s="525"/>
      <c r="D10" s="914"/>
      <c r="E10" s="1654"/>
      <c r="F10" s="1613" t="s">
        <v>2034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820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820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820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8285" customFormat="1" customHeight="1" ht="10.5">
      <c r="B14" s="947"/>
      <c r="D14" s="295"/>
      <c r="K14" s="613"/>
      <c r="L14" s="613"/>
      <c r="M14" s="613"/>
      <c r="N14" s="613"/>
      <c r="O14" s="339"/>
      <c r="P14" s="613"/>
      <c r="Q14" s="338"/>
      <c r="R14" s="338"/>
      <c r="S14" s="338"/>
      <c r="T14" s="338"/>
      <c r="IU14" s="294">
        <v>10</v>
      </c>
    </row>
    <row s="828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48BDF-5E09-B531-165F-C49834D3CD1A}" mc:Ignorable="x14ac xr xr2 xr3">
  <dimension ref="A1:IW15"/>
  <sheetViews>
    <sheetView topLeftCell="A1" showGridLines="0" zoomScale="90" workbookViewId="0">
      <selection activeCell="A1" sqref="A1"/>
    </sheetView>
  </sheetViews>
  <sheetFormatPr defaultColWidth="9.140625" customHeight="1" defaultRowHeight="14.25"/>
  <cols>
    <col min="1" max="1" style="8113" width="9.140625" hidden="1"/>
    <col min="2" max="2" style="8191" width="9.140625" hidden="1"/>
    <col min="3" max="3" style="8113" width="3.7109375" hidden="1" customWidth="1"/>
    <col min="4" max="4" style="8290" width="3.00390625" customWidth="1"/>
    <col min="5" max="5" style="8113" width="6.00390625" customWidth="1"/>
    <col min="6" max="6" style="8113" width="27.00390625" customWidth="1"/>
    <col min="7" max="7" style="8113" width="16.00390625" customWidth="1"/>
    <col min="8" max="8" style="8113" width="12.00390625" customWidth="1"/>
    <col min="9" max="9" style="8113" width="32.00390625" customWidth="1"/>
    <col min="10" max="11" style="8113" width="41.00390625" customWidth="1"/>
    <col min="12" max="12" style="8113" width="89.00390625" customWidth="1"/>
    <col min="13" max="13" style="8291" width="3.00390625" customWidth="1"/>
    <col min="14" max="16" style="8291" width="8.00390625" customWidth="1"/>
    <col min="17" max="17" style="8291" width="25.00390625" customWidth="1"/>
    <col min="18" max="18" style="8291" width="14.00390625" customWidth="1"/>
    <col min="19" max="22" style="8292" width="8.00390625" customWidth="1"/>
    <col min="23" max="256" style="8113" width="8.00390625" customWidth="1"/>
    <col min="257" max="257" style="8113" width="9.140625" hidden="1"/>
  </cols>
  <sheetData>
    <row customHeight="1" ht="22.5" hidden="1">
      <c r="IW1" s="1268" t="s">
        <v>14</v>
      </c>
    </row>
    <row s="8252" customFormat="1" customHeight="1" ht="22.5" hidden="1">
      <c r="A2" s="944"/>
      <c r="B2" s="1273">
        <v>1</v>
      </c>
      <c r="C2" s="1273"/>
      <c r="D2" s="2041" t="s">
        <v>106</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8192"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820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820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820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8207" customFormat="1" customHeight="1" ht="14.699999999999998">
      <c r="A7" s="1268"/>
      <c r="B7" s="1273"/>
      <c r="C7" s="1268"/>
      <c r="D7" s="1608"/>
      <c r="E7" s="2214" t="s">
        <v>455</v>
      </c>
      <c r="F7" s="2215"/>
      <c r="G7" s="2215"/>
      <c r="H7" s="2215"/>
      <c r="I7" s="2215"/>
      <c r="J7" s="2215"/>
      <c r="K7" s="2215"/>
      <c r="L7" s="2587" t="s">
        <v>456</v>
      </c>
      <c r="M7" s="613"/>
      <c r="N7" s="613"/>
      <c r="O7" s="613"/>
      <c r="P7" s="613"/>
      <c r="Q7" s="339"/>
      <c r="R7" s="613"/>
      <c r="S7" s="338"/>
      <c r="T7" s="338"/>
      <c r="U7" s="338"/>
      <c r="V7" s="338"/>
      <c r="IW7" s="620">
        <v>14</v>
      </c>
    </row>
    <row s="8207"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8207" customFormat="1" customHeight="1" ht="29.25">
      <c r="A9" s="1268"/>
      <c r="B9" s="1273"/>
      <c r="C9" s="1268"/>
      <c r="D9" s="1608"/>
      <c r="E9" s="2592"/>
      <c r="F9" s="2592"/>
      <c r="G9" s="1650" t="s">
        <v>2035</v>
      </c>
      <c r="H9" s="1650" t="s">
        <v>2036</v>
      </c>
      <c r="I9" s="1650" t="s">
        <v>2037</v>
      </c>
      <c r="J9" s="2592"/>
      <c r="K9" s="2592"/>
      <c r="L9" s="2588"/>
      <c r="M9" s="613"/>
      <c r="N9" s="613"/>
      <c r="O9" s="613"/>
      <c r="P9" s="613"/>
      <c r="Q9" s="339"/>
      <c r="R9" s="613"/>
      <c r="S9" s="338"/>
      <c r="T9" s="338"/>
      <c r="U9" s="338"/>
      <c r="V9" s="338"/>
      <c r="IW9" s="620">
        <v>28</v>
      </c>
    </row>
    <row s="8252"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8252" customFormat="1" customHeight="1" ht="15.75">
      <c r="A11" s="2212"/>
      <c r="B11" s="1273"/>
      <c r="C11" s="525"/>
      <c r="D11" s="914"/>
      <c r="E11" s="534"/>
      <c r="F11" s="529" t="s">
        <v>2038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820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820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820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6DBDD-A567-1A68-A84B-EC5010F6202B}" mc:Ignorable="x14ac xr xr2 xr3">
  <dimension ref="A1:IW15"/>
  <sheetViews>
    <sheetView topLeftCell="A1" showGridLines="0" zoomScale="90" workbookViewId="0">
      <selection activeCell="A1" sqref="A1"/>
    </sheetView>
  </sheetViews>
  <sheetFormatPr defaultColWidth="9.140625" customHeight="1" defaultRowHeight="14.25"/>
  <cols>
    <col min="1" max="1" style="8113" width="9.140625" hidden="1"/>
    <col min="2" max="2" style="8191" width="9.140625" hidden="1"/>
    <col min="3" max="3" style="8113" width="3.7109375" hidden="1" customWidth="1"/>
    <col min="4" max="4" style="8290" width="3.00390625" customWidth="1"/>
    <col min="5" max="5" style="8113" width="6.00390625" customWidth="1"/>
    <col min="6" max="6" style="8113" width="27.00390625" customWidth="1"/>
    <col min="7" max="7" style="8113" width="16.00390625" customWidth="1"/>
    <col min="8" max="8" style="8113" width="12.00390625" customWidth="1"/>
    <col min="9" max="9" style="8113" width="32.00390625" customWidth="1"/>
    <col min="10" max="11" style="8113" width="41.00390625" customWidth="1"/>
    <col min="12" max="12" style="8113" width="89.00390625" customWidth="1"/>
    <col min="13" max="13" style="8291" width="3.00390625" customWidth="1"/>
    <col min="14" max="16" style="8291" width="8.00390625" customWidth="1"/>
    <col min="17" max="17" style="8291" width="25.00390625" customWidth="1"/>
    <col min="18" max="18" style="8291" width="14.00390625" customWidth="1"/>
    <col min="19" max="22" style="8292" width="8.00390625" customWidth="1"/>
    <col min="23" max="256" style="8113" width="8.00390625" customWidth="1"/>
    <col min="257" max="257" style="8113" width="9.140625" hidden="1"/>
  </cols>
  <sheetData>
    <row customHeight="1" ht="22.5" hidden="1">
      <c r="IW1" s="1744" t="s">
        <v>14</v>
      </c>
    </row>
    <row s="8252" customFormat="1" customHeight="1" ht="22.5" hidden="1">
      <c r="A2" s="944"/>
      <c r="B2" s="1479">
        <v>1</v>
      </c>
      <c r="C2" s="1479"/>
      <c r="D2" s="2041" t="s">
        <v>106</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8192"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820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820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820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8207" customFormat="1" customHeight="1" ht="14.699999999999998">
      <c r="A7" s="1744"/>
      <c r="B7" s="1479"/>
      <c r="C7" s="1744"/>
      <c r="D7" s="1628"/>
      <c r="E7" s="2214" t="s">
        <v>455</v>
      </c>
      <c r="F7" s="2215"/>
      <c r="G7" s="2215"/>
      <c r="H7" s="2215"/>
      <c r="I7" s="2215"/>
      <c r="J7" s="2215"/>
      <c r="K7" s="2215"/>
      <c r="L7" s="2587" t="s">
        <v>456</v>
      </c>
      <c r="M7" s="1737"/>
      <c r="N7" s="1737"/>
      <c r="O7" s="1737"/>
      <c r="P7" s="1737"/>
      <c r="Q7" s="1737"/>
      <c r="R7" s="1737"/>
      <c r="S7" s="338"/>
      <c r="T7" s="338"/>
      <c r="U7" s="338"/>
      <c r="V7" s="338"/>
      <c r="IW7" s="1722">
        <v>14</v>
      </c>
    </row>
    <row s="8207" customFormat="1" customHeight="1" ht="67.2">
      <c r="A8" s="1744"/>
      <c r="B8" s="1479"/>
      <c r="C8" s="1744"/>
      <c r="D8" s="1628"/>
      <c r="E8" s="2591" t="s">
        <v>90</v>
      </c>
      <c r="F8" s="2591" t="s">
        <v>2039</v>
      </c>
      <c r="G8" s="2593" t="s">
        <v>2040</v>
      </c>
      <c r="H8" s="2594"/>
      <c r="I8" s="2595"/>
      <c r="J8" s="2591" t="s">
        <v>2041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8207" customFormat="1" customHeight="1" ht="29.25">
      <c r="A9" s="1744"/>
      <c r="B9" s="1479"/>
      <c r="C9" s="1744"/>
      <c r="D9" s="1628"/>
      <c r="E9" s="2592"/>
      <c r="F9" s="2592"/>
      <c r="G9" s="2007" t="s">
        <v>2035</v>
      </c>
      <c r="H9" s="2007" t="s">
        <v>2036</v>
      </c>
      <c r="I9" s="2007" t="s">
        <v>2037</v>
      </c>
      <c r="J9" s="2592"/>
      <c r="K9" s="2592"/>
      <c r="L9" s="2588"/>
      <c r="M9" s="1737"/>
      <c r="N9" s="1737"/>
      <c r="O9" s="1737"/>
      <c r="P9" s="1737"/>
      <c r="Q9" s="1737"/>
      <c r="R9" s="1737"/>
      <c r="S9" s="338"/>
      <c r="T9" s="338"/>
      <c r="U9" s="338"/>
      <c r="V9" s="338"/>
      <c r="IW9" s="1722">
        <v>28</v>
      </c>
    </row>
    <row s="8252"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8252" customFormat="1" customHeight="1" ht="15.75">
      <c r="A11" s="2212"/>
      <c r="B11" s="1479"/>
      <c r="C11" s="525"/>
      <c r="D11" s="914"/>
      <c r="E11" s="534"/>
      <c r="F11" s="764" t="s">
        <v>2038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820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820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820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1C8F-3EFC-D074-266C-07C0323C813E}" mc:Ignorable="x14ac xr xr2 xr3">
  <dimension ref="A1:Q19"/>
  <sheetViews>
    <sheetView topLeftCell="A1" showGridLines="0" zoomScale="90" workbookViewId="0">
      <selection activeCell="A1" sqref="A1"/>
    </sheetView>
  </sheetViews>
  <sheetFormatPr defaultColWidth="9.140625" customHeight="1" defaultRowHeight="14.25"/>
  <cols>
    <col min="1" max="1" style="8113" width="9.140625" hidden="1"/>
    <col min="2" max="2" style="8191" width="9.140625" hidden="1"/>
    <col min="3" max="3" style="8113" width="3.7109375" hidden="1" customWidth="1"/>
    <col min="4" max="4" style="8290" width="3.00390625" customWidth="1"/>
    <col min="5" max="5" style="8113" width="6.00390625" customWidth="1"/>
    <col min="6" max="6" style="8113" width="27.00390625" customWidth="1"/>
    <col min="7" max="7" style="8113" width="29.00390625" customWidth="1"/>
    <col min="8" max="8" style="8113" width="25.00390625" customWidth="1"/>
    <col min="9" max="9" style="8113" width="5.00390625" customWidth="1"/>
    <col min="10" max="10" style="8113" width="6.00390625" customWidth="1"/>
    <col min="11" max="11" style="8113" width="41.00390625" customWidth="1"/>
    <col min="12" max="12" style="8113" width="42.00390625" customWidth="1"/>
    <col min="13" max="13" style="8113" width="41.00390625" customWidth="1"/>
    <col min="14" max="14" style="8113" width="89.00390625" customWidth="1"/>
    <col min="15" max="15" style="8291" width="3.00390625" customWidth="1"/>
    <col min="16" max="16" style="8291" width="8.00390625" customWidth="1"/>
    <col min="17" max="17" style="8113" width="9.140625" hidden="1"/>
  </cols>
  <sheetData>
    <row customHeight="1" ht="22.5" hidden="1">
      <c r="Q1" s="1268" t="s">
        <v>14</v>
      </c>
    </row>
    <row s="8252" customFormat="1" customHeight="1" ht="22.5" hidden="1">
      <c r="A2" s="609"/>
      <c r="B2" s="1273">
        <v>1</v>
      </c>
      <c r="C2" s="1273"/>
      <c r="D2" s="2041" t="s">
        <v>106</v>
      </c>
      <c r="E2" s="2240">
        <v>1</v>
      </c>
      <c r="F2" s="2416" t="str">
        <f>IF(region_name="","",region_name)</f>
        <v>Мурманская область</v>
      </c>
      <c r="G2" s="2596"/>
      <c r="H2" s="2597"/>
      <c r="I2" s="587"/>
      <c r="J2" s="2023">
        <v>1</v>
      </c>
      <c r="K2" s="2025"/>
      <c r="L2" s="2025"/>
      <c r="M2" s="2025"/>
      <c r="N2" s="605"/>
      <c r="O2" s="1648"/>
      <c r="P2" s="624"/>
      <c r="Q2" s="536">
        <v>0</v>
      </c>
    </row>
    <row s="8252" customFormat="1" customHeight="1" ht="22.5" hidden="1">
      <c r="A3" s="944"/>
      <c r="B3" s="1273"/>
      <c r="C3" s="1273"/>
      <c r="D3" s="914"/>
      <c r="E3" s="2240"/>
      <c r="F3" s="2416"/>
      <c r="G3" s="2596"/>
      <c r="H3" s="2598"/>
      <c r="I3" s="534"/>
      <c r="J3" s="1613"/>
      <c r="K3" s="1613" t="s">
        <v>2042</v>
      </c>
      <c r="L3" s="1656"/>
      <c r="M3" s="2033"/>
      <c r="N3" s="2026"/>
      <c r="O3" s="1648"/>
      <c r="P3" s="624"/>
      <c r="Q3" s="536">
        <v>0</v>
      </c>
    </row>
    <row s="8192" customFormat="1" customHeight="1" ht="5.25" hidden="1">
      <c r="A4" s="609"/>
      <c r="D4" s="607"/>
      <c r="F4" s="360" t="s">
        <v>85</v>
      </c>
      <c r="G4" s="607" t="s">
        <v>86</v>
      </c>
      <c r="H4" s="607"/>
      <c r="I4" s="2036"/>
      <c r="J4" s="1657"/>
      <c r="K4" s="2024"/>
      <c r="L4" s="2024"/>
      <c r="M4" s="2024"/>
      <c r="N4" s="2020"/>
      <c r="O4" s="360" t="s">
        <v>85</v>
      </c>
      <c r="P4" s="360"/>
      <c r="Q4" s="624">
        <v>0</v>
      </c>
    </row>
    <row s="8252" customFormat="1" customHeight="1" ht="22.5" hidden="1">
      <c r="A5" s="1754"/>
      <c r="B5" s="1479">
        <v>1</v>
      </c>
      <c r="C5" s="1479"/>
      <c r="D5" s="914"/>
      <c r="E5" s="2026"/>
      <c r="F5" s="2026"/>
      <c r="G5" s="2026"/>
      <c r="H5" s="2037"/>
      <c r="I5" s="2042" t="s">
        <v>106</v>
      </c>
      <c r="J5" s="2035">
        <v>1</v>
      </c>
      <c r="K5" s="2025"/>
      <c r="L5" s="2025"/>
      <c r="M5" s="2025"/>
      <c r="N5" s="605"/>
      <c r="O5" s="1648"/>
      <c r="P5" s="1749"/>
      <c r="Q5" s="737">
        <v>0</v>
      </c>
    </row>
    <row s="8207" customFormat="1" customHeight="1" ht="14.699999999999998">
      <c r="A6" s="1268"/>
      <c r="B6" s="1273"/>
      <c r="C6" s="1268"/>
      <c r="D6" s="1608"/>
      <c r="E6" s="622"/>
      <c r="F6" s="622"/>
      <c r="G6" s="622"/>
      <c r="H6" s="622"/>
      <c r="I6" s="622"/>
      <c r="J6" s="622"/>
      <c r="K6" s="622"/>
      <c r="L6" s="622"/>
      <c r="M6" s="622"/>
      <c r="N6" s="1748"/>
      <c r="O6" s="360"/>
      <c r="P6" s="613"/>
      <c r="Q6" s="620">
        <v>14</v>
      </c>
    </row>
    <row s="820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8207" customFormat="1" customHeight="1" ht="14.699999999999998">
      <c r="A8" s="1268"/>
      <c r="B8" s="1273"/>
      <c r="C8" s="1268"/>
      <c r="D8" s="1608"/>
      <c r="E8" s="622"/>
      <c r="F8" s="280"/>
      <c r="G8" s="280"/>
      <c r="H8" s="280"/>
      <c r="I8" s="280"/>
      <c r="J8" s="280"/>
      <c r="K8" s="280"/>
      <c r="L8" s="280"/>
      <c r="M8" s="280"/>
      <c r="N8" s="729"/>
      <c r="O8" s="613"/>
      <c r="P8" s="613"/>
      <c r="Q8" s="620">
        <v>14</v>
      </c>
    </row>
    <row s="12889" customFormat="1" customHeight="1" ht="14.25" hidden="1">
      <c r="A9" s="1581"/>
      <c r="B9" s="1591"/>
      <c r="C9" s="1581"/>
      <c r="D9" s="1608"/>
      <c r="E9" s="2027"/>
      <c r="F9" s="2027"/>
      <c r="G9" s="2027"/>
      <c r="H9" s="2027"/>
      <c r="I9" s="2606"/>
      <c r="J9" s="2606"/>
      <c r="K9" s="2606"/>
      <c r="L9" s="2027"/>
      <c r="M9" s="2028"/>
      <c r="O9" s="1658"/>
      <c r="P9" s="1658"/>
      <c r="Q9" s="1659">
        <v>0</v>
      </c>
    </row>
    <row s="8207" customFormat="1" customHeight="1" ht="14.699999999999998">
      <c r="A10" s="1268"/>
      <c r="B10" s="1273"/>
      <c r="C10" s="1268"/>
      <c r="D10" s="1608"/>
      <c r="E10" s="2240" t="s">
        <v>455</v>
      </c>
      <c r="F10" s="2240"/>
      <c r="G10" s="2240"/>
      <c r="H10" s="2240"/>
      <c r="I10" s="2240"/>
      <c r="J10" s="2240"/>
      <c r="K10" s="2240"/>
      <c r="L10" s="2240"/>
      <c r="M10" s="2214"/>
      <c r="N10" s="2591" t="s">
        <v>456</v>
      </c>
      <c r="O10" s="613"/>
      <c r="P10" s="613"/>
      <c r="Q10" s="620">
        <v>14</v>
      </c>
    </row>
    <row s="8207" customFormat="1" customHeight="1" ht="44.25">
      <c r="A11" s="1744"/>
      <c r="B11" s="1479"/>
      <c r="C11" s="1744"/>
      <c r="D11" s="1628"/>
      <c r="E11" s="2605" t="s">
        <v>90</v>
      </c>
      <c r="F11" s="2605" t="s">
        <v>459</v>
      </c>
      <c r="G11" s="2605" t="s">
        <v>2043</v>
      </c>
      <c r="H11" s="2605"/>
      <c r="I11" s="2605" t="s">
        <v>2044</v>
      </c>
      <c r="J11" s="2605"/>
      <c r="K11" s="2605"/>
      <c r="L11" s="2605" t="s">
        <v>2045</v>
      </c>
      <c r="M11" s="2593" t="s">
        <v>2046</v>
      </c>
      <c r="N11" s="2604"/>
      <c r="O11" s="1737"/>
      <c r="P11" s="1737"/>
      <c r="Q11" s="1722">
        <v>42</v>
      </c>
    </row>
    <row s="8207" customFormat="1" customHeight="1" ht="29.25">
      <c r="A12" s="1268"/>
      <c r="B12" s="1273"/>
      <c r="C12" s="1268"/>
      <c r="D12" s="1608"/>
      <c r="E12" s="2591"/>
      <c r="F12" s="2605"/>
      <c r="G12" s="2022" t="s">
        <v>2047</v>
      </c>
      <c r="H12" s="2022" t="s">
        <v>463</v>
      </c>
      <c r="I12" s="2605"/>
      <c r="J12" s="2605"/>
      <c r="K12" s="2605"/>
      <c r="L12" s="2605"/>
      <c r="M12" s="2593"/>
      <c r="N12" s="2592"/>
      <c r="O12" s="613"/>
      <c r="P12" s="613"/>
      <c r="Q12" s="620">
        <v>28</v>
      </c>
    </row>
    <row s="8252"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2048</v>
      </c>
      <c r="O13" s="1648"/>
      <c r="P13" s="624"/>
      <c r="Q13" s="536">
        <v>22</v>
      </c>
    </row>
    <row s="8252" customFormat="1" customHeight="1" ht="23.25">
      <c r="A14" s="2212"/>
      <c r="B14" s="1273"/>
      <c r="C14" s="1273"/>
      <c r="D14" s="914"/>
      <c r="E14" s="2240"/>
      <c r="F14" s="2599"/>
      <c r="G14" s="2600"/>
      <c r="H14" s="2608"/>
      <c r="I14" s="534"/>
      <c r="J14" s="1613"/>
      <c r="K14" s="1613" t="s">
        <v>2042</v>
      </c>
      <c r="L14" s="1656"/>
      <c r="M14" s="1656"/>
      <c r="N14" s="2602"/>
      <c r="O14" s="1648"/>
      <c r="P14" s="624"/>
      <c r="Q14" s="536">
        <v>22</v>
      </c>
    </row>
    <row s="8252" customFormat="1" customHeight="1" ht="23.25">
      <c r="A15" s="2212"/>
      <c r="B15" s="1273"/>
      <c r="C15" s="525"/>
      <c r="D15" s="914"/>
      <c r="E15" s="534"/>
      <c r="F15" s="1613" t="s">
        <v>2034</v>
      </c>
      <c r="G15" s="1655"/>
      <c r="H15" s="1655"/>
      <c r="I15" s="300"/>
      <c r="J15" s="300"/>
      <c r="K15" s="300"/>
      <c r="L15" s="300"/>
      <c r="M15" s="300"/>
      <c r="N15" s="2602"/>
      <c r="O15" s="1649"/>
      <c r="P15" s="624"/>
      <c r="Q15" s="536">
        <v>22</v>
      </c>
    </row>
    <row s="8207" customFormat="1" customHeight="1" ht="22.049999999999997">
      <c r="A16" s="1268"/>
      <c r="B16" s="1273"/>
      <c r="C16" s="1268"/>
      <c r="D16" s="564"/>
      <c r="E16" s="293"/>
      <c r="F16" s="293"/>
      <c r="G16" s="293"/>
      <c r="H16" s="293"/>
      <c r="I16" s="293"/>
      <c r="J16" s="293"/>
      <c r="K16" s="293"/>
      <c r="L16" s="293"/>
      <c r="M16" s="622"/>
      <c r="N16" s="1748"/>
      <c r="O16" s="613"/>
      <c r="P16" s="613"/>
      <c r="Q16" s="620">
        <v>21</v>
      </c>
    </row>
    <row s="820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820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F9EA-4A9A-70B7-003C-3F1E7B9AC7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69" width="9.140625" hidden="1"/>
    <col min="2" max="2" style="12647" width="9.140625" hidden="1"/>
    <col min="3" max="3" style="12929" width="3.00390625" customWidth="1"/>
    <col min="4" max="4" style="12647" width="6.00390625" customWidth="1"/>
    <col min="5" max="5" style="12647" width="22.00390625" customWidth="1"/>
    <col min="6" max="6" style="12647" width="15.00390625" customWidth="1"/>
    <col min="7" max="7" style="12647" width="14.00390625" customWidth="1"/>
    <col min="8" max="8" style="12647" width="47.00390625" customWidth="1"/>
    <col min="9" max="9" style="12647" width="115.00390625" customWidth="1"/>
    <col min="10" max="10" style="12647" width="3.00390625" customWidth="1"/>
    <col min="11" max="12" style="12647" width="8.00390625" customWidth="1"/>
    <col min="13" max="13" style="12647" width="9.140625" hidden="1"/>
  </cols>
  <sheetData>
    <row customHeight="1" ht="14.25" hidden="1">
      <c r="M1" s="234" t="s">
        <v>14</v>
      </c>
    </row>
    <row customHeight="1" ht="14.25" hidden="1">
      <c r="M2" s="234">
        <v>0</v>
      </c>
    </row>
    <row customHeight="1" ht="14.25" hidden="1">
      <c r="M3" s="234">
        <v>0</v>
      </c>
    </row>
    <row customHeight="1" ht="3">
      <c r="M4" s="234">
        <v>3</v>
      </c>
    </row>
    <row s="8113" customFormat="1" customHeight="1" ht="31.5">
      <c r="A5" s="228"/>
      <c r="C5" s="203"/>
      <c r="D5" s="2213" t="s">
        <v>2049</v>
      </c>
      <c r="E5" s="2213"/>
      <c r="F5" s="2213"/>
      <c r="G5" s="2213"/>
      <c r="H5" s="2213"/>
      <c r="I5" s="378"/>
      <c r="M5" s="196">
        <v>30</v>
      </c>
    </row>
    <row customHeight="1" ht="3" hidden="1">
      <c r="D6" s="235"/>
      <c r="E6" s="235"/>
      <c r="F6" s="235"/>
      <c r="G6" s="235"/>
      <c r="H6" s="235"/>
      <c r="I6" s="235"/>
      <c r="M6" s="234">
        <v>0</v>
      </c>
    </row>
    <row s="8669" customFormat="1" customHeight="1" ht="14.699999999999998">
      <c r="B7" s="232"/>
      <c r="C7" s="233"/>
      <c r="D7" s="236"/>
      <c r="E7" s="236"/>
      <c r="F7" s="236"/>
      <c r="G7" s="236"/>
      <c r="H7" s="865"/>
      <c r="I7" s="236"/>
      <c r="J7" s="237"/>
      <c r="M7" s="231">
        <v>14</v>
      </c>
    </row>
    <row customHeight="1" ht="14.699999999999998">
      <c r="D8" s="2322" t="s">
        <v>455</v>
      </c>
      <c r="E8" s="2322"/>
      <c r="F8" s="2322"/>
      <c r="G8" s="2322"/>
      <c r="H8" s="2322"/>
      <c r="I8" s="2322" t="s">
        <v>456</v>
      </c>
      <c r="M8" s="234">
        <v>14</v>
      </c>
    </row>
    <row customHeight="1" ht="29.25">
      <c r="D9" s="2322" t="s">
        <v>90</v>
      </c>
      <c r="E9" s="2322" t="s">
        <v>2050</v>
      </c>
      <c r="F9" s="2322"/>
      <c r="G9" s="2322"/>
      <c r="H9" s="2322"/>
      <c r="I9" s="2322"/>
      <c r="M9" s="234">
        <v>28</v>
      </c>
    </row>
    <row customHeight="1" ht="24">
      <c r="D10" s="2322"/>
      <c r="E10" s="240" t="s">
        <v>2051</v>
      </c>
      <c r="F10" s="240" t="s">
        <v>2052</v>
      </c>
      <c r="G10" s="240" t="s">
        <v>2053</v>
      </c>
      <c r="H10" s="240" t="s">
        <v>545</v>
      </c>
      <c r="I10" s="2322"/>
      <c r="M10" s="234">
        <v>23</v>
      </c>
    </row>
    <row customHeight="1" ht="12" hidden="1">
      <c r="D11" s="200" t="s">
        <v>155</v>
      </c>
      <c r="E11" s="200" t="s">
        <v>93</v>
      </c>
      <c r="F11" s="200" t="s">
        <v>120</v>
      </c>
      <c r="G11" s="200" t="s">
        <v>94</v>
      </c>
      <c r="H11" s="200" t="s">
        <v>95</v>
      </c>
      <c r="I11" s="200" t="s">
        <v>134</v>
      </c>
      <c r="M11" s="234">
        <v>0</v>
      </c>
    </row>
    <row s="12647" customFormat="1" customHeight="1" ht="26.25">
      <c r="A12" s="258" t="s">
        <v>92</v>
      </c>
      <c r="B12" s="238" t="s">
        <v>28</v>
      </c>
      <c r="C12" s="239"/>
      <c r="D12" s="241" t="s">
        <v>155</v>
      </c>
      <c r="E12" s="494"/>
      <c r="F12" s="494"/>
      <c r="G12" s="1847" t="s">
        <v>28</v>
      </c>
      <c r="H12" s="495"/>
      <c r="I12" s="2282" t="s">
        <v>2054</v>
      </c>
      <c r="K12" s="385"/>
      <c r="L12" s="386"/>
      <c r="M12" s="230">
        <v>25</v>
      </c>
    </row>
    <row customHeight="1" ht="15.75">
      <c r="A13" s="234"/>
      <c r="B13" s="234"/>
      <c r="C13" s="234"/>
      <c r="D13" s="222"/>
      <c r="E13" s="243" t="s">
        <v>622</v>
      </c>
      <c r="F13" s="242"/>
      <c r="G13" s="242"/>
      <c r="H13" s="327"/>
      <c r="I13" s="2284"/>
      <c r="M13" s="234">
        <v>15</v>
      </c>
    </row>
    <row customHeight="1" ht="3">
      <c r="A14" s="234"/>
      <c r="B14" s="234"/>
      <c r="C14" s="234"/>
      <c r="M14" s="234">
        <v>3</v>
      </c>
    </row>
    <row customHeight="1" ht="29.25">
      <c r="E15" s="2609" t="s">
        <v>2055</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80F2-2AF8-BCA4-A542-BDEEEB4C9E7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948" width="9.140625" hidden="1"/>
    <col min="3" max="3" style="12949" width="3.00390625" customWidth="1"/>
    <col min="4" max="4" style="12948" width="6.00390625" customWidth="1"/>
    <col min="5" max="5" style="12948" width="94.00390625" customWidth="1"/>
    <col min="6" max="9" style="12948" width="8.00390625" customWidth="1"/>
    <col min="10" max="10" style="12948"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2056</v>
      </c>
      <c r="E7" s="2611"/>
      <c r="F7" s="380"/>
      <c r="J7" s="182">
        <v>22</v>
      </c>
    </row>
    <row customHeight="1" ht="3">
      <c r="C8" s="205"/>
      <c r="D8" s="183"/>
      <c r="E8" s="183"/>
      <c r="J8" s="182">
        <v>3</v>
      </c>
    </row>
    <row customHeight="1" ht="16.8">
      <c r="C9" s="205"/>
      <c r="D9" s="218" t="s">
        <v>90</v>
      </c>
      <c r="E9" s="373" t="s">
        <v>2057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2058</v>
      </c>
      <c r="J13" s="182">
        <v>12</v>
      </c>
    </row>
    <row customHeight="1" ht="3">
      <c r="J14" s="182">
        <v>3</v>
      </c>
    </row>
    <row customHeight="1" ht="23.25">
      <c r="C15" s="250"/>
      <c r="D15" s="2612" t="s">
        <v>2059</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271CB-4621-1898-F4B7-E9A88C6B1E9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2948" width="9.140625" hidden="1"/>
    <col min="3" max="3" style="12949" width="3.00390625" customWidth="1"/>
    <col min="4" max="4" style="12948" width="6.00390625" customWidth="1"/>
    <col min="5" max="5" style="12948" width="94.00390625" customWidth="1"/>
    <col min="6" max="12" style="12948" width="8.00390625" customWidth="1"/>
    <col min="13" max="13" style="12948"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2060</v>
      </c>
      <c r="E7" s="2213"/>
      <c r="F7" s="380"/>
      <c r="M7" s="182">
        <v>22</v>
      </c>
    </row>
    <row customHeight="1" ht="3">
      <c r="C8" s="205"/>
      <c r="D8" s="183"/>
      <c r="E8" s="183"/>
      <c r="M8" s="182">
        <v>3</v>
      </c>
    </row>
    <row customHeight="1" ht="16.8">
      <c r="C9" s="205"/>
      <c r="D9" s="218" t="s">
        <v>90</v>
      </c>
      <c r="E9" s="221" t="s">
        <v>442</v>
      </c>
      <c r="M9" s="182">
        <v>16</v>
      </c>
    </row>
    <row customHeight="1" ht="12.75">
      <c r="C10" s="205"/>
      <c r="D10" s="200" t="s">
        <v>155</v>
      </c>
      <c r="E10" s="200" t="s">
        <v>105</v>
      </c>
      <c r="M10" s="182">
        <v>12</v>
      </c>
    </row>
    <row customHeight="1" ht="15" hidden="1">
      <c r="C11" s="205"/>
      <c r="D11" s="226">
        <v>0</v>
      </c>
      <c r="E11" s="262"/>
      <c r="M11" s="182">
        <v>0</v>
      </c>
    </row>
    <row customHeight="1" ht="14.699999999999998">
      <c r="C12" s="205"/>
      <c r="D12" s="222"/>
      <c r="E12" s="220" t="s">
        <v>2058</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CF2FB-4C67-ACA1-115D-D7D1E2C5CE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52" width="1.7109375" customWidth="1"/>
    <col min="2" max="2" style="8252" width="34.57421875" customWidth="1"/>
    <col min="3" max="3" style="8252" width="85.00390625" customWidth="1"/>
    <col min="4" max="4" style="8252" width="17.00390625" customWidth="1"/>
    <col min="5" max="5" style="8252" width="8.00390625" customWidth="1"/>
    <col min="6" max="6" style="8252" width="9.140625" hidden="1"/>
  </cols>
  <sheetData>
    <row customHeight="1" ht="3">
      <c r="F1" s="202" t="s">
        <v>14</v>
      </c>
    </row>
    <row customHeight="1" ht="22.5">
      <c r="B2" s="2726" t="s">
        <v>2061</v>
      </c>
      <c r="C2" s="2613"/>
      <c r="D2" s="2613"/>
      <c r="E2" s="381"/>
      <c r="F2" s="202">
        <v>22</v>
      </c>
    </row>
    <row customHeight="1" ht="3">
      <c r="F3" s="202">
        <v>3</v>
      </c>
    </row>
    <row customHeight="1" ht="23.25">
      <c r="B4" s="2727" t="s">
        <v>2062</v>
      </c>
      <c r="C4" s="496" t="s">
        <v>2063</v>
      </c>
      <c r="D4" s="496" t="s">
        <v>2064</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0E507-9F4C-7972-F0AD-A3A8A664E6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52" width="26.57421875" customWidth="1"/>
    <col min="2" max="2" style="8252" width="10.00390625" customWidth="1"/>
    <col min="3" max="3" style="8252" width="9.140625"/>
    <col min="4" max="4" style="8252" width="11.140625" customWidth="1"/>
    <col min="5" max="5" style="8252" width="16.57421875" customWidth="1"/>
    <col min="6" max="6" style="8252" width="16.28125" customWidth="1"/>
    <col min="7" max="7" style="8252" width="19.140625" customWidth="1"/>
    <col min="8" max="11" style="8252" width="10.00390625" customWidth="1"/>
    <col min="12" max="12" style="8252" width="12.7109375" customWidth="1"/>
    <col min="13" max="13" style="8252" width="61.28125" customWidth="1"/>
    <col min="14" max="14" style="8252" width="10.00390625" customWidth="1"/>
    <col min="15" max="17" style="8252" width="23.7109375" customWidth="1"/>
    <col min="18" max="18" style="8252" width="11.7109375" customWidth="1"/>
    <col min="19" max="19" style="8252" width="8.57421875" customWidth="1"/>
    <col min="20" max="20" style="8252" width="11.7109375" customWidth="1"/>
    <col min="21" max="21" style="8252" width="8.57421875" customWidth="1"/>
    <col min="22" max="22" style="8252" width="4.7109375" customWidth="1"/>
    <col min="23" max="23" style="8252" width="115.7109375" customWidth="1"/>
    <col min="24" max="24" style="8252" width="115.28125" customWidth="1"/>
    <col min="25" max="27" style="8252" width="9.140625"/>
    <col min="28" max="28" style="8252" width="115.7109375" customWidth="1"/>
    <col min="29" max="29" style="8252" width="9.140625"/>
    <col min="30" max="90" style="8252" width="115.7109375" customWidth="1"/>
    <col min="91" max="184" style="8252" width="9.140625"/>
  </cols>
  <sheetData>
    <row r="2" s="12959" customFormat="1" customHeight="1" ht="17.25">
      <c r="A2" s="1928" t="s">
        <v>2065</v>
      </c>
    </row>
    <row r="4" s="12948" customFormat="1" customHeight="1" ht="15">
      <c r="C4" s="1929"/>
      <c r="D4" s="226"/>
      <c r="E4" s="490"/>
    </row>
    <row r="6" s="12959" customFormat="1" customHeight="1" ht="17.25">
      <c r="A6" s="1928" t="s">
        <v>2066</v>
      </c>
    </row>
    <row r="8" s="12948" customFormat="1" customHeight="1" ht="17.25">
      <c r="C8" s="1930"/>
      <c r="D8" s="226"/>
      <c r="E8" s="227"/>
    </row>
    <row r="11" s="12959" customFormat="1" customHeight="1" ht="17.25">
      <c r="A11" s="1928" t="s">
        <v>2067</v>
      </c>
    </row>
    <row r="13" s="8207" customFormat="1" customHeight="1" ht="15">
      <c r="A13" s="2330">
        <v>1</v>
      </c>
      <c r="B13" s="1273"/>
      <c r="C13" s="914" t="s">
        <v>106</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825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8252"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2959" customFormat="1" customHeight="1" ht="17.25">
      <c r="A17" s="1928" t="s">
        <v>2068</v>
      </c>
    </row>
    <row r="19" s="8252" customFormat="1" customHeight="1" ht="15">
      <c r="A19" s="1995"/>
      <c r="B19" s="1479">
        <v>1</v>
      </c>
      <c r="C19" s="1479"/>
      <c r="D19" s="913" t="s">
        <v>106</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8252" customFormat="1" customHeight="1" ht="15">
      <c r="A21" s="1928" t="s">
        <v>2069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8252" customFormat="1" customHeight="1" ht="15">
      <c r="U22" s="298"/>
    </row>
    <row s="8328" customFormat="1" customHeight="1" ht="15">
      <c r="A23" s="536"/>
      <c r="B23" s="536"/>
      <c r="C23" s="1841" t="s">
        <v>106</v>
      </c>
      <c r="D23" s="2221" t="s">
        <v>155</v>
      </c>
      <c r="E23" s="2222"/>
      <c r="F23" s="2220" t="s">
        <v>19</v>
      </c>
      <c r="G23" s="2670"/>
      <c r="H23" s="2240">
        <v>1</v>
      </c>
      <c r="I23" s="2672" t="str">
        <f>IF(U23="","",INDEX(TERRITORY_MR_LIST,MATCH(U23,TERRITORY_LIST_ID,0)))</f>
        <v/>
      </c>
      <c r="J23" s="2220" t="s">
        <v>19</v>
      </c>
      <c r="K23" s="945"/>
      <c r="L23" s="1895" t="s">
        <v>155</v>
      </c>
      <c r="M23" s="716"/>
      <c r="N23" s="717"/>
      <c r="O23" s="717"/>
      <c r="P23" s="717"/>
      <c r="Q23" s="717"/>
      <c r="R23" s="717"/>
      <c r="S23" s="717"/>
      <c r="T23" s="717"/>
      <c r="U23" s="718"/>
      <c r="V23" s="717"/>
      <c r="W23" s="717"/>
      <c r="X23" s="708"/>
      <c r="Y23" s="708" t="s">
        <v>195</v>
      </c>
      <c r="Z23" s="708">
        <v>1705000</v>
      </c>
      <c r="AA23" s="708"/>
      <c r="AB23" s="708"/>
      <c r="AC23" s="708"/>
      <c r="AD23" s="708"/>
      <c r="AE23" s="708"/>
      <c r="AF23" s="708"/>
      <c r="AG23" s="708"/>
      <c r="AH23" s="708"/>
      <c r="AI23" s="708"/>
      <c r="AJ23" s="708"/>
      <c r="AK23" s="708"/>
      <c r="AL23" s="708"/>
    </row>
    <row s="8328" customFormat="1" customHeight="1" ht="15">
      <c r="A24" s="536"/>
      <c r="B24" s="536"/>
      <c r="C24" s="289"/>
      <c r="D24" s="2221"/>
      <c r="E24" s="2223"/>
      <c r="F24" s="2220"/>
      <c r="G24" s="2671"/>
      <c r="H24" s="2240"/>
      <c r="I24" s="2673"/>
      <c r="J24" s="2220"/>
      <c r="K24" s="534"/>
      <c r="L24" s="290"/>
      <c r="M24" s="720" t="s">
        <v>196</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8328" customFormat="1" customHeight="1" ht="15">
      <c r="A25" s="536"/>
      <c r="B25" s="536"/>
      <c r="C25" s="289"/>
      <c r="D25" s="2221"/>
      <c r="E25" s="2224"/>
      <c r="F25" s="2220"/>
      <c r="G25" s="534"/>
      <c r="H25" s="290"/>
      <c r="I25" s="693" t="s">
        <v>197</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8252" customFormat="1" customHeight="1" ht="15">
      <c r="U26" s="298"/>
    </row>
    <row s="8252" customFormat="1" customHeight="1" ht="15">
      <c r="A27" s="1928" t="s">
        <v>2070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8252" customFormat="1" customHeight="1" ht="15">
      <c r="U28" s="298"/>
    </row>
    <row s="8328" customFormat="1" customHeight="1" ht="15">
      <c r="A29" s="536"/>
      <c r="B29" s="536"/>
      <c r="C29" s="289"/>
      <c r="D29" s="1934"/>
      <c r="E29" s="1934"/>
      <c r="F29" s="1934"/>
      <c r="G29" s="2674" t="s">
        <v>106</v>
      </c>
      <c r="H29" s="2216">
        <v>1</v>
      </c>
      <c r="I29" s="2675" t="str">
        <f>IF(U29="","",INDEX(TERRITORY_MR_LIST,MATCH(U29,TERRITORY_LIST_ID,0)))</f>
        <v/>
      </c>
      <c r="J29" s="2220" t="s">
        <v>19</v>
      </c>
      <c r="K29" s="945"/>
      <c r="L29" s="1895" t="s">
        <v>155</v>
      </c>
      <c r="M29" s="716"/>
      <c r="N29" s="717"/>
      <c r="O29" s="717"/>
      <c r="P29" s="717"/>
      <c r="Q29" s="717"/>
      <c r="R29" s="717"/>
      <c r="S29" s="717"/>
      <c r="T29" s="717"/>
      <c r="U29" s="718"/>
      <c r="V29" s="717"/>
      <c r="W29" s="717"/>
      <c r="X29" s="708"/>
      <c r="Y29" s="708" t="s">
        <v>195</v>
      </c>
      <c r="Z29" s="708">
        <v>1705000</v>
      </c>
      <c r="AA29" s="708"/>
      <c r="AB29" s="708"/>
      <c r="AC29" s="708"/>
      <c r="AD29" s="708"/>
      <c r="AE29" s="708"/>
      <c r="AF29" s="708"/>
      <c r="AG29" s="708"/>
      <c r="AH29" s="708"/>
      <c r="AI29" s="708"/>
      <c r="AJ29" s="708"/>
      <c r="AK29" s="708"/>
      <c r="AL29" s="708"/>
    </row>
    <row s="8328" customFormat="1" customHeight="1" ht="15">
      <c r="A30" s="536"/>
      <c r="B30" s="536"/>
      <c r="C30" s="289"/>
      <c r="D30" s="1934"/>
      <c r="E30" s="1934"/>
      <c r="F30" s="1934"/>
      <c r="G30" s="2674"/>
      <c r="H30" s="2216"/>
      <c r="I30" s="2675"/>
      <c r="J30" s="2220"/>
      <c r="K30" s="534"/>
      <c r="L30" s="290"/>
      <c r="M30" s="720" t="s">
        <v>196</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8252" customFormat="1" customHeight="1" ht="15">
      <c r="U31" s="298"/>
    </row>
    <row s="8252" customFormat="1" customHeight="1" ht="15">
      <c r="A32" s="1928" t="s">
        <v>2071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8252" customFormat="1" customHeight="1" ht="15">
      <c r="U33" s="298"/>
    </row>
    <row s="8328" customFormat="1" customHeight="1" ht="15">
      <c r="A34" s="536"/>
      <c r="B34" s="536"/>
      <c r="C34" s="289"/>
      <c r="D34" s="1934"/>
      <c r="E34" s="1934"/>
      <c r="F34" s="1934"/>
      <c r="G34" s="1934"/>
      <c r="H34" s="1934"/>
      <c r="I34" s="1934"/>
      <c r="J34" s="1934"/>
      <c r="K34" s="1912" t="s">
        <v>106</v>
      </c>
      <c r="L34" s="1842" t="s">
        <v>155</v>
      </c>
      <c r="M34" s="924"/>
      <c r="N34" s="925"/>
      <c r="O34" s="717"/>
      <c r="P34" s="717"/>
      <c r="Q34" s="717"/>
      <c r="R34" s="717"/>
      <c r="S34" s="717"/>
      <c r="T34" s="717"/>
      <c r="U34" s="718"/>
      <c r="V34" s="717"/>
      <c r="W34" s="717"/>
      <c r="X34" s="708"/>
      <c r="Y34" s="708" t="s">
        <v>195</v>
      </c>
      <c r="Z34" s="708">
        <v>1705000</v>
      </c>
      <c r="AA34" s="708"/>
      <c r="AB34" s="708"/>
      <c r="AC34" s="708"/>
      <c r="AD34" s="708"/>
      <c r="AE34" s="708"/>
      <c r="AF34" s="708"/>
      <c r="AG34" s="708"/>
      <c r="AH34" s="708"/>
      <c r="AI34" s="708"/>
      <c r="AJ34" s="708"/>
      <c r="AK34" s="708"/>
      <c r="AL34" s="708"/>
    </row>
    <row s="8252" customFormat="1" customHeight="1" ht="15">
      <c r="U35" s="298"/>
    </row>
    <row s="8252" customFormat="1" customHeight="1" ht="15">
      <c r="U36" s="298"/>
    </row>
    <row s="12959" customFormat="1" customHeight="1" ht="11.25">
      <c r="A37" s="1928" t="s">
        <v>2072</v>
      </c>
    </row>
    <row customHeight="1" ht="11.25"/>
    <row s="8757" customFormat="1" customHeight="1" ht="22.5">
      <c r="A39" s="1904"/>
      <c r="B39" s="570"/>
      <c r="C39" s="972"/>
      <c r="D39" s="553"/>
      <c r="E39" s="973"/>
      <c r="F39" s="1925"/>
      <c r="G39" s="1935"/>
      <c r="H39" s="588"/>
    </row>
    <row customHeight="1" ht="11.25"/>
    <row s="12959" customFormat="1" customHeight="1" ht="11.25">
      <c r="A41" s="1928" t="s">
        <v>2073</v>
      </c>
    </row>
    <row customHeight="1" ht="11.25"/>
    <row s="8757" customFormat="1" customHeight="1" ht="22.5">
      <c r="A43" s="570"/>
      <c r="B43" s="570"/>
      <c r="C43" s="570"/>
      <c r="D43" s="553"/>
      <c r="E43" s="973"/>
      <c r="F43" s="974"/>
      <c r="G43" s="1935"/>
      <c r="H43" s="588"/>
    </row>
    <row customHeight="1" ht="11.25"/>
    <row s="12959" customFormat="1" customHeight="1" ht="11.25">
      <c r="A45" s="1928" t="s">
        <v>2074</v>
      </c>
    </row>
    <row customHeight="1" ht="11.25"/>
    <row s="8757" customFormat="1" customHeight="1" ht="24">
      <c r="A47" s="2315" t="s">
        <v>468</v>
      </c>
      <c r="B47" s="615"/>
      <c r="C47" s="2326"/>
      <c r="D47" s="558" t="str">
        <f>A47</f>
        <v>5.1</v>
      </c>
      <c r="E47" s="555" t="s">
        <v>469</v>
      </c>
      <c r="F47" s="2089" t="s">
        <v>461</v>
      </c>
      <c r="G47" s="557" t="s">
        <v>470</v>
      </c>
      <c r="H47" s="588"/>
      <c r="I47" s="965"/>
    </row>
    <row s="8757" customFormat="1" customHeight="1" ht="22.5">
      <c r="A48" s="2315"/>
      <c r="B48" s="615"/>
      <c r="C48" s="2326"/>
      <c r="D48" s="553" t="str">
        <f>D47&amp;".1"</f>
        <v>5.1.1</v>
      </c>
      <c r="E48" s="552" t="s">
        <v>471</v>
      </c>
      <c r="F48" s="2090" t="s">
        <v>28</v>
      </c>
      <c r="G48" s="587"/>
      <c r="H48" s="588"/>
      <c r="I48" s="965"/>
    </row>
    <row s="8757" customFormat="1" customHeight="1" ht="22.5">
      <c r="A49" s="2315"/>
      <c r="B49" s="615"/>
      <c r="C49" s="2326"/>
      <c r="D49" s="553" t="str">
        <f>D47&amp;".2"</f>
        <v>5.1.2</v>
      </c>
      <c r="E49" s="552" t="s">
        <v>472</v>
      </c>
      <c r="F49" s="1845" t="s">
        <v>28</v>
      </c>
      <c r="G49" s="557" t="s">
        <v>473</v>
      </c>
      <c r="H49" s="588"/>
      <c r="I49" s="965"/>
    </row>
    <row s="8757" customFormat="1" customHeight="1" ht="22.5">
      <c r="A50" s="2315"/>
      <c r="B50" s="615"/>
      <c r="C50" s="2326"/>
      <c r="D50" s="553" t="str">
        <f>D47&amp;".3"</f>
        <v>5.1.3</v>
      </c>
      <c r="E50" s="552" t="s">
        <v>474</v>
      </c>
      <c r="F50" s="2090" t="s">
        <v>28</v>
      </c>
      <c r="G50" s="587"/>
      <c r="H50" s="588"/>
      <c r="I50" s="965"/>
    </row>
    <row s="8757" customFormat="1" customHeight="1" ht="22.5">
      <c r="A51" s="2315"/>
      <c r="B51" s="615"/>
      <c r="C51" s="2326"/>
      <c r="D51" s="553" t="str">
        <f>D47&amp;".4"</f>
        <v>5.1.4</v>
      </c>
      <c r="E51" s="552" t="s">
        <v>475</v>
      </c>
      <c r="F51" s="2090" t="s">
        <v>28</v>
      </c>
      <c r="G51" s="557" t="s">
        <v>476</v>
      </c>
      <c r="H51" s="588"/>
      <c r="I51" s="965"/>
    </row>
    <row r="54" s="12959" customFormat="1" customHeight="1" ht="17.25">
      <c r="A54" s="1928" t="s">
        <v>2075</v>
      </c>
    </row>
    <row r="56" s="8088" customFormat="1" customHeight="1" ht="18.75">
      <c r="A56" s="202"/>
      <c r="B56" s="1936"/>
      <c r="C56" s="1936"/>
      <c r="D56" s="1937"/>
      <c r="E56" s="1922"/>
      <c r="F56" s="981">
        <v>13</v>
      </c>
      <c r="G56" s="980"/>
      <c r="H56" s="906"/>
      <c r="I56" s="904"/>
      <c r="J56" s="633" t="s">
        <v>63</v>
      </c>
      <c r="K56" s="1938" t="s">
        <v>28</v>
      </c>
      <c r="L56" s="202"/>
      <c r="M56" s="1749"/>
      <c r="N56" s="1749"/>
      <c r="O56" s="1749"/>
      <c r="P56" s="629" t="s">
        <v>547</v>
      </c>
      <c r="Q56" s="629" t="s">
        <v>548</v>
      </c>
      <c r="R56" s="630" t="s">
        <v>549</v>
      </c>
      <c r="S56" s="1749" t="s">
        <v>550</v>
      </c>
      <c r="T56" s="1749"/>
      <c r="U56" s="1749"/>
      <c r="V56" s="1749"/>
    </row>
    <row r="58" s="12959" customFormat="1" customHeight="1" ht="11.25">
      <c r="A58" s="1928" t="s">
        <v>2076</v>
      </c>
    </row>
    <row r="60" s="811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536</v>
      </c>
      <c r="AQ60" s="1737" t="s">
        <v>536</v>
      </c>
      <c r="AR60" s="1749"/>
      <c r="AS60" s="1749"/>
    </row>
    <row r="62" s="12959" customFormat="1" customHeight="1" ht="11.25">
      <c r="A62" s="1928" t="s">
        <v>2077</v>
      </c>
    </row>
    <row r="64" s="12647" customFormat="1" customHeight="1" ht="15">
      <c r="A64" s="258" t="s">
        <v>92</v>
      </c>
      <c r="B64" s="238" t="s">
        <v>28</v>
      </c>
      <c r="C64" s="1939"/>
      <c r="D64" s="241"/>
      <c r="E64" s="494"/>
      <c r="F64" s="494"/>
      <c r="G64" s="1916"/>
      <c r="H64" s="1938"/>
      <c r="I64" s="1917"/>
      <c r="K64" s="385"/>
      <c r="L64" s="386"/>
    </row>
    <row r="66" s="12959" customFormat="1" customHeight="1" ht="11.25">
      <c r="A66" s="1928" t="s">
        <v>2078</v>
      </c>
    </row>
    <row r="68" s="8113" customFormat="1" customHeight="1" ht="14.25">
      <c r="A68" s="456"/>
      <c r="B68" s="1273"/>
      <c r="C68" s="489"/>
      <c r="D68" s="1923"/>
      <c r="E68" s="999"/>
      <c r="F68" s="1938"/>
      <c r="G68" s="202"/>
      <c r="I68" s="1737"/>
      <c r="J68" s="1737"/>
    </row>
    <row r="70" s="12959" customFormat="1" customHeight="1" ht="11.25">
      <c r="A70" s="1928" t="s">
        <v>2079</v>
      </c>
    </row>
    <row r="72" s="8113"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2080</v>
      </c>
    </row>
    <row s="811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2081</v>
      </c>
    </row>
    <row r="75" s="12959" customFormat="1" customHeight="1" ht="11.25">
      <c r="A75" s="1928" t="s">
        <v>2082</v>
      </c>
    </row>
    <row r="77" s="811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2080</v>
      </c>
    </row>
    <row r="79" s="12959" customFormat="1" customHeight="1" ht="11.25">
      <c r="A79" s="1928" t="s">
        <v>2083</v>
      </c>
    </row>
    <row customHeight="1" ht="17.25"/>
    <row s="811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8113" customFormat="1" customHeight="1" ht="0.75">
      <c r="A82" s="1279"/>
      <c r="B82" s="1279"/>
      <c r="C82" s="1279"/>
      <c r="D82" s="1273"/>
      <c r="E82" s="1283"/>
      <c r="F82" s="2649"/>
      <c r="G82" s="2628"/>
      <c r="H82" s="2653" t="s">
        <v>531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811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811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811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811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8113" customFormat="1" customHeight="1" ht="12">
      <c r="A87" s="1279"/>
      <c r="B87" s="1279"/>
      <c r="C87" s="1279"/>
      <c r="D87" s="1273"/>
      <c r="E87" s="1283"/>
      <c r="F87" s="2650"/>
      <c r="G87" s="1303"/>
      <c r="H87" s="1303"/>
      <c r="I87" s="2648" t="s">
        <v>2084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2959" customFormat="1" customHeight="1" ht="11.25">
      <c r="A89" s="1928" t="s">
        <v>2085</v>
      </c>
    </row>
    <row r="91" s="811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811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811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2086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2959" customFormat="1" customHeight="1" ht="11.25">
      <c r="A95" s="1928" t="s">
        <v>2087</v>
      </c>
    </row>
    <row r="97" s="811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2959" customFormat="1" customHeight="1" ht="11.25">
      <c r="A99" s="1928" t="s">
        <v>2088</v>
      </c>
    </row>
    <row r="101" s="8113" customFormat="1" customHeight="1" ht="11.25">
      <c r="A101" s="1279"/>
      <c r="B101" s="1279"/>
      <c r="C101" s="1279"/>
      <c r="D101" s="1273"/>
      <c r="E101" s="1283"/>
      <c r="F101" s="1942"/>
      <c r="G101" s="1943"/>
      <c r="H101" s="2628" t="s">
        <v>155</v>
      </c>
      <c r="I101" s="2629"/>
      <c r="J101" s="2598"/>
      <c r="K101" s="2630"/>
      <c r="L101" s="2220" t="s">
        <v>19</v>
      </c>
      <c r="M101" s="2221"/>
      <c r="N101" s="2099"/>
      <c r="O101" s="1290" t="s">
        <v>531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811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811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811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2086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8113" customFormat="1" customHeight="1" ht="11.25">
      <c r="A105" s="1279"/>
      <c r="B105" s="1279"/>
      <c r="C105" s="1279"/>
      <c r="D105" s="1273"/>
      <c r="E105" s="1283"/>
      <c r="F105" s="1942"/>
      <c r="G105" s="1943"/>
      <c r="H105" s="2628"/>
      <c r="I105" s="2629"/>
      <c r="J105" s="2598"/>
      <c r="K105" s="2630"/>
      <c r="L105" s="2220"/>
      <c r="M105" s="2221"/>
      <c r="N105" s="1288"/>
      <c r="O105" s="1289"/>
      <c r="P105" s="1281" t="s">
        <v>2089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2959" customFormat="1" customHeight="1" ht="11.25">
      <c r="A107" s="1928" t="s">
        <v>2090</v>
      </c>
    </row>
    <row customHeight="1" ht="17.25"/>
    <row s="12483"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2483"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2483" customFormat="1" customHeight="1" ht="12">
      <c r="A111" s="1037"/>
      <c r="B111" s="1036"/>
      <c r="C111" s="1037"/>
      <c r="D111" s="1037"/>
      <c r="E111" s="1037"/>
      <c r="F111" s="1326"/>
      <c r="G111" s="1913" t="s">
        <v>2091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2959" customFormat="1" customHeight="1" ht="11.25">
      <c r="A113" s="1928" t="s">
        <v>2092</v>
      </c>
    </row>
    <row r="115" s="8252" customFormat="1" customHeight="1" ht="15">
      <c r="A115" s="736"/>
      <c r="B115" s="737"/>
      <c r="C115" s="737"/>
      <c r="D115" s="2691" t="s">
        <v>155</v>
      </c>
      <c r="E115" s="2490" t="s">
        <v>186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763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8252" customFormat="1" customHeight="1" ht="15">
      <c r="A116" s="736"/>
      <c r="B116" s="737"/>
      <c r="C116" s="737"/>
      <c r="D116" s="2692"/>
      <c r="E116" s="2490" t="s">
        <v>718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8252" customFormat="1" customHeight="1" ht="15">
      <c r="A117" s="736"/>
      <c r="B117" s="737"/>
      <c r="C117" s="737"/>
      <c r="D117" s="2692"/>
      <c r="E117" s="2490" t="s">
        <v>719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8252" customFormat="1" customHeight="1" ht="24.75">
      <c r="A118" s="1919"/>
      <c r="B118" s="1273"/>
      <c r="C118" s="525"/>
      <c r="D118" s="2692"/>
      <c r="E118" s="2489" t="s">
        <v>764</v>
      </c>
      <c r="F118" s="2489"/>
      <c r="G118" s="2489"/>
      <c r="H118" s="2489"/>
      <c r="I118" s="2489"/>
      <c r="J118" s="2489"/>
      <c r="K118" s="2489"/>
      <c r="L118" s="2489"/>
      <c r="M118" s="2489"/>
      <c r="N118" s="2489"/>
      <c r="O118" s="2489"/>
      <c r="P118" s="2489"/>
      <c r="Q118" s="671">
        <f>SUMIF(T119:T120,"i",Q119:Q120)</f>
        <v>0</v>
      </c>
      <c r="R118" s="1130"/>
      <c r="S118" s="1911" t="s">
        <v>765</v>
      </c>
      <c r="T118" s="830" t="s">
        <v>766</v>
      </c>
      <c r="U118" s="2487">
        <v>1</v>
      </c>
      <c r="V118" s="2487" t="s">
        <v>729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825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8252" customFormat="1" customHeight="1" ht="11.25">
      <c r="A120" s="1919"/>
      <c r="B120" s="1273"/>
      <c r="C120" s="525"/>
      <c r="D120" s="2692"/>
      <c r="E120" s="762" t="s">
        <v>28</v>
      </c>
      <c r="F120" s="1281" t="s">
        <v>28</v>
      </c>
      <c r="G120" s="1281" t="s">
        <v>2093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8252" customFormat="1" customHeight="1" ht="24.75">
      <c r="A121" s="1919"/>
      <c r="B121" s="1273"/>
      <c r="C121" s="525"/>
      <c r="D121" s="2692"/>
      <c r="E121" s="2489" t="s">
        <v>767</v>
      </c>
      <c r="F121" s="2489"/>
      <c r="G121" s="2489"/>
      <c r="H121" s="2489"/>
      <c r="I121" s="2489"/>
      <c r="J121" s="2489"/>
      <c r="K121" s="2489"/>
      <c r="L121" s="2489"/>
      <c r="M121" s="2489"/>
      <c r="N121" s="2489"/>
      <c r="O121" s="2489"/>
      <c r="P121" s="2489"/>
      <c r="Q121" s="671">
        <f>SUMIF(T122:T123,"i",Q122:Q123)</f>
        <v>0</v>
      </c>
      <c r="R121" s="1130"/>
      <c r="S121" s="1911" t="s">
        <v>768</v>
      </c>
      <c r="T121" s="830" t="s">
        <v>766</v>
      </c>
      <c r="U121" s="2487">
        <v>1</v>
      </c>
      <c r="V121" s="2487" t="s">
        <v>729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825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8252" customFormat="1" customHeight="1" ht="11.25">
      <c r="A123" s="1919"/>
      <c r="B123" s="1273"/>
      <c r="C123" s="525"/>
      <c r="D123" s="2693"/>
      <c r="E123" s="762" t="s">
        <v>28</v>
      </c>
      <c r="F123" s="1281" t="s">
        <v>28</v>
      </c>
      <c r="G123" s="1281" t="s">
        <v>2093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2959" customFormat="1" customHeight="1" ht="11.25">
      <c r="A125" s="1928" t="s">
        <v>2094</v>
      </c>
    </row>
    <row r="127" s="8252" customFormat="1" customHeight="1" ht="15">
      <c r="A127" s="736"/>
      <c r="B127" s="737"/>
      <c r="C127" s="737"/>
      <c r="D127" s="2691" t="s">
        <v>155</v>
      </c>
      <c r="E127" s="2490" t="s">
        <v>186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763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8252" customFormat="1" customHeight="1" ht="15">
      <c r="A128" s="736"/>
      <c r="B128" s="737"/>
      <c r="C128" s="737"/>
      <c r="D128" s="2692"/>
      <c r="E128" s="2490" t="s">
        <v>718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8252" customFormat="1" customHeight="1" ht="15">
      <c r="A129" s="736"/>
      <c r="B129" s="737"/>
      <c r="C129" s="737"/>
      <c r="D129" s="2692"/>
      <c r="E129" s="2490" t="s">
        <v>719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8252" customFormat="1" customHeight="1" ht="24.75">
      <c r="A130" s="1919"/>
      <c r="B130" s="1273"/>
      <c r="C130" s="525"/>
      <c r="D130" s="2692"/>
      <c r="E130" s="2489" t="s">
        <v>764</v>
      </c>
      <c r="F130" s="2489"/>
      <c r="G130" s="2489"/>
      <c r="H130" s="2489"/>
      <c r="I130" s="2489"/>
      <c r="J130" s="2489"/>
      <c r="K130" s="2489"/>
      <c r="L130" s="2489"/>
      <c r="M130" s="2489"/>
      <c r="N130" s="2489"/>
      <c r="O130" s="2489"/>
      <c r="P130" s="2489"/>
      <c r="Q130" s="671">
        <f>SUMIF(T131:T132,"i",Q131:Q132)</f>
        <v>0</v>
      </c>
      <c r="R130" s="1130"/>
      <c r="S130" s="1911" t="s">
        <v>765</v>
      </c>
      <c r="T130" s="830" t="s">
        <v>766</v>
      </c>
      <c r="U130" s="2487">
        <v>1</v>
      </c>
      <c r="V130" s="2487" t="s">
        <v>729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825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8252" customFormat="1" customHeight="1" ht="11.25">
      <c r="A132" s="1919"/>
      <c r="B132" s="1273"/>
      <c r="C132" s="525"/>
      <c r="D132" s="2692"/>
      <c r="E132" s="762" t="s">
        <v>28</v>
      </c>
      <c r="F132" s="1281" t="s">
        <v>28</v>
      </c>
      <c r="G132" s="1281" t="s">
        <v>2093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859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766</v>
      </c>
      <c r="U133" s="2487">
        <v>1</v>
      </c>
      <c r="V133" s="2487" t="s">
        <v>729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859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859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2959" customFormat="1" customHeight="1" ht="11.25">
      <c r="A137" s="1928" t="s">
        <v>2095</v>
      </c>
    </row>
    <row r="139" s="8252" customFormat="1" customHeight="1" ht="45">
      <c r="A139" s="1919"/>
      <c r="B139" s="1273"/>
      <c r="C139" s="525"/>
      <c r="D139" s="202"/>
      <c r="E139" s="2685"/>
      <c r="F139" s="2221" t="s">
        <v>155</v>
      </c>
      <c r="G139" s="2688" t="s">
        <v>28</v>
      </c>
      <c r="H139" s="402"/>
      <c r="I139" s="750" t="s">
        <v>155</v>
      </c>
      <c r="J139" s="1920" t="s">
        <v>2096</v>
      </c>
      <c r="K139" s="751" t="s">
        <v>700</v>
      </c>
      <c r="L139" s="2337" t="s">
        <v>700</v>
      </c>
      <c r="M139" s="2690"/>
      <c r="N139" s="751" t="s">
        <v>700</v>
      </c>
      <c r="O139" s="751" t="s">
        <v>700</v>
      </c>
      <c r="P139" s="751" t="s">
        <v>700</v>
      </c>
      <c r="Q139" s="752">
        <f>SUM(Q140:Q142)</f>
        <v>0</v>
      </c>
      <c r="R139" s="752">
        <f>IF(R136=0,0,(Q136/R136)*100)</f>
        <v>0</v>
      </c>
      <c r="S139" s="2292"/>
      <c r="T139" s="830" t="s">
        <v>766</v>
      </c>
      <c r="U139" s="202"/>
      <c r="V139" s="202"/>
      <c r="AC139" s="202"/>
    </row>
    <row s="8252" customFormat="1" customHeight="1" ht="11.25">
      <c r="A140" s="1919"/>
      <c r="B140" s="1273"/>
      <c r="C140" s="525"/>
      <c r="D140" s="202"/>
      <c r="E140" s="2686"/>
      <c r="F140" s="2221"/>
      <c r="G140" s="2688"/>
      <c r="H140" s="2240"/>
      <c r="I140" s="2628" t="s">
        <v>1175</v>
      </c>
      <c r="J140" s="2682"/>
      <c r="K140" s="2683"/>
      <c r="L140" s="753"/>
      <c r="M140" s="754" t="s">
        <v>155</v>
      </c>
      <c r="N140" s="1908"/>
      <c r="O140" s="755"/>
      <c r="P140" s="756"/>
      <c r="Q140" s="755"/>
      <c r="R140" s="757">
        <v>0</v>
      </c>
      <c r="S140" s="2292"/>
      <c r="T140" s="830"/>
      <c r="U140" s="202"/>
      <c r="V140" s="202"/>
      <c r="AC140" s="202"/>
    </row>
    <row s="8252" customFormat="1" customHeight="1" ht="11.25">
      <c r="A141" s="1919"/>
      <c r="B141" s="1273"/>
      <c r="C141" s="525"/>
      <c r="D141" s="202"/>
      <c r="E141" s="2686"/>
      <c r="F141" s="2221"/>
      <c r="G141" s="2688"/>
      <c r="H141" s="2240"/>
      <c r="I141" s="2628"/>
      <c r="J141" s="2682"/>
      <c r="K141" s="2684"/>
      <c r="L141" s="758"/>
      <c r="M141" s="759"/>
      <c r="N141" s="760" t="s">
        <v>2097</v>
      </c>
      <c r="O141" s="760"/>
      <c r="P141" s="760"/>
      <c r="Q141" s="760"/>
      <c r="R141" s="761"/>
      <c r="S141" s="2292"/>
      <c r="T141" s="830"/>
      <c r="U141" s="202"/>
      <c r="V141" s="202"/>
      <c r="AC141" s="202"/>
    </row>
    <row s="8252" customFormat="1" customHeight="1" ht="11.25">
      <c r="A142" s="1919"/>
      <c r="B142" s="1273"/>
      <c r="C142" s="525"/>
      <c r="D142" s="202"/>
      <c r="E142" s="2687"/>
      <c r="F142" s="2221"/>
      <c r="G142" s="2689"/>
      <c r="H142" s="758" t="s">
        <v>28</v>
      </c>
      <c r="I142" s="759"/>
      <c r="J142" s="760" t="s">
        <v>2098</v>
      </c>
      <c r="K142" s="760"/>
      <c r="L142" s="760"/>
      <c r="M142" s="760"/>
      <c r="N142" s="760"/>
      <c r="O142" s="760"/>
      <c r="P142" s="760"/>
      <c r="Q142" s="760"/>
      <c r="R142" s="761"/>
      <c r="S142" s="2292"/>
      <c r="T142" s="830"/>
      <c r="U142" s="202"/>
      <c r="V142" s="202"/>
      <c r="AC142" s="202"/>
    </row>
    <row r="147" s="8252" customFormat="1" customHeight="1" ht="11.25">
      <c r="A147" s="1919"/>
      <c r="B147" s="1273"/>
      <c r="C147" s="525"/>
      <c r="D147" s="202"/>
      <c r="E147" s="1943"/>
      <c r="F147" s="1943"/>
      <c r="G147" s="1943"/>
      <c r="H147" s="2240"/>
      <c r="I147" s="2628" t="s">
        <v>1175</v>
      </c>
      <c r="J147" s="2682"/>
      <c r="K147" s="2683"/>
      <c r="L147" s="753"/>
      <c r="M147" s="754" t="s">
        <v>155</v>
      </c>
      <c r="N147" s="1908"/>
      <c r="O147" s="755"/>
      <c r="P147" s="756"/>
      <c r="Q147" s="755"/>
      <c r="R147" s="757">
        <v>0</v>
      </c>
      <c r="S147" s="202"/>
      <c r="T147" s="830"/>
      <c r="U147" s="202"/>
      <c r="V147" s="202"/>
      <c r="AC147" s="202"/>
    </row>
    <row s="8252" customFormat="1" customHeight="1" ht="11.25">
      <c r="A148" s="1919"/>
      <c r="B148" s="1273"/>
      <c r="C148" s="525"/>
      <c r="D148" s="202"/>
      <c r="E148" s="1943"/>
      <c r="F148" s="1943"/>
      <c r="G148" s="1943"/>
      <c r="H148" s="2240"/>
      <c r="I148" s="2628"/>
      <c r="J148" s="2682"/>
      <c r="K148" s="2684"/>
      <c r="L148" s="758"/>
      <c r="M148" s="759"/>
      <c r="N148" s="760" t="s">
        <v>2097</v>
      </c>
      <c r="O148" s="760"/>
      <c r="P148" s="760"/>
      <c r="Q148" s="760"/>
      <c r="R148" s="761"/>
      <c r="S148" s="202"/>
      <c r="T148" s="830"/>
      <c r="U148" s="202"/>
      <c r="V148" s="202"/>
      <c r="AC148" s="202"/>
    </row>
    <row r="150" s="8252" customFormat="1" customHeight="1" ht="11.25">
      <c r="A150" s="1919"/>
      <c r="B150" s="1273"/>
      <c r="C150" s="525"/>
      <c r="D150" s="202"/>
      <c r="E150" s="1950"/>
      <c r="F150" s="1948"/>
      <c r="G150" s="1948"/>
      <c r="H150" s="1951"/>
      <c r="I150" s="1943"/>
      <c r="J150" s="1944"/>
      <c r="K150" s="1944"/>
      <c r="L150" s="753"/>
      <c r="M150" s="754" t="s">
        <v>155</v>
      </c>
      <c r="N150" s="1908"/>
      <c r="O150" s="755"/>
      <c r="P150" s="756"/>
      <c r="Q150" s="755"/>
      <c r="R150" s="757">
        <v>0</v>
      </c>
      <c r="S150" s="202"/>
      <c r="T150" s="830"/>
      <c r="U150" s="202"/>
      <c r="V150" s="202"/>
      <c r="AC150" s="202"/>
    </row>
    <row r="152" s="12959" customFormat="1" customHeight="1" ht="17.25">
      <c r="A152" s="1928" t="s">
        <v>2099</v>
      </c>
    </row>
    <row customHeight="1" ht="17.25">
      <c r="G153" s="1952"/>
      <c r="H153" s="1952"/>
      <c r="I153" s="1952"/>
      <c r="M153" s="1948"/>
    </row>
    <row s="8328" customFormat="1" customHeight="1" ht="17.25">
      <c r="A154" s="1953"/>
      <c r="C154" s="1955"/>
      <c r="D154" s="2642"/>
      <c r="E154" s="2256"/>
      <c r="F154" s="2258"/>
      <c r="G154" s="2644"/>
      <c r="H154" s="2642"/>
      <c r="I154" s="2642">
        <v>1</v>
      </c>
      <c r="J154" s="2614"/>
      <c r="K154" s="2298" t="s">
        <v>63</v>
      </c>
      <c r="L154" s="2221"/>
      <c r="M154" s="2221" t="s">
        <v>155</v>
      </c>
      <c r="N154" s="2617" t="str">
        <f>IF(Z154="","",INDEX(TERRITORY_MR_LIST,MATCH(Z154,TERRITORY_LIST_ID,0)))</f>
        <v/>
      </c>
      <c r="O154" s="2298" t="s">
        <v>63</v>
      </c>
      <c r="P154" s="2221"/>
      <c r="Q154" s="2221" t="s">
        <v>155</v>
      </c>
      <c r="R154" s="2615" t="s">
        <v>28</v>
      </c>
      <c r="S154" s="2220" t="s">
        <v>63</v>
      </c>
      <c r="T154" s="1924"/>
      <c r="U154" s="1924" t="s">
        <v>155</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832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273</v>
      </c>
      <c r="W155" s="432"/>
      <c r="Y155" s="1372"/>
      <c r="Z155" s="1372"/>
      <c r="AA155" s="1372"/>
      <c r="AB155" s="1372"/>
      <c r="AC155" s="1372"/>
      <c r="AD155" s="1372"/>
      <c r="AE155" s="1372"/>
      <c r="AF155" s="1372"/>
      <c r="AG155" s="1372"/>
      <c r="AH155" s="1372"/>
      <c r="AI155" s="1372"/>
      <c r="AJ155" s="1372"/>
      <c r="AK155" s="1372"/>
    </row>
    <row s="8328" customFormat="1" customHeight="1" ht="17.25">
      <c r="A156" s="1953"/>
      <c r="C156" s="1958"/>
      <c r="D156" s="2616"/>
      <c r="E156" s="2643"/>
      <c r="F156" s="2259"/>
      <c r="G156" s="2645"/>
      <c r="H156" s="2616"/>
      <c r="I156" s="2616"/>
      <c r="J156" s="2646"/>
      <c r="K156" s="2299"/>
      <c r="L156" s="2616"/>
      <c r="M156" s="2616"/>
      <c r="N156" s="2618"/>
      <c r="O156" s="2225"/>
      <c r="P156" s="430"/>
      <c r="Q156" s="431"/>
      <c r="R156" s="431" t="s">
        <v>274</v>
      </c>
      <c r="S156" s="1959"/>
      <c r="T156" s="1959"/>
      <c r="U156" s="1959"/>
      <c r="V156" s="1959"/>
      <c r="W156" s="432"/>
      <c r="Y156" s="1372"/>
      <c r="Z156" s="1372"/>
      <c r="AA156" s="1372"/>
      <c r="AB156" s="1372"/>
      <c r="AC156" s="1372"/>
      <c r="AD156" s="1372"/>
      <c r="AE156" s="1372"/>
      <c r="AF156" s="1372"/>
      <c r="AG156" s="1372"/>
      <c r="AH156" s="1372"/>
      <c r="AI156" s="1372"/>
      <c r="AJ156" s="1372"/>
      <c r="AK156" s="1372"/>
    </row>
    <row s="8328" customFormat="1" customHeight="1" ht="17.25">
      <c r="A157" s="1953"/>
      <c r="C157" s="1958"/>
      <c r="D157" s="2616"/>
      <c r="E157" s="2643"/>
      <c r="F157" s="2259"/>
      <c r="G157" s="2645"/>
      <c r="H157" s="2616"/>
      <c r="I157" s="2616"/>
      <c r="J157" s="2646"/>
      <c r="K157" s="2225"/>
      <c r="L157" s="430"/>
      <c r="M157" s="431"/>
      <c r="N157" s="431" t="s">
        <v>351</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8328" customFormat="1" customHeight="1" ht="17.25">
      <c r="A158" s="1953"/>
      <c r="C158" s="1958"/>
      <c r="D158" s="2616"/>
      <c r="E158" s="2643"/>
      <c r="F158" s="2260"/>
      <c r="G158" s="2645"/>
      <c r="H158" s="430"/>
      <c r="I158" s="431"/>
      <c r="J158" s="431" t="s">
        <v>352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8328" customFormat="1" customHeight="1" ht="17.25">
      <c r="A160" s="1953"/>
      <c r="C160" s="1955"/>
      <c r="D160" s="1943"/>
      <c r="E160" s="1960"/>
      <c r="F160" s="1897"/>
      <c r="G160" s="1961"/>
      <c r="H160" s="2642"/>
      <c r="I160" s="2642">
        <v>1</v>
      </c>
      <c r="J160" s="2614"/>
      <c r="K160" s="2298" t="s">
        <v>63</v>
      </c>
      <c r="L160" s="2221"/>
      <c r="M160" s="2221" t="s">
        <v>155</v>
      </c>
      <c r="N160" s="2617" t="str">
        <f>IF(Z160="","",INDEX(TERRITORY_MR_LIST,MATCH(Z160,TERRITORY_LIST_ID,0)))</f>
        <v/>
      </c>
      <c r="O160" s="2298" t="s">
        <v>63</v>
      </c>
      <c r="P160" s="2221"/>
      <c r="Q160" s="2221" t="s">
        <v>155</v>
      </c>
      <c r="R160" s="2615" t="s">
        <v>28</v>
      </c>
      <c r="S160" s="2220" t="s">
        <v>63</v>
      </c>
      <c r="T160" s="1924"/>
      <c r="U160" s="1924" t="s">
        <v>155</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832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273</v>
      </c>
      <c r="W161" s="432"/>
      <c r="Y161" s="1372"/>
      <c r="Z161" s="1372"/>
      <c r="AA161" s="1372"/>
      <c r="AB161" s="1372"/>
      <c r="AC161" s="1372"/>
      <c r="AD161" s="1372"/>
      <c r="AE161" s="1372"/>
      <c r="AF161" s="1372"/>
      <c r="AG161" s="1372"/>
      <c r="AH161" s="1372"/>
      <c r="AI161" s="1372"/>
      <c r="AJ161" s="1372"/>
      <c r="AK161" s="1372"/>
    </row>
    <row s="8328" customFormat="1" customHeight="1" ht="17.25">
      <c r="A162" s="1953"/>
      <c r="C162" s="1958"/>
      <c r="D162" s="1943"/>
      <c r="E162" s="1960"/>
      <c r="F162" s="1897"/>
      <c r="G162" s="1961"/>
      <c r="H162" s="2616"/>
      <c r="I162" s="2616"/>
      <c r="J162" s="2646"/>
      <c r="K162" s="2299"/>
      <c r="L162" s="2616"/>
      <c r="M162" s="2616"/>
      <c r="N162" s="2618"/>
      <c r="O162" s="2225"/>
      <c r="P162" s="430"/>
      <c r="Q162" s="431"/>
      <c r="R162" s="431" t="s">
        <v>274</v>
      </c>
      <c r="S162" s="1959"/>
      <c r="T162" s="1959"/>
      <c r="U162" s="1959"/>
      <c r="V162" s="1959"/>
      <c r="W162" s="432"/>
      <c r="Y162" s="1372"/>
      <c r="Z162" s="1372"/>
      <c r="AA162" s="1372"/>
      <c r="AB162" s="1372"/>
      <c r="AC162" s="1372"/>
      <c r="AD162" s="1372"/>
      <c r="AE162" s="1372"/>
      <c r="AF162" s="1372"/>
      <c r="AG162" s="1372"/>
      <c r="AH162" s="1372"/>
      <c r="AI162" s="1372"/>
      <c r="AJ162" s="1372"/>
      <c r="AK162" s="1372"/>
    </row>
    <row s="8328" customFormat="1" customHeight="1" ht="17.25">
      <c r="A163" s="1953"/>
      <c r="C163" s="1958"/>
      <c r="D163" s="1943"/>
      <c r="E163" s="1960"/>
      <c r="F163" s="1897"/>
      <c r="G163" s="1961"/>
      <c r="H163" s="2616"/>
      <c r="I163" s="2616"/>
      <c r="J163" s="2646"/>
      <c r="K163" s="2225"/>
      <c r="L163" s="430"/>
      <c r="M163" s="431"/>
      <c r="N163" s="431" t="s">
        <v>351</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8328" customFormat="1" customHeight="1" ht="17.25">
      <c r="A165" s="1953"/>
      <c r="C165" s="1955"/>
      <c r="D165" s="1943"/>
      <c r="E165" s="1960"/>
      <c r="F165" s="1897"/>
      <c r="G165" s="1961"/>
      <c r="H165" s="1943"/>
      <c r="I165" s="1943"/>
      <c r="J165" s="1962"/>
      <c r="K165" s="1873"/>
      <c r="L165" s="2221"/>
      <c r="M165" s="2221" t="s">
        <v>155</v>
      </c>
      <c r="N165" s="2617" t="str">
        <f>IF(Z165="","",INDEX(TERRITORY_MR_LIST,MATCH(Z165,TERRITORY_LIST_ID,0)))</f>
        <v/>
      </c>
      <c r="O165" s="2298" t="s">
        <v>63</v>
      </c>
      <c r="P165" s="2221"/>
      <c r="Q165" s="2221" t="s">
        <v>155</v>
      </c>
      <c r="R165" s="2615" t="s">
        <v>28</v>
      </c>
      <c r="S165" s="2220" t="s">
        <v>63</v>
      </c>
      <c r="T165" s="1924"/>
      <c r="U165" s="1924" t="s">
        <v>155</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832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273</v>
      </c>
      <c r="W166" s="432"/>
      <c r="Y166" s="1372"/>
      <c r="Z166" s="1372"/>
      <c r="AA166" s="1372"/>
      <c r="AB166" s="1372"/>
      <c r="AC166" s="1372"/>
      <c r="AD166" s="1372"/>
      <c r="AE166" s="1372"/>
      <c r="AF166" s="1372"/>
      <c r="AG166" s="1372"/>
      <c r="AH166" s="1372"/>
      <c r="AI166" s="1372"/>
      <c r="AJ166" s="1372"/>
      <c r="AK166" s="1372"/>
    </row>
    <row s="8328" customFormat="1" customHeight="1" ht="17.25">
      <c r="A167" s="1953"/>
      <c r="C167" s="1958"/>
      <c r="D167" s="1943"/>
      <c r="E167" s="1960"/>
      <c r="F167" s="1897"/>
      <c r="G167" s="1961"/>
      <c r="H167" s="1943"/>
      <c r="I167" s="1943"/>
      <c r="J167" s="1962"/>
      <c r="K167" s="1873"/>
      <c r="L167" s="2616"/>
      <c r="M167" s="2616"/>
      <c r="N167" s="2618"/>
      <c r="O167" s="2225"/>
      <c r="P167" s="430"/>
      <c r="Q167" s="431"/>
      <c r="R167" s="431" t="s">
        <v>274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8328" customFormat="1" customHeight="1" ht="17.25">
      <c r="A169" s="1953"/>
      <c r="C169" s="1955"/>
      <c r="D169" s="1943"/>
      <c r="E169" s="1960"/>
      <c r="F169" s="1897"/>
      <c r="G169" s="1961"/>
      <c r="H169" s="1943"/>
      <c r="I169" s="1943"/>
      <c r="J169" s="1962"/>
      <c r="K169" s="1873"/>
      <c r="L169" s="1869"/>
      <c r="M169" s="1869"/>
      <c r="N169" s="2161"/>
      <c r="O169" s="1900"/>
      <c r="P169" s="2221"/>
      <c r="Q169" s="2221" t="s">
        <v>155</v>
      </c>
      <c r="R169" s="2615" t="s">
        <v>28</v>
      </c>
      <c r="S169" s="2220" t="s">
        <v>63</v>
      </c>
      <c r="T169" s="1924"/>
      <c r="U169" s="1924" t="s">
        <v>155</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832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273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832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155</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2959" customFormat="1" customHeight="1" ht="17.25">
      <c r="A174" s="1928" t="s">
        <v>2100</v>
      </c>
    </row>
    <row customHeight="1" ht="17.25">
      <c r="G175" s="1952"/>
      <c r="H175" s="1952"/>
      <c r="I175" s="1952"/>
      <c r="M175" s="1948"/>
    </row>
    <row s="8328" customFormat="1" customHeight="1" ht="17.25">
      <c r="A176" s="1953"/>
      <c r="C176" s="1955"/>
      <c r="D176" s="2642"/>
      <c r="E176" s="2256"/>
      <c r="F176" s="2258"/>
      <c r="G176" s="2644"/>
      <c r="H176" s="2642"/>
      <c r="I176" s="2642">
        <v>1</v>
      </c>
      <c r="J176" s="2614"/>
      <c r="K176" s="2298" t="s">
        <v>63</v>
      </c>
      <c r="L176" s="2221"/>
      <c r="M176" s="2221" t="s">
        <v>155</v>
      </c>
      <c r="N176" s="2617" t="str">
        <f>IF(Z176="","",INDEX(TERRITORY_MR_LIST,MATCH(Z176,TERRITORY_LIST_ID,0)))</f>
        <v/>
      </c>
      <c r="O176" s="2298" t="s">
        <v>63</v>
      </c>
      <c r="P176" s="2221"/>
      <c r="Q176" s="2221" t="s">
        <v>155</v>
      </c>
      <c r="R176" s="2615" t="s">
        <v>28</v>
      </c>
      <c r="S176" s="2519" t="s">
        <v>19</v>
      </c>
      <c r="T176" s="1915"/>
      <c r="U176" s="1915" t="s">
        <v>155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832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8328" customFormat="1" customHeight="1" ht="17.25">
      <c r="A178" s="1953"/>
      <c r="C178" s="1958"/>
      <c r="D178" s="2616"/>
      <c r="E178" s="2643"/>
      <c r="F178" s="2259"/>
      <c r="G178" s="2645"/>
      <c r="H178" s="2616"/>
      <c r="I178" s="2616"/>
      <c r="J178" s="2646"/>
      <c r="K178" s="2299"/>
      <c r="L178" s="2616"/>
      <c r="M178" s="2616"/>
      <c r="N178" s="2618"/>
      <c r="O178" s="2225"/>
      <c r="P178" s="430"/>
      <c r="Q178" s="431"/>
      <c r="R178" s="431" t="s">
        <v>274</v>
      </c>
      <c r="S178" s="1959"/>
      <c r="T178" s="1959"/>
      <c r="U178" s="1959"/>
      <c r="V178" s="1959"/>
      <c r="W178" s="1546"/>
      <c r="Y178" s="1372"/>
      <c r="Z178" s="1372"/>
      <c r="AA178" s="1372"/>
      <c r="AB178" s="1372"/>
      <c r="AC178" s="1372"/>
      <c r="AD178" s="1372"/>
      <c r="AE178" s="1372"/>
      <c r="AF178" s="1372"/>
      <c r="AG178" s="1372"/>
      <c r="AH178" s="1372"/>
      <c r="AI178" s="1372"/>
      <c r="AJ178" s="1372"/>
      <c r="AK178" s="1372"/>
    </row>
    <row s="8328" customFormat="1" customHeight="1" ht="17.25">
      <c r="A179" s="1953"/>
      <c r="C179" s="1958"/>
      <c r="D179" s="2616"/>
      <c r="E179" s="2643"/>
      <c r="F179" s="2259"/>
      <c r="G179" s="2645"/>
      <c r="H179" s="2616"/>
      <c r="I179" s="2616"/>
      <c r="J179" s="2646"/>
      <c r="K179" s="2225"/>
      <c r="L179" s="430"/>
      <c r="M179" s="431"/>
      <c r="N179" s="431" t="s">
        <v>351</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8328" customFormat="1" customHeight="1" ht="17.25">
      <c r="A180" s="1953"/>
      <c r="C180" s="1958"/>
      <c r="D180" s="2616"/>
      <c r="E180" s="2643"/>
      <c r="F180" s="2260"/>
      <c r="G180" s="2645"/>
      <c r="H180" s="430"/>
      <c r="I180" s="431"/>
      <c r="J180" s="431" t="s">
        <v>352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8328" customFormat="1" customHeight="1" ht="17.25">
      <c r="A182" s="1953"/>
      <c r="C182" s="1955"/>
      <c r="D182" s="1943"/>
      <c r="E182" s="1960"/>
      <c r="F182" s="1897"/>
      <c r="G182" s="1961"/>
      <c r="H182" s="2642"/>
      <c r="I182" s="2642">
        <v>1</v>
      </c>
      <c r="J182" s="2614"/>
      <c r="K182" s="2298" t="s">
        <v>63</v>
      </c>
      <c r="L182" s="2221"/>
      <c r="M182" s="2221" t="s">
        <v>155</v>
      </c>
      <c r="N182" s="2617" t="str">
        <f>IF(Z182="","",INDEX(TERRITORY_MR_LIST,MATCH(Z182,TERRITORY_LIST_ID,0)))</f>
        <v/>
      </c>
      <c r="O182" s="2298" t="s">
        <v>63</v>
      </c>
      <c r="P182" s="2221"/>
      <c r="Q182" s="2221" t="s">
        <v>155</v>
      </c>
      <c r="R182" s="2615" t="s">
        <v>28</v>
      </c>
      <c r="S182" s="2519" t="s">
        <v>19</v>
      </c>
      <c r="T182" s="1915"/>
      <c r="U182" s="1915" t="s">
        <v>155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832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8328" customFormat="1" customHeight="1" ht="17.25">
      <c r="A184" s="1953"/>
      <c r="C184" s="1958"/>
      <c r="D184" s="1943"/>
      <c r="E184" s="1960"/>
      <c r="F184" s="1897"/>
      <c r="G184" s="1961"/>
      <c r="H184" s="2616"/>
      <c r="I184" s="2616"/>
      <c r="J184" s="2646"/>
      <c r="K184" s="2299"/>
      <c r="L184" s="2616"/>
      <c r="M184" s="2616"/>
      <c r="N184" s="2618"/>
      <c r="O184" s="2225"/>
      <c r="P184" s="430"/>
      <c r="Q184" s="431"/>
      <c r="R184" s="431" t="s">
        <v>274</v>
      </c>
      <c r="S184" s="1959"/>
      <c r="T184" s="1959"/>
      <c r="U184" s="1959"/>
      <c r="V184" s="1959"/>
      <c r="W184" s="1546"/>
      <c r="Y184" s="1372"/>
      <c r="Z184" s="1372"/>
      <c r="AA184" s="1372"/>
      <c r="AB184" s="1372"/>
      <c r="AC184" s="1372"/>
      <c r="AD184" s="1372"/>
      <c r="AE184" s="1372"/>
      <c r="AF184" s="1372"/>
      <c r="AG184" s="1372"/>
      <c r="AH184" s="1372"/>
      <c r="AI184" s="1372"/>
      <c r="AJ184" s="1372"/>
      <c r="AK184" s="1372"/>
    </row>
    <row s="8328" customFormat="1" customHeight="1" ht="17.25">
      <c r="A185" s="1953"/>
      <c r="C185" s="1958"/>
      <c r="D185" s="1943"/>
      <c r="E185" s="1960"/>
      <c r="F185" s="1897"/>
      <c r="G185" s="1961"/>
      <c r="H185" s="2616"/>
      <c r="I185" s="2616"/>
      <c r="J185" s="2646"/>
      <c r="K185" s="2225"/>
      <c r="L185" s="430"/>
      <c r="M185" s="431"/>
      <c r="N185" s="431" t="s">
        <v>351</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8328" customFormat="1" customHeight="1" ht="17.25">
      <c r="A187" s="1953"/>
      <c r="C187" s="1955"/>
      <c r="D187" s="1943"/>
      <c r="E187" s="1960"/>
      <c r="F187" s="1897"/>
      <c r="G187" s="1961"/>
      <c r="H187" s="1943"/>
      <c r="I187" s="1943"/>
      <c r="J187" s="1964"/>
      <c r="K187" s="1961"/>
      <c r="L187" s="2221"/>
      <c r="M187" s="2221" t="s">
        <v>155</v>
      </c>
      <c r="N187" s="2617" t="str">
        <f>IF(Z187="","",INDEX(TERRITORY_MR_LIST,MATCH(Z187,TERRITORY_LIST_ID,0)))</f>
        <v/>
      </c>
      <c r="O187" s="2298" t="s">
        <v>63</v>
      </c>
      <c r="P187" s="2221"/>
      <c r="Q187" s="2221" t="s">
        <v>155</v>
      </c>
      <c r="R187" s="2615" t="s">
        <v>28</v>
      </c>
      <c r="S187" s="2519" t="s">
        <v>19</v>
      </c>
      <c r="T187" s="1915"/>
      <c r="U187" s="1915" t="s">
        <v>155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832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8328" customFormat="1" customHeight="1" ht="17.25">
      <c r="A189" s="1953"/>
      <c r="C189" s="1958"/>
      <c r="D189" s="1943"/>
      <c r="E189" s="1960"/>
      <c r="F189" s="1897"/>
      <c r="G189" s="1961"/>
      <c r="H189" s="1943"/>
      <c r="I189" s="1943"/>
      <c r="J189" s="1964"/>
      <c r="K189" s="1961"/>
      <c r="L189" s="2616"/>
      <c r="M189" s="2616"/>
      <c r="N189" s="2618"/>
      <c r="O189" s="2225"/>
      <c r="P189" s="430"/>
      <c r="Q189" s="431"/>
      <c r="R189" s="431" t="s">
        <v>274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8328" customFormat="1" customHeight="1" ht="17.25">
      <c r="A191" s="1953"/>
      <c r="C191" s="1955"/>
      <c r="D191" s="1943"/>
      <c r="E191" s="1960"/>
      <c r="F191" s="1897"/>
      <c r="G191" s="1961"/>
      <c r="H191" s="1943"/>
      <c r="I191" s="1943"/>
      <c r="J191" s="1964"/>
      <c r="K191" s="1961"/>
      <c r="L191" s="1943"/>
      <c r="M191" s="1943"/>
      <c r="N191" s="2161"/>
      <c r="O191" s="1900"/>
      <c r="P191" s="2221"/>
      <c r="Q191" s="2221" t="s">
        <v>155</v>
      </c>
      <c r="R191" s="2615" t="s">
        <v>28</v>
      </c>
      <c r="S191" s="2519" t="s">
        <v>19</v>
      </c>
      <c r="T191" s="1915"/>
      <c r="U191" s="1915" t="s">
        <v>155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832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2959" customFormat="1" customHeight="1" ht="17.25">
      <c r="A200" s="1928" t="s">
        <v>2101</v>
      </c>
    </row>
    <row customHeight="1" ht="17.25">
      <c r="G201" s="1952"/>
      <c r="H201" s="1952"/>
      <c r="I201" s="1952"/>
      <c r="M201" s="1948"/>
    </row>
    <row s="8252" customFormat="1" customHeight="1" ht="15">
      <c r="D202" s="2636"/>
      <c r="E202" s="2312"/>
      <c r="F202" s="2312"/>
      <c r="G202" s="2298"/>
      <c r="H202" s="1677"/>
      <c r="I202" s="2640">
        <v>1</v>
      </c>
      <c r="J202" s="2614"/>
      <c r="K202" s="1692"/>
      <c r="L202" s="2298" t="s">
        <v>63</v>
      </c>
      <c r="M202" s="2298" t="s">
        <v>63</v>
      </c>
      <c r="N202" s="1677"/>
      <c r="O202" s="2221" t="s">
        <v>155</v>
      </c>
      <c r="P202" s="2630"/>
      <c r="Q202" s="1693"/>
      <c r="R202" s="2298" t="s">
        <v>63</v>
      </c>
      <c r="S202" s="2298" t="s">
        <v>63</v>
      </c>
      <c r="T202" s="1968"/>
      <c r="U202" s="2221" t="s">
        <v>155</v>
      </c>
      <c r="V202" s="2637" t="str">
        <f>IF(AK202="","",INDEX(TERRITORY_MR_LIST,MATCH(AK202,TERRITORY_LIST_ID,0)))</f>
        <v/>
      </c>
      <c r="W202" s="1694"/>
      <c r="X202" s="2298" t="s">
        <v>63</v>
      </c>
      <c r="Y202" s="2298" t="s">
        <v>19</v>
      </c>
      <c r="Z202" s="1677"/>
      <c r="AA202" s="2221" t="s">
        <v>155</v>
      </c>
      <c r="AB202" s="2639"/>
      <c r="AC202" s="1695"/>
      <c r="AD202" s="2298" t="s">
        <v>63</v>
      </c>
      <c r="AE202" s="2298" t="s">
        <v>19</v>
      </c>
      <c r="AF202" s="1675"/>
      <c r="AG202" s="1924" t="s">
        <v>155</v>
      </c>
      <c r="AH202" s="1685"/>
      <c r="AI202" s="1914"/>
    </row>
    <row s="825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2102</v>
      </c>
      <c r="AI203" s="2632"/>
    </row>
    <row s="825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2103</v>
      </c>
      <c r="AC204" s="2633"/>
      <c r="AD204" s="2633"/>
      <c r="AE204" s="2633"/>
      <c r="AF204" s="2633"/>
      <c r="AG204" s="2633"/>
      <c r="AH204" s="2633"/>
      <c r="AI204" s="2634"/>
    </row>
    <row s="825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184</v>
      </c>
      <c r="W205" s="2631"/>
      <c r="X205" s="2631"/>
      <c r="Y205" s="2631"/>
      <c r="Z205" s="2631"/>
      <c r="AA205" s="2631"/>
      <c r="AB205" s="2631"/>
      <c r="AC205" s="2631"/>
      <c r="AD205" s="2631"/>
      <c r="AE205" s="2631"/>
      <c r="AF205" s="2631"/>
      <c r="AG205" s="2631"/>
      <c r="AH205" s="2631"/>
      <c r="AI205" s="2632"/>
    </row>
    <row s="8252" customFormat="1" customHeight="1" ht="11.25">
      <c r="D206" s="2636"/>
      <c r="E206" s="2312"/>
      <c r="F206" s="2312"/>
      <c r="G206" s="2299"/>
      <c r="H206" s="1681"/>
      <c r="I206" s="2640"/>
      <c r="J206" s="2641"/>
      <c r="K206" s="1676"/>
      <c r="L206" s="2299"/>
      <c r="M206" s="2299"/>
      <c r="N206" s="1681"/>
      <c r="O206" s="1682"/>
      <c r="P206" s="2631" t="s">
        <v>2104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8599" customFormat="1" customHeight="1" ht="11.25">
      <c r="D207" s="2636"/>
      <c r="E207" s="2312"/>
      <c r="F207" s="2312"/>
      <c r="G207" s="2225"/>
      <c r="H207" s="1683"/>
      <c r="I207" s="1684"/>
      <c r="J207" s="2631" t="s">
        <v>352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825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825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825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825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825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859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5D21F-F7B8-182A-0DE7-C2A33080E9D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251" width="43.140625"/>
    <col min="2" max="2" style="13251" width="43.140625" hidden="1"/>
    <col min="3" max="3" style="13251" width="43.140625"/>
    <col min="4" max="5" style="13251" width="36.421875" customWidth="1"/>
    <col min="6" max="8" style="13252" width="36.421875" customWidth="1"/>
  </cols>
  <sheetData>
    <row customHeight="1" ht="9">
      <c r="A1" s="959" t="s">
        <v>2105</v>
      </c>
      <c r="B1" s="959"/>
      <c r="C1" s="1095" t="s">
        <v>2106</v>
      </c>
      <c r="D1" s="1093" t="s">
        <v>961</v>
      </c>
      <c r="E1" s="1093" t="s">
        <v>1007</v>
      </c>
      <c r="F1" s="1093" t="s">
        <v>1060</v>
      </c>
      <c r="G1" s="1093" t="s">
        <v>1047</v>
      </c>
      <c r="H1" s="1093" t="s">
        <v>1779</v>
      </c>
    </row>
    <row customHeight="1" ht="9">
      <c r="A2" s="1096" t="s">
        <v>2107</v>
      </c>
      <c r="B2" s="1096"/>
      <c r="C2" s="1097" t="str">
        <f>INDEX(TEMPLATE_NUMBER_FORM_LIST,MATCH(TEMPLATE_SPHERE,TEMPLATE_SPHERE_LIST,0))</f>
        <v>16</v>
      </c>
      <c r="D2" s="1096" t="s">
        <v>117</v>
      </c>
      <c r="E2" s="1096" t="s">
        <v>144</v>
      </c>
      <c r="F2" s="1098" t="s">
        <v>144</v>
      </c>
      <c r="G2" s="1096" t="s">
        <v>144</v>
      </c>
      <c r="H2" s="1099"/>
    </row>
    <row customHeight="1" ht="63">
      <c r="A3" s="959"/>
      <c r="B3" s="959" t="s">
        <v>155</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2108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2109</v>
      </c>
      <c r="B4" s="959" t="s">
        <v>105</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2110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2111</v>
      </c>
    </row>
    <row customHeight="1" ht="117">
      <c r="A5" s="959" t="s">
        <v>2112</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2113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2114</v>
      </c>
    </row>
    <row customHeight="1" ht="90">
      <c r="A6" s="959" t="s">
        <v>2115</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2116</v>
      </c>
      <c r="B7" s="959" t="s">
        <v>120</v>
      </c>
      <c r="C7" s="1097" t="str">
        <f>IF(TEMPLATE_SPHERE="HEAT",D7,E7)</f>
        <v>Форма 11. Информация о расходах на капитальный и текущий ремонт основных средств</v>
      </c>
      <c r="D7" s="959" t="s">
        <v>2117</v>
      </c>
      <c r="E7" s="959" t="s">
        <v>2118</v>
      </c>
      <c r="F7" s="1099"/>
      <c r="G7" s="1099"/>
      <c r="H7" s="1099"/>
    </row>
    <row customHeight="1" ht="108">
      <c r="A8" s="959" t="s">
        <v>2119</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1332</v>
      </c>
      <c r="E8" s="959" t="s">
        <v>2120</v>
      </c>
      <c r="F8" s="1099"/>
      <c r="G8" s="1099"/>
      <c r="H8" s="1099"/>
    </row>
    <row customHeight="1" ht="99">
      <c r="A9" s="959" t="s">
        <v>2121</v>
      </c>
      <c r="B9" s="959"/>
      <c r="C9" s="959" t="s">
        <v>2122</v>
      </c>
      <c r="D9" s="959"/>
      <c r="E9" s="959"/>
      <c r="F9" s="1099"/>
      <c r="G9" s="1099"/>
      <c r="H9" s="1099"/>
    </row>
    <row customHeight="1" ht="126">
      <c r="A10" s="959" t="s">
        <v>2123</v>
      </c>
      <c r="B10" s="959"/>
      <c r="C10" s="959" t="s">
        <v>2124</v>
      </c>
      <c r="D10" s="959"/>
      <c r="E10" s="959"/>
      <c r="F10" s="1099"/>
      <c r="G10" s="1099"/>
      <c r="H10" s="1099"/>
    </row>
    <row customHeight="1" ht="108">
      <c r="A11" s="959" t="s">
        <v>2125</v>
      </c>
      <c r="B11" s="959"/>
      <c r="C11" s="959" t="s">
        <v>2126</v>
      </c>
      <c r="D11" s="959"/>
      <c r="E11" s="959"/>
      <c r="F11" s="1099"/>
      <c r="G11" s="1099"/>
      <c r="H11" s="1099"/>
    </row>
    <row customHeight="1" ht="54">
      <c r="A12" s="959" t="s">
        <v>2127</v>
      </c>
      <c r="B12" s="959"/>
      <c r="C12" s="959" t="s">
        <v>2128</v>
      </c>
      <c r="D12" s="959"/>
      <c r="E12" s="959"/>
      <c r="F12" s="1099"/>
      <c r="G12" s="1099"/>
      <c r="H12" s="1099"/>
    </row>
    <row customHeight="1" ht="45">
      <c r="A13" s="959" t="s">
        <v>2129</v>
      </c>
      <c r="B13" s="959"/>
      <c r="C13" s="959" t="s">
        <v>2130</v>
      </c>
      <c r="D13" s="959"/>
      <c r="E13" s="959"/>
      <c r="F13" s="1099"/>
      <c r="G13" s="1099"/>
      <c r="H13" s="1099"/>
    </row>
    <row customHeight="1" ht="117">
      <c r="A14" s="959" t="s">
        <v>2131</v>
      </c>
      <c r="B14" s="959"/>
      <c r="C14" s="959" t="s">
        <v>2132</v>
      </c>
      <c r="D14" s="959"/>
      <c r="E14" s="959"/>
      <c r="F14" s="1099"/>
      <c r="G14" s="1099"/>
      <c r="H14" s="1099"/>
    </row>
    <row customHeight="1" ht="117">
      <c r="A15" s="959" t="s">
        <v>2133</v>
      </c>
      <c r="B15" s="959"/>
      <c r="C15" s="959" t="s">
        <v>2134</v>
      </c>
      <c r="D15" s="959"/>
      <c r="E15" s="959"/>
      <c r="F15" s="1099"/>
      <c r="G15" s="1099"/>
      <c r="H15" s="1099"/>
    </row>
    <row customHeight="1" ht="63">
      <c r="A16" s="959" t="s">
        <v>2135</v>
      </c>
      <c r="B16" s="959"/>
      <c r="C16" s="959" t="s">
        <v>2136</v>
      </c>
      <c r="D16" s="959"/>
      <c r="E16" s="959"/>
      <c r="F16" s="1099"/>
      <c r="G16" s="1099"/>
      <c r="H16" s="1099"/>
    </row>
    <row customHeight="1" ht="54">
      <c r="A17" s="959" t="s">
        <v>2137</v>
      </c>
      <c r="B17" s="959"/>
      <c r="C17" s="1097" t="s">
        <v>2138</v>
      </c>
      <c r="D17" s="959"/>
      <c r="E17" s="959"/>
      <c r="F17" s="1099"/>
      <c r="G17" s="1099"/>
      <c r="H17" s="1099"/>
    </row>
    <row customHeight="1" ht="27">
      <c r="A18" s="959" t="s">
        <v>2139</v>
      </c>
      <c r="B18" s="959"/>
      <c r="C18" s="1097" t="s">
        <v>2140</v>
      </c>
      <c r="D18" s="959"/>
      <c r="E18" s="959"/>
      <c r="F18" s="1099"/>
      <c r="G18" s="1099"/>
      <c r="H18" s="1099"/>
    </row>
    <row customHeight="1" ht="54">
      <c r="A19" s="959" t="s">
        <v>2141</v>
      </c>
      <c r="B19" s="959"/>
      <c r="C19" s="1097" t="s">
        <v>2142</v>
      </c>
      <c r="D19" s="959"/>
      <c r="E19" s="959"/>
      <c r="F19" s="1099"/>
      <c r="G19" s="1099"/>
      <c r="H19" s="1099"/>
    </row>
    <row customHeight="1" ht="36">
      <c r="A20" s="959" t="s">
        <v>2143</v>
      </c>
      <c r="B20" s="959"/>
      <c r="C20" s="1097" t="s">
        <v>2144</v>
      </c>
      <c r="D20" s="959"/>
      <c r="E20" s="959"/>
      <c r="F20" s="1099"/>
      <c r="G20" s="1099"/>
      <c r="H20" s="1099"/>
    </row>
    <row customHeight="1" ht="36">
      <c r="A21" s="959" t="s">
        <v>2145</v>
      </c>
      <c r="B21" s="959"/>
      <c r="C21" s="1097" t="s">
        <v>2146</v>
      </c>
      <c r="D21" s="959"/>
      <c r="E21" s="959"/>
      <c r="F21" s="1099"/>
      <c r="G21" s="1099"/>
      <c r="H21" s="1099"/>
    </row>
    <row customHeight="1" ht="27">
      <c r="A22" s="959" t="s">
        <v>2147</v>
      </c>
      <c r="B22" s="959"/>
      <c r="C22" s="1097" t="s">
        <v>2148</v>
      </c>
      <c r="D22" s="959"/>
      <c r="E22" s="959"/>
      <c r="F22" s="1099"/>
      <c r="G22" s="1099"/>
      <c r="H22" s="1099"/>
    </row>
    <row customHeight="1" ht="36">
      <c r="A23" s="959" t="s">
        <v>2149</v>
      </c>
      <c r="B23" s="959"/>
      <c r="C23" s="1097" t="s">
        <v>2150</v>
      </c>
      <c r="D23" s="959"/>
      <c r="E23" s="959"/>
      <c r="F23" s="1099"/>
      <c r="G23" s="1099"/>
      <c r="H23" s="1099"/>
    </row>
    <row customHeight="1" ht="28.5">
      <c r="A24" s="959" t="s">
        <v>2151</v>
      </c>
      <c r="B24" s="959"/>
      <c r="C24" s="1097" t="s">
        <v>2152</v>
      </c>
      <c r="D24" s="959"/>
      <c r="E24" s="959"/>
      <c r="F24" s="1099"/>
      <c r="G24" s="1099"/>
      <c r="H24" s="1099"/>
    </row>
    <row customHeight="1" ht="36">
      <c r="A25" s="959" t="s">
        <v>2153</v>
      </c>
      <c r="B25" s="959"/>
      <c r="C25" s="1097" t="s">
        <v>2154</v>
      </c>
      <c r="D25" s="959"/>
      <c r="E25" s="959"/>
      <c r="F25" s="1099"/>
      <c r="G25" s="1099"/>
      <c r="H25" s="1099"/>
    </row>
    <row customHeight="1" ht="27">
      <c r="A26" s="959" t="s">
        <v>2155</v>
      </c>
      <c r="B26" s="959"/>
      <c r="C26" s="1097" t="s">
        <v>2156</v>
      </c>
      <c r="D26" s="959"/>
      <c r="E26" s="959"/>
      <c r="F26" s="1099"/>
      <c r="G26" s="1099"/>
      <c r="H26" s="1099"/>
    </row>
    <row customHeight="1" ht="36">
      <c r="A27" s="959" t="s">
        <v>2157</v>
      </c>
      <c r="B27" s="959"/>
      <c r="C27" s="1097" t="s">
        <v>2158</v>
      </c>
      <c r="D27" s="959"/>
      <c r="E27" s="959"/>
      <c r="F27" s="1099"/>
      <c r="G27" s="1099"/>
      <c r="H27" s="1099"/>
    </row>
    <row customHeight="1" ht="28.5">
      <c r="A28" s="959" t="s">
        <v>2159</v>
      </c>
      <c r="B28" s="959"/>
      <c r="C28" s="1097" t="s">
        <v>2160</v>
      </c>
      <c r="D28" s="959"/>
      <c r="E28" s="959"/>
      <c r="F28" s="1099"/>
      <c r="G28" s="1099"/>
      <c r="H28" s="1099"/>
    </row>
    <row customHeight="1" ht="126">
      <c r="A29" s="959" t="s">
        <v>2161</v>
      </c>
      <c r="B29" s="959" t="s">
        <v>150</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2162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2163</v>
      </c>
    </row>
    <row customHeight="1" ht="36">
      <c r="A30" s="959" t="s">
        <v>2164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2165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2166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2167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2168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2169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2170</v>
      </c>
    </row>
    <row customHeight="1" ht="9">
      <c r="A33" s="959"/>
      <c r="B33" s="959"/>
      <c r="C33" s="1097"/>
      <c r="D33" s="959"/>
      <c r="E33" s="959"/>
      <c r="F33" s="1099"/>
      <c r="G33" s="1099"/>
      <c r="H33" s="1099"/>
    </row>
    <row customHeight="1" ht="9">
      <c r="A34" s="959"/>
      <c r="B34" s="959" t="s">
        <v>166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2997B7-9BA7-0ACD-B596-65BD2AAAD8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251" width="9.140625"/>
    <col min="3" max="7" style="13295" width="8.00390625" customWidth="1"/>
    <col min="8" max="12" style="13295" width="8.57421875" customWidth="1"/>
    <col min="13" max="14" style="13295" width="27.7109375" customWidth="1"/>
    <col min="15" max="19" style="13295" width="5.140625" customWidth="1"/>
    <col min="20" max="24" style="13295" width="27.7109375" customWidth="1"/>
    <col min="25" max="25" style="13296" width="1.8515625" customWidth="1"/>
    <col min="26" max="26" style="13251" width="27.7109375" customWidth="1"/>
    <col min="27" max="27" style="13297" width="27.7109375" customWidth="1"/>
    <col min="28" max="29" style="13251" width="27.7109375" customWidth="1"/>
    <col min="30" max="30" style="13251" width="3.8515625" customWidth="1"/>
    <col min="31" max="34" style="13251" width="9.140625"/>
  </cols>
  <sheetData>
    <row s="13253" customFormat="1" customHeight="1" ht="18">
      <c r="A1" s="1011"/>
      <c r="B1" s="1011"/>
      <c r="C1" s="1011" t="s">
        <v>2171</v>
      </c>
      <c r="D1" s="1011"/>
      <c r="E1" s="1011"/>
      <c r="F1" s="1011"/>
      <c r="G1" s="1011"/>
      <c r="H1" s="1011" t="s">
        <v>2172</v>
      </c>
      <c r="I1" s="1011"/>
      <c r="J1" s="1011"/>
      <c r="K1" s="1011"/>
      <c r="L1" s="1011"/>
      <c r="M1" s="1011" t="s">
        <v>2173</v>
      </c>
      <c r="N1" s="1011" t="s">
        <v>2174</v>
      </c>
      <c r="O1" s="2705" t="s">
        <v>2175</v>
      </c>
      <c r="P1" s="2705"/>
      <c r="Q1" s="2705"/>
      <c r="R1" s="2705"/>
      <c r="S1" s="2705"/>
      <c r="T1" s="2705" t="s">
        <v>2173</v>
      </c>
      <c r="U1" s="2705"/>
      <c r="V1" s="2705"/>
      <c r="W1" s="2705"/>
      <c r="X1" s="2705"/>
      <c r="Y1" s="1112"/>
      <c r="Z1" s="2705" t="s">
        <v>2176</v>
      </c>
      <c r="AA1" s="2705"/>
      <c r="AB1" s="2705"/>
      <c r="AC1" s="2705"/>
      <c r="AD1" s="2705"/>
    </row>
    <row customHeight="1" ht="18">
      <c r="A2" s="959"/>
      <c r="B2" s="959"/>
      <c r="C2" s="954" t="s">
        <v>961</v>
      </c>
      <c r="D2" s="954" t="s">
        <v>1007</v>
      </c>
      <c r="E2" s="954" t="s">
        <v>1060</v>
      </c>
      <c r="F2" s="954" t="s">
        <v>1047</v>
      </c>
      <c r="G2" s="954" t="s">
        <v>1779</v>
      </c>
      <c r="H2" s="956"/>
      <c r="I2" s="956"/>
      <c r="J2" s="956"/>
      <c r="K2" s="956"/>
      <c r="L2" s="956"/>
      <c r="M2" s="956"/>
      <c r="N2" s="956"/>
      <c r="O2" s="954" t="s">
        <v>961</v>
      </c>
      <c r="P2" s="954" t="s">
        <v>1007</v>
      </c>
      <c r="Q2" s="954" t="s">
        <v>1047</v>
      </c>
      <c r="R2" s="954" t="s">
        <v>1060</v>
      </c>
      <c r="S2" s="954" t="s">
        <v>1779</v>
      </c>
      <c r="T2" s="954" t="s">
        <v>961</v>
      </c>
      <c r="U2" s="954" t="s">
        <v>1007</v>
      </c>
      <c r="V2" s="954" t="s">
        <v>1047</v>
      </c>
      <c r="W2" s="954" t="s">
        <v>1060</v>
      </c>
      <c r="X2" s="954" t="s">
        <v>1779</v>
      </c>
      <c r="Y2" s="954"/>
      <c r="Z2" s="954" t="s">
        <v>961</v>
      </c>
      <c r="AA2" s="963" t="s">
        <v>1007</v>
      </c>
      <c r="AB2" s="954" t="s">
        <v>1047</v>
      </c>
      <c r="AC2" s="954" t="s">
        <v>1060</v>
      </c>
      <c r="AD2" s="954" t="s">
        <v>1779</v>
      </c>
    </row>
    <row customHeight="1" ht="162">
      <c r="A3" s="958" t="s">
        <v>26</v>
      </c>
      <c r="B3" s="958"/>
      <c r="C3" s="2709" t="s">
        <v>2177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2178</v>
      </c>
      <c r="AA3" s="956" t="s">
        <v>2179</v>
      </c>
      <c r="AB3" s="959" t="s">
        <v>2180</v>
      </c>
      <c r="AC3" s="959" t="s">
        <v>2181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136</v>
      </c>
      <c r="D11" s="2712" t="s">
        <v>1719</v>
      </c>
      <c r="E11" s="2712" t="s">
        <v>1812</v>
      </c>
      <c r="F11" s="2712" t="s">
        <v>2182</v>
      </c>
      <c r="G11" s="2712"/>
      <c r="H11" s="1011" t="s">
        <v>2183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2184</v>
      </c>
      <c r="U11" s="956" t="s">
        <v>2185</v>
      </c>
      <c r="V11" s="956"/>
      <c r="W11" s="956"/>
      <c r="X11" s="956"/>
      <c r="Y11" s="1113"/>
      <c r="Z11" s="959" t="s">
        <v>2186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2187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2188</v>
      </c>
      <c r="U12" s="956" t="s">
        <v>2189</v>
      </c>
      <c r="V12" s="956"/>
      <c r="W12" s="956"/>
      <c r="X12" s="956"/>
      <c r="Y12" s="1113"/>
      <c r="Z12" s="959" t="s">
        <v>2190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2191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2192</v>
      </c>
      <c r="U13" s="957" t="s">
        <v>2193</v>
      </c>
      <c r="V13" s="957"/>
      <c r="W13" s="957"/>
      <c r="X13" s="956"/>
      <c r="Y13" s="1113"/>
      <c r="Z13" s="959" t="s">
        <v>2194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2195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2196</v>
      </c>
      <c r="AA14" s="962" t="s">
        <v>2196</v>
      </c>
      <c r="AB14" s="959"/>
      <c r="AC14" s="959"/>
      <c r="AD14" s="959"/>
    </row>
    <row customHeight="1" ht="108">
      <c r="A15" s="2706"/>
      <c r="B15" s="1012">
        <v>5</v>
      </c>
      <c r="C15" s="2713"/>
      <c r="D15" s="2713"/>
      <c r="E15" s="2713"/>
      <c r="F15" s="2713"/>
      <c r="G15" s="2713"/>
      <c r="H15" s="2707" t="s">
        <v>2197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2198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2199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2199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1815</v>
      </c>
      <c r="B18" s="1012">
        <v>1</v>
      </c>
      <c r="C18" s="956" t="s">
        <v>2183</v>
      </c>
      <c r="D18" s="1080" t="s">
        <v>2183</v>
      </c>
      <c r="E18" s="956" t="s">
        <v>2183</v>
      </c>
      <c r="F18" s="956" t="s">
        <v>2183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2200</v>
      </c>
      <c r="U18" s="959" t="s">
        <v>2201</v>
      </c>
      <c r="V18" s="959" t="s">
        <v>2202</v>
      </c>
      <c r="W18" s="959" t="s">
        <v>2203</v>
      </c>
      <c r="X18" s="956"/>
      <c r="Y18" s="1113"/>
      <c r="Z18" s="959" t="s">
        <v>2204</v>
      </c>
      <c r="AA18" s="962" t="s">
        <v>2205</v>
      </c>
      <c r="AB18" s="962" t="s">
        <v>2205</v>
      </c>
      <c r="AC18" s="962" t="s">
        <v>2205</v>
      </c>
      <c r="AD18" s="959"/>
    </row>
    <row customHeight="1" ht="36">
      <c r="A19" s="958"/>
      <c r="B19" s="1012">
        <v>2</v>
      </c>
      <c r="C19" s="956" t="s">
        <v>2187</v>
      </c>
      <c r="D19" s="1080" t="s">
        <v>2187</v>
      </c>
      <c r="E19" s="956" t="s">
        <v>2187</v>
      </c>
      <c r="F19" s="956" t="s">
        <v>2187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2206</v>
      </c>
      <c r="U19" s="959" t="s">
        <v>2207</v>
      </c>
      <c r="V19" s="959" t="s">
        <v>2208</v>
      </c>
      <c r="W19" s="959" t="s">
        <v>2209</v>
      </c>
      <c r="X19" s="956"/>
      <c r="Y19" s="1113"/>
      <c r="Z19" s="959" t="s">
        <v>2210</v>
      </c>
      <c r="AA19" s="962" t="s">
        <v>2210</v>
      </c>
      <c r="AB19" s="962" t="s">
        <v>2210</v>
      </c>
      <c r="AC19" s="962" t="s">
        <v>2210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862</v>
      </c>
      <c r="P20" s="1070" t="s">
        <v>862</v>
      </c>
      <c r="Q20" s="1070" t="s">
        <v>862</v>
      </c>
      <c r="R20" s="1070" t="s">
        <v>862</v>
      </c>
      <c r="S20" s="1070"/>
      <c r="T20" s="1077" t="s">
        <v>2211</v>
      </c>
      <c r="U20" s="959" t="s">
        <v>2212</v>
      </c>
      <c r="V20" s="959" t="s">
        <v>2213</v>
      </c>
      <c r="W20" s="959" t="s">
        <v>2214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462</v>
      </c>
      <c r="P21" s="1070"/>
      <c r="Q21" s="1070"/>
      <c r="R21" s="1070"/>
      <c r="S21" s="1070"/>
      <c r="T21" s="1077" t="s">
        <v>2215</v>
      </c>
      <c r="U21" s="959"/>
      <c r="V21" s="959"/>
      <c r="W21" s="959"/>
      <c r="X21" s="956"/>
      <c r="Y21" s="1113"/>
      <c r="Z21" s="959" t="s">
        <v>2216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462</v>
      </c>
      <c r="R22" s="1070"/>
      <c r="S22" s="1070"/>
      <c r="T22" s="1077"/>
      <c r="U22" s="959"/>
      <c r="V22" s="959" t="s">
        <v>2217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465</v>
      </c>
      <c r="R23" s="1070"/>
      <c r="S23" s="1070"/>
      <c r="T23" s="1077"/>
      <c r="U23" s="959"/>
      <c r="V23" s="959" t="s">
        <v>2218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882</v>
      </c>
      <c r="R24" s="1070"/>
      <c r="S24" s="1070"/>
      <c r="T24" s="1077"/>
      <c r="U24" s="959"/>
      <c r="V24" s="959" t="s">
        <v>2219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465</v>
      </c>
      <c r="P25" s="1070" t="s">
        <v>462</v>
      </c>
      <c r="Q25" s="1070" t="s">
        <v>889</v>
      </c>
      <c r="R25" s="1070" t="s">
        <v>462</v>
      </c>
      <c r="S25" s="1070"/>
      <c r="T25" s="1077" t="s">
        <v>2220</v>
      </c>
      <c r="U25" s="959" t="s">
        <v>2220</v>
      </c>
      <c r="V25" s="959" t="s">
        <v>2220</v>
      </c>
      <c r="W25" s="959" t="s">
        <v>2220</v>
      </c>
      <c r="X25" s="956"/>
      <c r="Y25" s="1113"/>
      <c r="Z25" s="959"/>
      <c r="AA25" s="962"/>
      <c r="AB25" s="959"/>
      <c r="AC25" s="959"/>
      <c r="AD25" s="959"/>
    </row>
    <row customHeight="1" ht="18">
      <c r="A26" s="958"/>
      <c r="B26" s="1012">
        <v>9</v>
      </c>
      <c r="C26" s="956" t="s">
        <v>806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878</v>
      </c>
      <c r="P26" s="1070" t="s">
        <v>872</v>
      </c>
      <c r="Q26" s="1070" t="s">
        <v>2221</v>
      </c>
      <c r="R26" s="1070" t="s">
        <v>872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2222</v>
      </c>
      <c r="V26" s="1077" t="s">
        <v>2222</v>
      </c>
      <c r="W26" s="1077" t="s">
        <v>2222</v>
      </c>
      <c r="X26" s="956"/>
      <c r="Y26" s="1113"/>
      <c r="Z26" s="959"/>
      <c r="AA26" s="962"/>
      <c r="AB26" s="959"/>
      <c r="AC26" s="959"/>
      <c r="AD26" s="959"/>
    </row>
    <row customHeight="1" ht="18">
      <c r="A27" s="958"/>
      <c r="B27" s="1012">
        <v>10</v>
      </c>
      <c r="C27" s="956" t="s">
        <v>810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880</v>
      </c>
      <c r="P27" s="1070" t="s">
        <v>874</v>
      </c>
      <c r="Q27" s="1070" t="s">
        <v>2223</v>
      </c>
      <c r="R27" s="1070" t="s">
        <v>874</v>
      </c>
      <c r="S27" s="1070"/>
      <c r="T27" s="1077" t="s">
        <v>2224</v>
      </c>
      <c r="U27" s="1077" t="s">
        <v>2224</v>
      </c>
      <c r="V27" s="1077" t="s">
        <v>2224</v>
      </c>
      <c r="W27" s="1077" t="s">
        <v>2224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882</v>
      </c>
      <c r="P28" s="1070"/>
      <c r="Q28" s="1070"/>
      <c r="R28" s="1070"/>
      <c r="S28" s="1070"/>
      <c r="T28" s="1077" t="s">
        <v>2225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889</v>
      </c>
      <c r="P29" s="1070" t="s">
        <v>465</v>
      </c>
      <c r="Q29" s="1070"/>
      <c r="R29" s="1070" t="s">
        <v>465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2226</v>
      </c>
      <c r="V29" s="959"/>
      <c r="W29" s="959" t="s">
        <v>2226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891</v>
      </c>
      <c r="P30" s="1070" t="s">
        <v>882</v>
      </c>
      <c r="Q30" s="1070" t="s">
        <v>891</v>
      </c>
      <c r="R30" s="1070" t="s">
        <v>882</v>
      </c>
      <c r="S30" s="1070"/>
      <c r="T30" s="1077" t="s">
        <v>2227</v>
      </c>
      <c r="U30" s="959" t="s">
        <v>2227</v>
      </c>
      <c r="V30" s="959" t="s">
        <v>2227</v>
      </c>
      <c r="W30" s="959" t="s">
        <v>2227</v>
      </c>
      <c r="X30" s="956"/>
      <c r="Y30" s="1113"/>
      <c r="Z30" s="959"/>
      <c r="AA30" s="962" t="s">
        <v>2228</v>
      </c>
      <c r="AB30" s="962" t="s">
        <v>2228</v>
      </c>
      <c r="AC30" s="962" t="s">
        <v>2228</v>
      </c>
      <c r="AD30" s="959"/>
    </row>
    <row customHeight="1" ht="18">
      <c r="A31" s="958"/>
      <c r="B31" s="1012">
        <v>14</v>
      </c>
      <c r="C31" s="956" t="s">
        <v>2229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2230</v>
      </c>
      <c r="P31" s="1070" t="s">
        <v>885</v>
      </c>
      <c r="Q31" s="1070" t="s">
        <v>2230</v>
      </c>
      <c r="R31" s="1070" t="s">
        <v>885</v>
      </c>
      <c r="S31" s="1070"/>
      <c r="T31" s="1078" t="s">
        <v>2231</v>
      </c>
      <c r="U31" s="959" t="s">
        <v>2231</v>
      </c>
      <c r="V31" s="959" t="s">
        <v>2231</v>
      </c>
      <c r="W31" s="959" t="s">
        <v>2231</v>
      </c>
      <c r="X31" s="956"/>
      <c r="Y31" s="1113"/>
      <c r="Z31" s="959"/>
      <c r="AA31" s="962"/>
      <c r="AB31" s="962"/>
      <c r="AC31" s="962"/>
      <c r="AD31" s="959"/>
    </row>
    <row customHeight="1" ht="36">
      <c r="A32" s="958"/>
      <c r="B32" s="1012">
        <v>15</v>
      </c>
      <c r="C32" s="956" t="s">
        <v>2232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2233</v>
      </c>
      <c r="P32" s="1070" t="s">
        <v>887</v>
      </c>
      <c r="Q32" s="1070" t="s">
        <v>2233</v>
      </c>
      <c r="R32" s="1070" t="s">
        <v>887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2234</v>
      </c>
      <c r="V32" s="959" t="s">
        <v>2234</v>
      </c>
      <c r="W32" s="959" t="s">
        <v>2234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893</v>
      </c>
      <c r="P33" s="1070" t="s">
        <v>889</v>
      </c>
      <c r="Q33" s="1070" t="s">
        <v>893</v>
      </c>
      <c r="R33" s="1070" t="s">
        <v>889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2235</v>
      </c>
      <c r="V33" s="959" t="s">
        <v>2235</v>
      </c>
      <c r="W33" s="959" t="s">
        <v>2236</v>
      </c>
      <c r="X33" s="956"/>
      <c r="Y33" s="1113"/>
      <c r="Z33" s="959"/>
      <c r="AA33" s="962" t="s">
        <v>2237</v>
      </c>
      <c r="AB33" s="962" t="s">
        <v>2237</v>
      </c>
      <c r="AC33" s="962" t="s">
        <v>2237</v>
      </c>
      <c r="AD33" s="959"/>
    </row>
    <row customHeight="1" ht="27">
      <c r="A34" s="958"/>
      <c r="B34" s="1012">
        <v>17</v>
      </c>
      <c r="C34" s="956" t="s">
        <v>2238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2239</v>
      </c>
      <c r="P34" s="1070" t="s">
        <v>2221</v>
      </c>
      <c r="Q34" s="1070" t="s">
        <v>2239</v>
      </c>
      <c r="R34" s="1070" t="s">
        <v>2221</v>
      </c>
      <c r="S34" s="1070"/>
      <c r="T34" s="1079" t="s">
        <v>2240</v>
      </c>
      <c r="U34" s="959" t="s">
        <v>2240</v>
      </c>
      <c r="V34" s="959" t="s">
        <v>2240</v>
      </c>
      <c r="W34" s="959" t="s">
        <v>2241</v>
      </c>
      <c r="X34" s="956"/>
      <c r="Y34" s="1113"/>
      <c r="Z34" s="959"/>
      <c r="AA34" s="962"/>
      <c r="AB34" s="959"/>
      <c r="AC34" s="959"/>
      <c r="AD34" s="959"/>
    </row>
    <row customHeight="1" ht="45">
      <c r="A35" s="958"/>
      <c r="B35" s="1012">
        <v>18</v>
      </c>
      <c r="C35" s="956" t="s">
        <v>2242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2243</v>
      </c>
      <c r="P35" s="1070" t="s">
        <v>2223</v>
      </c>
      <c r="Q35" s="1070" t="s">
        <v>2243</v>
      </c>
      <c r="R35" s="1070" t="s">
        <v>2223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2244</v>
      </c>
      <c r="V35" s="959" t="s">
        <v>2244</v>
      </c>
      <c r="W35" s="959" t="s">
        <v>2244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895</v>
      </c>
      <c r="P36" s="1070" t="s">
        <v>891</v>
      </c>
      <c r="Q36" s="1070" t="s">
        <v>895</v>
      </c>
      <c r="R36" s="1070" t="s">
        <v>891</v>
      </c>
      <c r="S36" s="1070"/>
      <c r="T36" s="1077" t="s">
        <v>2245</v>
      </c>
      <c r="U36" s="959" t="s">
        <v>2245</v>
      </c>
      <c r="V36" s="959" t="s">
        <v>2245</v>
      </c>
      <c r="W36" s="959" t="s">
        <v>2245</v>
      </c>
      <c r="X36" s="956"/>
      <c r="Y36" s="1113"/>
      <c r="Z36" s="959"/>
      <c r="AA36" s="962"/>
      <c r="AB36" s="959"/>
      <c r="AC36" s="959"/>
      <c r="AD36" s="959"/>
    </row>
    <row customHeight="1" ht="18">
      <c r="A37" s="958"/>
      <c r="B37" s="1012">
        <v>20</v>
      </c>
      <c r="C37" s="956" t="s">
        <v>2246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2247</v>
      </c>
      <c r="P37" s="1070" t="s">
        <v>2230</v>
      </c>
      <c r="Q37" s="1070" t="s">
        <v>2247</v>
      </c>
      <c r="R37" s="1070" t="s">
        <v>2230</v>
      </c>
      <c r="S37" s="1070"/>
      <c r="T37" s="1077" t="s">
        <v>2248</v>
      </c>
      <c r="U37" s="959" t="s">
        <v>2248</v>
      </c>
      <c r="V37" s="959" t="s">
        <v>2248</v>
      </c>
      <c r="W37" s="959" t="s">
        <v>2248</v>
      </c>
      <c r="X37" s="956"/>
      <c r="Y37" s="1113"/>
      <c r="Z37" s="959"/>
      <c r="AA37" s="962"/>
      <c r="AB37" s="959"/>
      <c r="AC37" s="959"/>
      <c r="AD37" s="959"/>
    </row>
    <row customHeight="1" ht="18">
      <c r="A38" s="958"/>
      <c r="B38" s="1012">
        <v>21</v>
      </c>
      <c r="C38" s="956" t="s">
        <v>2249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2250</v>
      </c>
      <c r="P38" s="1070" t="s">
        <v>2233</v>
      </c>
      <c r="Q38" s="1070" t="s">
        <v>2250</v>
      </c>
      <c r="R38" s="1070" t="s">
        <v>2233</v>
      </c>
      <c r="S38" s="1070"/>
      <c r="T38" s="1077" t="s">
        <v>2251</v>
      </c>
      <c r="U38" s="959" t="s">
        <v>2251</v>
      </c>
      <c r="V38" s="959" t="s">
        <v>2251</v>
      </c>
      <c r="W38" s="959" t="s">
        <v>2251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899</v>
      </c>
      <c r="P39" s="1070" t="s">
        <v>893</v>
      </c>
      <c r="Q39" s="1070" t="s">
        <v>899</v>
      </c>
      <c r="R39" s="1070" t="s">
        <v>893</v>
      </c>
      <c r="S39" s="1070"/>
      <c r="T39" s="1077" t="s">
        <v>2252</v>
      </c>
      <c r="U39" s="959" t="s">
        <v>2253</v>
      </c>
      <c r="V39" s="959" t="s">
        <v>2254</v>
      </c>
      <c r="W39" s="959" t="s">
        <v>2255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2256</v>
      </c>
      <c r="P40" s="1070" t="s">
        <v>895</v>
      </c>
      <c r="Q40" s="1070" t="s">
        <v>2256</v>
      </c>
      <c r="R40" s="1070" t="s">
        <v>895</v>
      </c>
      <c r="S40" s="1070"/>
      <c r="T40" s="956" t="s">
        <v>2257</v>
      </c>
      <c r="U40" s="956" t="s">
        <v>2257</v>
      </c>
      <c r="V40" s="956" t="s">
        <v>2257</v>
      </c>
      <c r="W40" s="956" t="s">
        <v>2257</v>
      </c>
      <c r="X40" s="956"/>
      <c r="Y40" s="1113"/>
      <c r="Z40" s="959" t="s">
        <v>2258</v>
      </c>
      <c r="AA40" s="962" t="s">
        <v>2258</v>
      </c>
      <c r="AB40" s="962" t="s">
        <v>2258</v>
      </c>
      <c r="AC40" s="962" t="s">
        <v>2258</v>
      </c>
      <c r="AD40" s="959"/>
    </row>
    <row customHeight="1" ht="27">
      <c r="A41" s="958"/>
      <c r="B41" s="1012">
        <v>24</v>
      </c>
      <c r="C41" s="956" t="s">
        <v>2259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2260</v>
      </c>
      <c r="P41" s="1070" t="s">
        <v>2247</v>
      </c>
      <c r="Q41" s="1070" t="s">
        <v>2260</v>
      </c>
      <c r="R41" s="1070" t="s">
        <v>2247</v>
      </c>
      <c r="S41" s="1070"/>
      <c r="T41" s="956" t="s">
        <v>2261</v>
      </c>
      <c r="U41" s="956" t="s">
        <v>2261</v>
      </c>
      <c r="V41" s="956" t="s">
        <v>2261</v>
      </c>
      <c r="W41" s="956" t="s">
        <v>2261</v>
      </c>
      <c r="X41" s="956"/>
      <c r="Y41" s="1113"/>
      <c r="Z41" s="959" t="s">
        <v>2262</v>
      </c>
      <c r="AA41" s="959" t="s">
        <v>2262</v>
      </c>
      <c r="AB41" s="959" t="s">
        <v>2262</v>
      </c>
      <c r="AC41" s="959" t="s">
        <v>2262</v>
      </c>
      <c r="AD41" s="959"/>
    </row>
    <row customHeight="1" ht="27">
      <c r="A42" s="958"/>
      <c r="B42" s="1012">
        <v>25</v>
      </c>
      <c r="C42" s="956" t="s">
        <v>2263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2264</v>
      </c>
      <c r="P42" s="1070" t="s">
        <v>2250</v>
      </c>
      <c r="Q42" s="1070" t="s">
        <v>2264</v>
      </c>
      <c r="R42" s="1070" t="s">
        <v>2250</v>
      </c>
      <c r="S42" s="1070"/>
      <c r="T42" s="956" t="s">
        <v>2265</v>
      </c>
      <c r="U42" s="956" t="s">
        <v>2265</v>
      </c>
      <c r="V42" s="956" t="s">
        <v>2265</v>
      </c>
      <c r="W42" s="956" t="s">
        <v>2265</v>
      </c>
      <c r="X42" s="956"/>
      <c r="Y42" s="1113"/>
      <c r="Z42" s="959" t="s">
        <v>2266</v>
      </c>
      <c r="AA42" s="959" t="s">
        <v>2266</v>
      </c>
      <c r="AB42" s="959" t="s">
        <v>2266</v>
      </c>
      <c r="AC42" s="959" t="s">
        <v>2266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2267</v>
      </c>
      <c r="P43" s="1070" t="s">
        <v>899</v>
      </c>
      <c r="Q43" s="1070" t="s">
        <v>2267</v>
      </c>
      <c r="R43" s="1070" t="s">
        <v>899</v>
      </c>
      <c r="S43" s="1070"/>
      <c r="T43" s="956" t="s">
        <v>2268</v>
      </c>
      <c r="U43" s="956" t="s">
        <v>2268</v>
      </c>
      <c r="V43" s="956" t="s">
        <v>2268</v>
      </c>
      <c r="W43" s="956" t="s">
        <v>2268</v>
      </c>
      <c r="X43" s="956"/>
      <c r="Y43" s="1113"/>
      <c r="Z43" s="959" t="s">
        <v>2269</v>
      </c>
      <c r="AA43" s="959" t="s">
        <v>2269</v>
      </c>
      <c r="AB43" s="959" t="s">
        <v>2269</v>
      </c>
      <c r="AC43" s="959" t="s">
        <v>2269</v>
      </c>
      <c r="AD43" s="959"/>
    </row>
    <row customHeight="1" ht="27">
      <c r="A44" s="958"/>
      <c r="B44" s="1012">
        <v>27</v>
      </c>
      <c r="C44" s="956" t="s">
        <v>2270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2271</v>
      </c>
      <c r="P44" s="1070" t="s">
        <v>2272</v>
      </c>
      <c r="Q44" s="1070" t="s">
        <v>2271</v>
      </c>
      <c r="R44" s="1070" t="s">
        <v>2272</v>
      </c>
      <c r="S44" s="1070"/>
      <c r="T44" s="956" t="s">
        <v>2261</v>
      </c>
      <c r="U44" s="956" t="s">
        <v>2261</v>
      </c>
      <c r="V44" s="956" t="s">
        <v>2261</v>
      </c>
      <c r="W44" s="956" t="s">
        <v>2261</v>
      </c>
      <c r="X44" s="956"/>
      <c r="Y44" s="1113"/>
      <c r="Z44" s="959" t="s">
        <v>2273</v>
      </c>
      <c r="AA44" s="959" t="s">
        <v>2273</v>
      </c>
      <c r="AB44" s="959" t="s">
        <v>2273</v>
      </c>
      <c r="AC44" s="959" t="s">
        <v>2273</v>
      </c>
      <c r="AD44" s="959"/>
    </row>
    <row customHeight="1" ht="27">
      <c r="A45" s="958"/>
      <c r="B45" s="1012">
        <v>28</v>
      </c>
      <c r="C45" s="956" t="s">
        <v>2274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2275</v>
      </c>
      <c r="P45" s="1070" t="s">
        <v>2276</v>
      </c>
      <c r="Q45" s="1070" t="s">
        <v>2275</v>
      </c>
      <c r="R45" s="1070" t="s">
        <v>2276</v>
      </c>
      <c r="S45" s="1070"/>
      <c r="T45" s="956" t="s">
        <v>2265</v>
      </c>
      <c r="U45" s="956" t="s">
        <v>2265</v>
      </c>
      <c r="V45" s="956" t="s">
        <v>2265</v>
      </c>
      <c r="W45" s="956" t="s">
        <v>2265</v>
      </c>
      <c r="X45" s="956"/>
      <c r="Y45" s="1113"/>
      <c r="Z45" s="959" t="s">
        <v>2277</v>
      </c>
      <c r="AA45" s="959" t="s">
        <v>2277</v>
      </c>
      <c r="AB45" s="959" t="s">
        <v>2277</v>
      </c>
      <c r="AC45" s="959" t="s">
        <v>2277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2278</v>
      </c>
      <c r="P46" s="1070" t="s">
        <v>2256</v>
      </c>
      <c r="Q46" s="1070" t="s">
        <v>2278</v>
      </c>
      <c r="R46" s="1070" t="s">
        <v>2256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2279</v>
      </c>
      <c r="V46" s="956" t="s">
        <v>2279</v>
      </c>
      <c r="W46" s="956" t="s">
        <v>2279</v>
      </c>
      <c r="X46" s="956"/>
      <c r="Y46" s="1113"/>
      <c r="Z46" s="959" t="s">
        <v>2280</v>
      </c>
      <c r="AA46" s="959" t="s">
        <v>2281</v>
      </c>
      <c r="AB46" s="959" t="s">
        <v>2281</v>
      </c>
      <c r="AC46" s="959" t="s">
        <v>2281</v>
      </c>
      <c r="AD46" s="959"/>
    </row>
    <row customHeight="1" ht="54">
      <c r="A47" s="958"/>
      <c r="B47" s="1012">
        <v>30</v>
      </c>
      <c r="C47" s="956" t="s">
        <v>2282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2283</v>
      </c>
      <c r="P47" s="1070" t="s">
        <v>2260</v>
      </c>
      <c r="Q47" s="1070" t="s">
        <v>2283</v>
      </c>
      <c r="R47" s="1070" t="s">
        <v>2260</v>
      </c>
      <c r="S47" s="1070"/>
      <c r="T47" s="956" t="s">
        <v>2284</v>
      </c>
      <c r="U47" s="956" t="s">
        <v>2284</v>
      </c>
      <c r="V47" s="956" t="s">
        <v>2284</v>
      </c>
      <c r="W47" s="956" t="s">
        <v>2284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2267</v>
      </c>
      <c r="Q48" s="1070" t="s">
        <v>2285</v>
      </c>
      <c r="R48" s="1070" t="s">
        <v>2267</v>
      </c>
      <c r="S48" s="1070"/>
      <c r="T48" s="956"/>
      <c r="U48" s="956" t="s">
        <v>2286</v>
      </c>
      <c r="V48" s="956" t="s">
        <v>2287</v>
      </c>
      <c r="W48" s="956" t="s">
        <v>2287</v>
      </c>
      <c r="X48" s="956"/>
      <c r="Y48" s="1113"/>
      <c r="Z48" s="959"/>
      <c r="AA48" s="962" t="s">
        <v>2281</v>
      </c>
      <c r="AB48" s="962" t="s">
        <v>2281</v>
      </c>
      <c r="AC48" s="962" t="s">
        <v>2281</v>
      </c>
      <c r="AD48" s="959"/>
    </row>
    <row customHeight="1" ht="54">
      <c r="A49" s="958"/>
      <c r="B49" s="1012">
        <v>32</v>
      </c>
      <c r="C49" s="956" t="s">
        <v>2288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2271</v>
      </c>
      <c r="Q49" s="1070" t="s">
        <v>2289</v>
      </c>
      <c r="R49" s="1070" t="s">
        <v>2271</v>
      </c>
      <c r="S49" s="1070"/>
      <c r="T49" s="956"/>
      <c r="U49" s="956" t="s">
        <v>2284</v>
      </c>
      <c r="V49" s="956" t="s">
        <v>2284</v>
      </c>
      <c r="W49" s="956" t="s">
        <v>2284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2285</v>
      </c>
      <c r="P50" s="1070" t="s">
        <v>2278</v>
      </c>
      <c r="Q50" s="1070" t="s">
        <v>2290</v>
      </c>
      <c r="R50" s="1070" t="s">
        <v>2278</v>
      </c>
      <c r="S50" s="1070"/>
      <c r="T50" s="956" t="s">
        <v>2291</v>
      </c>
      <c r="U50" s="956" t="s">
        <v>2292</v>
      </c>
      <c r="V50" s="956" t="s">
        <v>2293</v>
      </c>
      <c r="W50" s="956" t="s">
        <v>2294</v>
      </c>
      <c r="X50" s="956"/>
      <c r="Y50" s="1113"/>
      <c r="Z50" s="959" t="s">
        <v>2295</v>
      </c>
      <c r="AA50" s="962" t="s">
        <v>2296</v>
      </c>
      <c r="AB50" s="962" t="s">
        <v>2296</v>
      </c>
      <c r="AC50" s="962" t="s">
        <v>2296</v>
      </c>
      <c r="AD50" s="959"/>
    </row>
    <row customHeight="1" ht="27">
      <c r="A51" s="958"/>
      <c r="B51" s="1012">
        <v>34</v>
      </c>
      <c r="C51" s="956" t="s">
        <v>2297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2298</v>
      </c>
      <c r="U51" s="956"/>
      <c r="V51" s="956"/>
      <c r="W51" s="956"/>
      <c r="X51" s="956"/>
      <c r="Y51" s="1113"/>
      <c r="Z51" s="959"/>
      <c r="AA51" s="962"/>
      <c r="AB51" s="962"/>
      <c r="AC51" s="962"/>
      <c r="AD51" s="959"/>
    </row>
    <row customHeight="1" ht="36">
      <c r="A52" s="958"/>
      <c r="B52" s="1012">
        <v>35</v>
      </c>
      <c r="C52" s="956" t="s">
        <v>2191</v>
      </c>
      <c r="D52" s="1080" t="s">
        <v>2191</v>
      </c>
      <c r="E52" s="956" t="s">
        <v>2191</v>
      </c>
      <c r="F52" s="956" t="s">
        <v>2191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2299</v>
      </c>
      <c r="U52" s="956" t="s">
        <v>2300</v>
      </c>
      <c r="V52" s="956" t="s">
        <v>2301</v>
      </c>
      <c r="W52" s="956" t="s">
        <v>2302</v>
      </c>
      <c r="X52" s="956"/>
      <c r="Y52" s="1113"/>
      <c r="Z52" s="959" t="s">
        <v>903</v>
      </c>
      <c r="AA52" s="962" t="s">
        <v>903</v>
      </c>
      <c r="AB52" s="962" t="s">
        <v>903</v>
      </c>
      <c r="AC52" s="962" t="s">
        <v>903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907</v>
      </c>
      <c r="P53" s="1070" t="s">
        <v>479</v>
      </c>
      <c r="Q53" s="1070" t="s">
        <v>479</v>
      </c>
      <c r="R53" s="1070" t="s">
        <v>479</v>
      </c>
      <c r="S53" s="1070"/>
      <c r="T53" s="956" t="s">
        <v>2303</v>
      </c>
      <c r="U53" s="956" t="s">
        <v>2303</v>
      </c>
      <c r="V53" s="956" t="s">
        <v>2303</v>
      </c>
      <c r="W53" s="956" t="s">
        <v>2303</v>
      </c>
      <c r="X53" s="956"/>
      <c r="Y53" s="1113"/>
      <c r="Z53" s="959"/>
      <c r="AA53" s="962"/>
      <c r="AB53" s="959"/>
      <c r="AC53" s="959"/>
      <c r="AD53" s="959"/>
    </row>
    <row customHeight="1" ht="18">
      <c r="A54" s="958"/>
      <c r="B54" s="1012">
        <v>37</v>
      </c>
      <c r="C54" s="956" t="s">
        <v>2197</v>
      </c>
      <c r="D54" s="1080" t="s">
        <v>2197</v>
      </c>
      <c r="E54" s="956" t="s">
        <v>2197</v>
      </c>
      <c r="F54" s="956" t="s">
        <v>2197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120</v>
      </c>
      <c r="P54" s="1070" t="s">
        <v>93</v>
      </c>
      <c r="Q54" s="1070" t="s">
        <v>93</v>
      </c>
      <c r="R54" s="1070" t="s">
        <v>93</v>
      </c>
      <c r="S54" s="1070"/>
      <c r="T54" s="956" t="s">
        <v>905</v>
      </c>
      <c r="U54" s="956" t="s">
        <v>905</v>
      </c>
      <c r="V54" s="956" t="s">
        <v>905</v>
      </c>
      <c r="W54" s="956" t="s">
        <v>905</v>
      </c>
      <c r="X54" s="956"/>
      <c r="Y54" s="1113"/>
      <c r="Z54" s="959" t="s">
        <v>906</v>
      </c>
      <c r="AA54" s="959" t="s">
        <v>906</v>
      </c>
      <c r="AB54" s="959" t="s">
        <v>906</v>
      </c>
      <c r="AC54" s="959" t="s">
        <v>906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468</v>
      </c>
      <c r="P55" s="1070" t="s">
        <v>907</v>
      </c>
      <c r="Q55" s="1070" t="s">
        <v>907</v>
      </c>
      <c r="R55" s="1070" t="s">
        <v>907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2304</v>
      </c>
      <c r="V55" s="956" t="s">
        <v>2304</v>
      </c>
      <c r="W55" s="956" t="s">
        <v>2304</v>
      </c>
      <c r="X55" s="956"/>
      <c r="Y55" s="1113"/>
      <c r="Z55" s="959" t="s">
        <v>2305</v>
      </c>
      <c r="AA55" s="959" t="s">
        <v>2305</v>
      </c>
      <c r="AB55" s="959" t="s">
        <v>2305</v>
      </c>
      <c r="AC55" s="959" t="s">
        <v>2305</v>
      </c>
      <c r="AD55" s="959"/>
    </row>
    <row customHeight="1" ht="27">
      <c r="A56" s="958"/>
      <c r="B56" s="1012">
        <v>39</v>
      </c>
      <c r="C56" s="956" t="s">
        <v>1175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1311</v>
      </c>
      <c r="P56" s="1070" t="s">
        <v>910</v>
      </c>
      <c r="Q56" s="1070" t="s">
        <v>910</v>
      </c>
      <c r="R56" s="1070" t="s">
        <v>910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2306</v>
      </c>
      <c r="V56" s="956" t="s">
        <v>2306</v>
      </c>
      <c r="W56" s="956" t="s">
        <v>2306</v>
      </c>
      <c r="X56" s="956"/>
      <c r="Y56" s="1113"/>
      <c r="Z56" s="959" t="s">
        <v>912</v>
      </c>
      <c r="AA56" s="959" t="s">
        <v>912</v>
      </c>
      <c r="AB56" s="959" t="s">
        <v>912</v>
      </c>
      <c r="AC56" s="959" t="s">
        <v>912</v>
      </c>
      <c r="AD56" s="959"/>
    </row>
    <row customHeight="1" ht="27">
      <c r="A57" s="958"/>
      <c r="B57" s="1012">
        <v>40</v>
      </c>
      <c r="C57" s="956" t="s">
        <v>1177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2307</v>
      </c>
      <c r="P57" s="1070" t="s">
        <v>913</v>
      </c>
      <c r="Q57" s="1070" t="s">
        <v>913</v>
      </c>
      <c r="R57" s="1070" t="s">
        <v>913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2308</v>
      </c>
      <c r="V57" s="956" t="s">
        <v>2308</v>
      </c>
      <c r="W57" s="956" t="s">
        <v>2308</v>
      </c>
      <c r="X57" s="956"/>
      <c r="Y57" s="1113"/>
      <c r="Z57" s="959" t="s">
        <v>915</v>
      </c>
      <c r="AA57" s="959" t="s">
        <v>915</v>
      </c>
      <c r="AB57" s="959" t="s">
        <v>915</v>
      </c>
      <c r="AC57" s="959" t="s">
        <v>915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1035</v>
      </c>
      <c r="P58" s="1070" t="s">
        <v>949</v>
      </c>
      <c r="Q58" s="1070" t="s">
        <v>949</v>
      </c>
      <c r="R58" s="1070" t="s">
        <v>949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2309</v>
      </c>
      <c r="V58" s="956" t="s">
        <v>2309</v>
      </c>
      <c r="W58" s="956" t="s">
        <v>2309</v>
      </c>
      <c r="X58" s="956"/>
      <c r="Y58" s="1113"/>
      <c r="Z58" s="959"/>
      <c r="AA58" s="962"/>
      <c r="AB58" s="959"/>
      <c r="AC58" s="959"/>
      <c r="AD58" s="959"/>
    </row>
    <row customHeight="1" ht="36">
      <c r="A59" s="958"/>
      <c r="B59" s="1012">
        <v>42</v>
      </c>
      <c r="C59" s="956">
        <v>3</v>
      </c>
      <c r="D59" s="1080" t="s">
        <v>2297</v>
      </c>
      <c r="E59" s="956" t="s">
        <v>2297</v>
      </c>
      <c r="F59" s="956" t="s">
        <v>2297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120</v>
      </c>
      <c r="Q59" s="1070" t="s">
        <v>120</v>
      </c>
      <c r="R59" s="1070" t="s">
        <v>120</v>
      </c>
      <c r="S59" s="1070"/>
      <c r="T59" s="956"/>
      <c r="U59" s="956" t="s">
        <v>2310</v>
      </c>
      <c r="V59" s="956" t="s">
        <v>2311</v>
      </c>
      <c r="W59" s="956" t="s">
        <v>2312</v>
      </c>
      <c r="X59" s="956"/>
      <c r="Y59" s="1113"/>
      <c r="Z59" s="959"/>
      <c r="AA59" s="962"/>
      <c r="AB59" s="959"/>
      <c r="AC59" s="959"/>
      <c r="AD59" s="959"/>
    </row>
    <row customHeight="1" ht="81">
      <c r="A60" s="958"/>
      <c r="B60" s="1012">
        <v>43</v>
      </c>
      <c r="C60" s="956" t="s">
        <v>2313</v>
      </c>
      <c r="D60" s="1080" t="s">
        <v>2313</v>
      </c>
      <c r="E60" s="956" t="s">
        <v>2313</v>
      </c>
      <c r="F60" s="956" t="s">
        <v>2313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783</v>
      </c>
      <c r="U60" s="956" t="s">
        <v>783</v>
      </c>
      <c r="V60" s="956" t="s">
        <v>783</v>
      </c>
      <c r="W60" s="956" t="s">
        <v>783</v>
      </c>
      <c r="X60" s="956"/>
      <c r="Y60" s="1113"/>
      <c r="Z60" s="959" t="s">
        <v>2314</v>
      </c>
      <c r="AA60" s="962" t="s">
        <v>2315</v>
      </c>
      <c r="AB60" s="959" t="s">
        <v>2316</v>
      </c>
      <c r="AC60" s="959" t="s">
        <v>2315</v>
      </c>
      <c r="AD60" s="959"/>
    </row>
    <row customHeight="1" ht="9">
      <c r="A61" s="958"/>
      <c r="B61" s="1012">
        <v>44</v>
      </c>
      <c r="C61" s="956"/>
      <c r="D61" s="1080" t="s">
        <v>2317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2318</v>
      </c>
      <c r="V61" s="956"/>
      <c r="W61" s="956"/>
      <c r="X61" s="956"/>
      <c r="Y61" s="1113"/>
      <c r="Z61" s="959"/>
      <c r="AA61" s="962"/>
      <c r="AB61" s="959"/>
      <c r="AC61" s="959"/>
      <c r="AD61" s="959"/>
    </row>
    <row customHeight="1" ht="9">
      <c r="A62" s="958"/>
      <c r="B62" s="1012">
        <v>45</v>
      </c>
      <c r="C62" s="956"/>
      <c r="D62" s="1080" t="s">
        <v>2319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134</v>
      </c>
      <c r="Q62" s="1070"/>
      <c r="R62" s="1070"/>
      <c r="S62" s="1070"/>
      <c r="T62" s="956"/>
      <c r="U62" s="956" t="s">
        <v>2320</v>
      </c>
      <c r="V62" s="956"/>
      <c r="W62" s="956"/>
      <c r="X62" s="956"/>
      <c r="Y62" s="1113"/>
      <c r="Z62" s="959"/>
      <c r="AA62" s="962"/>
      <c r="AB62" s="959"/>
      <c r="AC62" s="959"/>
      <c r="AD62" s="959"/>
    </row>
    <row customHeight="1" ht="18">
      <c r="A63" s="958"/>
      <c r="B63" s="1012">
        <v>46</v>
      </c>
      <c r="C63" s="956"/>
      <c r="D63" s="1080" t="s">
        <v>2321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139</v>
      </c>
      <c r="Q63" s="1070"/>
      <c r="R63" s="1070"/>
      <c r="S63" s="1070"/>
      <c r="T63" s="956"/>
      <c r="U63" s="956" t="s">
        <v>2322</v>
      </c>
      <c r="V63" s="956"/>
      <c r="W63" s="956"/>
      <c r="X63" s="956"/>
      <c r="Y63" s="1113"/>
      <c r="Z63" s="959"/>
      <c r="AA63" s="962"/>
      <c r="AB63" s="959"/>
      <c r="AC63" s="959"/>
      <c r="AD63" s="959"/>
    </row>
    <row customHeight="1" ht="18">
      <c r="A64" s="958"/>
      <c r="B64" s="1012">
        <v>47</v>
      </c>
      <c r="C64" s="956"/>
      <c r="D64" s="1080" t="s">
        <v>2323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144</v>
      </c>
      <c r="Q64" s="1070"/>
      <c r="R64" s="1070"/>
      <c r="S64" s="1070"/>
      <c r="T64" s="956"/>
      <c r="U64" s="956" t="s">
        <v>2324</v>
      </c>
      <c r="V64" s="956"/>
      <c r="W64" s="956"/>
      <c r="X64" s="956"/>
      <c r="Y64" s="1113"/>
      <c r="Z64" s="959"/>
      <c r="AA64" s="962" t="s">
        <v>2325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2238</v>
      </c>
      <c r="Q65" s="1070"/>
      <c r="R65" s="1070"/>
      <c r="S65" s="1070"/>
      <c r="T65" s="956"/>
      <c r="U65" s="956" t="s">
        <v>2326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2242</v>
      </c>
      <c r="Q66" s="1070"/>
      <c r="R66" s="1070"/>
      <c r="S66" s="1070"/>
      <c r="T66" s="956"/>
      <c r="U66" s="956" t="s">
        <v>2327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2328</v>
      </c>
      <c r="Q67" s="1070"/>
      <c r="R67" s="1070"/>
      <c r="S67" s="1070"/>
      <c r="T67" s="956"/>
      <c r="U67" s="956" t="s">
        <v>2329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2330</v>
      </c>
      <c r="Q68" s="1070"/>
      <c r="R68" s="1070"/>
      <c r="S68" s="1070"/>
      <c r="T68" s="956"/>
      <c r="U68" s="956" t="s">
        <v>2331</v>
      </c>
      <c r="V68" s="956"/>
      <c r="W68" s="956"/>
      <c r="X68" s="956"/>
      <c r="Y68" s="1113"/>
      <c r="Z68" s="959"/>
      <c r="AA68" s="962"/>
      <c r="AB68" s="959"/>
      <c r="AC68" s="959"/>
      <c r="AD68" s="959"/>
    </row>
    <row customHeight="1" ht="9">
      <c r="A69" s="958"/>
      <c r="B69" s="1012">
        <v>52</v>
      </c>
      <c r="C69" s="956"/>
      <c r="D69" s="1080" t="s">
        <v>2332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148</v>
      </c>
      <c r="Q69" s="1070"/>
      <c r="R69" s="1070"/>
      <c r="S69" s="1070"/>
      <c r="T69" s="956"/>
      <c r="U69" s="956" t="s">
        <v>2333</v>
      </c>
      <c r="V69" s="956"/>
      <c r="W69" s="956"/>
      <c r="X69" s="956"/>
      <c r="Y69" s="1113"/>
      <c r="Z69" s="959"/>
      <c r="AA69" s="962"/>
      <c r="AB69" s="959"/>
      <c r="AC69" s="959"/>
      <c r="AD69" s="959"/>
    </row>
    <row customHeight="1" ht="27">
      <c r="A70" s="958"/>
      <c r="B70" s="1012">
        <v>53</v>
      </c>
      <c r="C70" s="956"/>
      <c r="D70" s="1080"/>
      <c r="E70" s="956" t="s">
        <v>2317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2334</v>
      </c>
      <c r="W70" s="956"/>
      <c r="X70" s="956"/>
      <c r="Y70" s="1113"/>
      <c r="Z70" s="959"/>
      <c r="AA70" s="962"/>
      <c r="AB70" s="959"/>
      <c r="AC70" s="959"/>
      <c r="AD70" s="959"/>
    </row>
    <row customHeight="1" ht="36">
      <c r="A71" s="958"/>
      <c r="B71" s="1012">
        <v>54</v>
      </c>
      <c r="C71" s="956"/>
      <c r="D71" s="1080"/>
      <c r="E71" s="956" t="s">
        <v>2319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134</v>
      </c>
      <c r="R71" s="1070"/>
      <c r="S71" s="1070"/>
      <c r="T71" s="956"/>
      <c r="U71" s="956"/>
      <c r="V71" s="956" t="s">
        <v>2335</v>
      </c>
      <c r="W71" s="956"/>
      <c r="X71" s="956"/>
      <c r="Y71" s="1113"/>
      <c r="Z71" s="959"/>
      <c r="AA71" s="962"/>
      <c r="AB71" s="959"/>
      <c r="AC71" s="959"/>
      <c r="AD71" s="959"/>
    </row>
    <row customHeight="1" ht="27">
      <c r="A72" s="958"/>
      <c r="B72" s="1012">
        <v>55</v>
      </c>
      <c r="C72" s="956"/>
      <c r="D72" s="1080"/>
      <c r="E72" s="956" t="s">
        <v>2321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139</v>
      </c>
      <c r="R72" s="1070"/>
      <c r="S72" s="1070"/>
      <c r="T72" s="956"/>
      <c r="U72" s="956"/>
      <c r="V72" s="956" t="s">
        <v>2336</v>
      </c>
      <c r="W72" s="956"/>
      <c r="X72" s="956"/>
      <c r="Y72" s="1113"/>
      <c r="Z72" s="959"/>
      <c r="AA72" s="962"/>
      <c r="AB72" s="959"/>
      <c r="AC72" s="959"/>
      <c r="AD72" s="959"/>
    </row>
    <row customHeight="1" ht="36">
      <c r="A73" s="958"/>
      <c r="B73" s="1012">
        <v>56</v>
      </c>
      <c r="C73" s="956"/>
      <c r="D73" s="1080"/>
      <c r="E73" s="956" t="s">
        <v>2323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144</v>
      </c>
      <c r="R73" s="1070"/>
      <c r="S73" s="1070"/>
      <c r="T73" s="956"/>
      <c r="U73" s="956"/>
      <c r="V73" s="956" t="s">
        <v>2337</v>
      </c>
      <c r="W73" s="956"/>
      <c r="X73" s="956"/>
      <c r="Y73" s="1113"/>
      <c r="Z73" s="959"/>
      <c r="AA73" s="962"/>
      <c r="AB73" s="959"/>
      <c r="AC73" s="959"/>
      <c r="AD73" s="959"/>
    </row>
    <row customHeight="1" ht="18">
      <c r="A74" s="958"/>
      <c r="B74" s="1012">
        <v>57</v>
      </c>
      <c r="C74" s="956"/>
      <c r="D74" s="1080"/>
      <c r="E74" s="956" t="s">
        <v>2332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148</v>
      </c>
      <c r="R74" s="1070"/>
      <c r="S74" s="1070"/>
      <c r="T74" s="956"/>
      <c r="U74" s="956"/>
      <c r="V74" s="956" t="s">
        <v>2338</v>
      </c>
      <c r="W74" s="956"/>
      <c r="X74" s="956"/>
      <c r="Y74" s="1113"/>
      <c r="Z74" s="959"/>
      <c r="AA74" s="962"/>
      <c r="AB74" s="959"/>
      <c r="AC74" s="959"/>
      <c r="AD74" s="959"/>
    </row>
    <row customHeight="1" ht="18">
      <c r="A75" s="958"/>
      <c r="B75" s="1012">
        <v>58</v>
      </c>
      <c r="C75" s="956"/>
      <c r="D75" s="1080"/>
      <c r="E75" s="956"/>
      <c r="F75" s="956" t="s">
        <v>2317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2339</v>
      </c>
      <c r="X75" s="956"/>
      <c r="Y75" s="1113"/>
      <c r="Z75" s="959"/>
      <c r="AA75" s="962"/>
      <c r="AB75" s="959"/>
      <c r="AC75" s="959"/>
      <c r="AD75" s="959"/>
    </row>
    <row customHeight="1" ht="36">
      <c r="A76" s="958"/>
      <c r="B76" s="1012">
        <v>59</v>
      </c>
      <c r="C76" s="956"/>
      <c r="D76" s="1080"/>
      <c r="E76" s="956"/>
      <c r="F76" s="956" t="s">
        <v>2319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134</v>
      </c>
      <c r="S76" s="1070"/>
      <c r="T76" s="956"/>
      <c r="U76" s="956"/>
      <c r="V76" s="956"/>
      <c r="W76" s="956" t="s">
        <v>2340</v>
      </c>
      <c r="X76" s="956"/>
      <c r="Y76" s="1113"/>
      <c r="Z76" s="959"/>
      <c r="AA76" s="962"/>
      <c r="AB76" s="959"/>
      <c r="AC76" s="959"/>
      <c r="AD76" s="959"/>
    </row>
    <row customHeight="1" ht="18">
      <c r="A77" s="958"/>
      <c r="B77" s="1012">
        <v>60</v>
      </c>
      <c r="C77" s="956"/>
      <c r="D77" s="1080"/>
      <c r="E77" s="956"/>
      <c r="F77" s="956" t="s">
        <v>2321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139</v>
      </c>
      <c r="S77" s="1070"/>
      <c r="T77" s="956"/>
      <c r="U77" s="956"/>
      <c r="V77" s="956"/>
      <c r="W77" s="956" t="s">
        <v>2341</v>
      </c>
      <c r="X77" s="956"/>
      <c r="Y77" s="1113"/>
      <c r="Z77" s="959"/>
      <c r="AA77" s="962"/>
      <c r="AB77" s="959"/>
      <c r="AC77" s="959"/>
      <c r="AD77" s="959"/>
    </row>
    <row customHeight="1" ht="72">
      <c r="A78" s="958"/>
      <c r="B78" s="1012">
        <v>61</v>
      </c>
      <c r="C78" s="956" t="s">
        <v>2317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788</v>
      </c>
      <c r="U78" s="956"/>
      <c r="V78" s="956"/>
      <c r="W78" s="956"/>
      <c r="X78" s="956"/>
      <c r="Y78" s="1113"/>
      <c r="Z78" s="959" t="s">
        <v>2342</v>
      </c>
      <c r="AA78" s="962"/>
      <c r="AB78" s="959"/>
      <c r="AC78" s="959"/>
      <c r="AD78" s="959"/>
    </row>
    <row customHeight="1" ht="36">
      <c r="A79" s="958"/>
      <c r="B79" s="1012">
        <v>62</v>
      </c>
      <c r="C79" s="956" t="s">
        <v>2319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134</v>
      </c>
      <c r="P79" s="1070"/>
      <c r="Q79" s="1070"/>
      <c r="R79" s="1070"/>
      <c r="S79" s="1070"/>
      <c r="T79" s="956" t="s">
        <v>2343</v>
      </c>
      <c r="U79" s="956"/>
      <c r="V79" s="956"/>
      <c r="W79" s="956"/>
      <c r="X79" s="956"/>
      <c r="Y79" s="1113"/>
      <c r="Z79" s="959" t="s">
        <v>2344</v>
      </c>
      <c r="AA79" s="962"/>
      <c r="AB79" s="959"/>
      <c r="AC79" s="959"/>
      <c r="AD79" s="959"/>
    </row>
    <row customHeight="1" ht="45">
      <c r="A80" s="958"/>
      <c r="B80" s="1012">
        <v>63</v>
      </c>
      <c r="C80" s="956" t="s">
        <v>2321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139</v>
      </c>
      <c r="P80" s="1070"/>
      <c r="Q80" s="1070"/>
      <c r="R80" s="1070"/>
      <c r="S80" s="1070"/>
      <c r="T80" s="956" t="s">
        <v>2345</v>
      </c>
      <c r="U80" s="956"/>
      <c r="V80" s="956"/>
      <c r="W80" s="956"/>
      <c r="X80" s="956"/>
      <c r="Y80" s="1113"/>
      <c r="Z80" s="959" t="s">
        <v>2346</v>
      </c>
      <c r="AA80" s="962"/>
      <c r="AB80" s="959"/>
      <c r="AC80" s="959"/>
      <c r="AD80" s="959"/>
    </row>
    <row customHeight="1" ht="36">
      <c r="A81" s="958"/>
      <c r="B81" s="1012">
        <v>64</v>
      </c>
      <c r="C81" s="956" t="s">
        <v>2323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2229</v>
      </c>
      <c r="P81" s="1070"/>
      <c r="Q81" s="1070"/>
      <c r="R81" s="1070"/>
      <c r="S81" s="1070"/>
      <c r="T81" s="956" t="s">
        <v>2347</v>
      </c>
      <c r="U81" s="956"/>
      <c r="V81" s="956"/>
      <c r="W81" s="956"/>
      <c r="X81" s="956"/>
      <c r="Y81" s="1113"/>
      <c r="Z81" s="959" t="s">
        <v>2348</v>
      </c>
      <c r="AA81" s="962"/>
      <c r="AB81" s="959"/>
      <c r="AC81" s="959"/>
      <c r="AD81" s="959"/>
    </row>
    <row customHeight="1" ht="90">
      <c r="A82" s="958"/>
      <c r="B82" s="1012">
        <v>65</v>
      </c>
      <c r="C82" s="956" t="s">
        <v>2332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144</v>
      </c>
      <c r="P82" s="1070"/>
      <c r="Q82" s="1070"/>
      <c r="R82" s="1070"/>
      <c r="S82" s="1070"/>
      <c r="T82" s="956" t="s">
        <v>2349</v>
      </c>
      <c r="U82" s="956"/>
      <c r="V82" s="956"/>
      <c r="W82" s="956"/>
      <c r="X82" s="956"/>
      <c r="Y82" s="1113"/>
      <c r="Z82" s="959" t="s">
        <v>2350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2238</v>
      </c>
      <c r="P83" s="1070"/>
      <c r="Q83" s="1070"/>
      <c r="R83" s="1070"/>
      <c r="S83" s="1070"/>
      <c r="T83" s="956" t="s">
        <v>2351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2352</v>
      </c>
      <c r="P84" s="1070"/>
      <c r="Q84" s="1070"/>
      <c r="R84" s="1070"/>
      <c r="S84" s="1070"/>
      <c r="T84" s="956" t="s">
        <v>2353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2242</v>
      </c>
      <c r="P85" s="1070"/>
      <c r="Q85" s="1070"/>
      <c r="R85" s="1070"/>
      <c r="S85" s="1070"/>
      <c r="T85" s="956" t="s">
        <v>2354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2355</v>
      </c>
      <c r="P86" s="1070"/>
      <c r="Q86" s="1070"/>
      <c r="R86" s="1070"/>
      <c r="S86" s="1070"/>
      <c r="T86" s="956" t="s">
        <v>2356</v>
      </c>
      <c r="U86" s="956"/>
      <c r="V86" s="956"/>
      <c r="W86" s="956"/>
      <c r="X86" s="956"/>
      <c r="Y86" s="1113"/>
      <c r="Z86" s="959"/>
      <c r="AA86" s="962"/>
      <c r="AB86" s="959"/>
      <c r="AC86" s="959"/>
      <c r="AD86" s="959"/>
    </row>
    <row customHeight="1" ht="36">
      <c r="A87" s="958"/>
      <c r="B87" s="1012">
        <v>70</v>
      </c>
      <c r="C87" s="956" t="s">
        <v>2357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148</v>
      </c>
      <c r="P87" s="1070"/>
      <c r="Q87" s="1070"/>
      <c r="R87" s="1070"/>
      <c r="S87" s="1070"/>
      <c r="T87" s="956" t="s">
        <v>2358</v>
      </c>
      <c r="U87" s="956"/>
      <c r="V87" s="956"/>
      <c r="W87" s="956"/>
      <c r="X87" s="956"/>
      <c r="Y87" s="1113"/>
      <c r="Z87" s="959"/>
      <c r="AA87" s="962"/>
      <c r="AB87" s="959"/>
      <c r="AC87" s="959"/>
      <c r="AD87" s="959"/>
    </row>
    <row customHeight="1" ht="18">
      <c r="A88" s="958"/>
      <c r="B88" s="1012">
        <v>71</v>
      </c>
      <c r="C88" s="956" t="s">
        <v>2359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820</v>
      </c>
      <c r="U88" s="956"/>
      <c r="V88" s="956"/>
      <c r="W88" s="956"/>
      <c r="X88" s="956"/>
      <c r="Y88" s="1113"/>
      <c r="Z88" s="959"/>
      <c r="AA88" s="962"/>
      <c r="AB88" s="959"/>
      <c r="AC88" s="959"/>
      <c r="AD88" s="959"/>
    </row>
    <row customHeight="1" ht="18">
      <c r="A89" s="958"/>
      <c r="B89" s="1012">
        <v>72</v>
      </c>
      <c r="C89" s="956" t="s">
        <v>2360</v>
      </c>
      <c r="D89" s="1080" t="s">
        <v>2357</v>
      </c>
      <c r="E89" s="956" t="s">
        <v>2357</v>
      </c>
      <c r="F89" s="956" t="s">
        <v>2323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158</v>
      </c>
      <c r="P89" s="1070" t="s">
        <v>153</v>
      </c>
      <c r="Q89" s="1070" t="s">
        <v>153</v>
      </c>
      <c r="R89" s="1070" t="s">
        <v>144</v>
      </c>
      <c r="S89" s="1070"/>
      <c r="T89" s="956" t="s">
        <v>828</v>
      </c>
      <c r="U89" s="956" t="s">
        <v>828</v>
      </c>
      <c r="V89" s="956" t="s">
        <v>828</v>
      </c>
      <c r="W89" s="956" t="s">
        <v>828</v>
      </c>
      <c r="X89" s="956"/>
      <c r="Y89" s="1113"/>
      <c r="Z89" s="959"/>
      <c r="AA89" s="962"/>
      <c r="AB89" s="959"/>
      <c r="AC89" s="959"/>
      <c r="AD89" s="959"/>
    </row>
    <row customHeight="1" ht="27">
      <c r="A90" s="958"/>
      <c r="B90" s="1012">
        <v>73</v>
      </c>
      <c r="C90" s="956" t="s">
        <v>2361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122</v>
      </c>
      <c r="P90" s="1070"/>
      <c r="Q90" s="1070"/>
      <c r="R90" s="1070"/>
      <c r="S90" s="1070"/>
      <c r="T90" s="956" t="s">
        <v>830</v>
      </c>
      <c r="U90" s="956"/>
      <c r="V90" s="956"/>
      <c r="W90" s="956"/>
      <c r="X90" s="956"/>
      <c r="Y90" s="1113"/>
      <c r="Z90" s="959"/>
      <c r="AA90" s="962"/>
      <c r="AB90" s="959"/>
      <c r="AC90" s="959"/>
      <c r="AD90" s="959"/>
    </row>
    <row customHeight="1" ht="18">
      <c r="A91" s="958"/>
      <c r="B91" s="1012">
        <v>74</v>
      </c>
      <c r="C91" s="956"/>
      <c r="D91" s="1080" t="s">
        <v>2359</v>
      </c>
      <c r="E91" s="956" t="s">
        <v>2359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158</v>
      </c>
      <c r="Q91" s="1070" t="s">
        <v>158</v>
      </c>
      <c r="R91" s="1070"/>
      <c r="S91" s="1070"/>
      <c r="T91" s="956"/>
      <c r="U91" s="956" t="s">
        <v>2362</v>
      </c>
      <c r="V91" s="956" t="s">
        <v>2362</v>
      </c>
      <c r="W91" s="956"/>
      <c r="X91" s="956"/>
      <c r="Y91" s="1113"/>
      <c r="Z91" s="959"/>
      <c r="AA91" s="962"/>
      <c r="AB91" s="959"/>
      <c r="AC91" s="959"/>
      <c r="AD91" s="959"/>
    </row>
    <row customHeight="1" ht="27">
      <c r="A92" s="958"/>
      <c r="B92" s="1012">
        <v>75</v>
      </c>
      <c r="C92" s="956"/>
      <c r="D92" s="1080" t="s">
        <v>2360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122</v>
      </c>
      <c r="Q92" s="1070"/>
      <c r="R92" s="1070"/>
      <c r="S92" s="1070"/>
      <c r="T92" s="956"/>
      <c r="U92" s="956" t="s">
        <v>2363</v>
      </c>
      <c r="V92" s="956"/>
      <c r="W92" s="956"/>
      <c r="X92" s="956"/>
      <c r="Y92" s="1113"/>
      <c r="Z92" s="959"/>
      <c r="AA92" s="962" t="s">
        <v>2364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2270</v>
      </c>
      <c r="Q93" s="1070"/>
      <c r="R93" s="1070"/>
      <c r="S93" s="1070"/>
      <c r="T93" s="956"/>
      <c r="U93" s="956" t="s">
        <v>2365</v>
      </c>
      <c r="V93" s="956"/>
      <c r="W93" s="956"/>
      <c r="X93" s="956"/>
      <c r="Y93" s="1113"/>
      <c r="Z93" s="959"/>
      <c r="AA93" s="962" t="s">
        <v>2366</v>
      </c>
      <c r="AB93" s="959"/>
      <c r="AC93" s="959"/>
      <c r="AD93" s="959"/>
    </row>
    <row customHeight="1" ht="45">
      <c r="A94" s="958"/>
      <c r="B94" s="1012">
        <v>77</v>
      </c>
      <c r="C94" s="956"/>
      <c r="D94" s="1080" t="s">
        <v>2361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126</v>
      </c>
      <c r="Q94" s="1070"/>
      <c r="R94" s="1070"/>
      <c r="S94" s="1070"/>
      <c r="T94" s="956"/>
      <c r="U94" s="956" t="s">
        <v>2367</v>
      </c>
      <c r="V94" s="956"/>
      <c r="W94" s="956"/>
      <c r="X94" s="956"/>
      <c r="Y94" s="1113"/>
      <c r="Z94" s="959"/>
      <c r="AA94" s="962" t="s">
        <v>2368</v>
      </c>
      <c r="AB94" s="959"/>
      <c r="AC94" s="959"/>
      <c r="AD94" s="959"/>
    </row>
    <row customHeight="1" ht="99">
      <c r="A95" s="958"/>
      <c r="B95" s="1012">
        <v>78</v>
      </c>
      <c r="C95" s="956" t="s">
        <v>2369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126</v>
      </c>
      <c r="P95" s="1070"/>
      <c r="Q95" s="1070"/>
      <c r="R95" s="1070"/>
      <c r="S95" s="1070"/>
      <c r="T95" s="956" t="s">
        <v>2370</v>
      </c>
      <c r="U95" s="956"/>
      <c r="V95" s="956"/>
      <c r="W95" s="956"/>
      <c r="X95" s="956"/>
      <c r="Y95" s="1113"/>
      <c r="Z95" s="959"/>
      <c r="AA95" s="962"/>
      <c r="AB95" s="959"/>
      <c r="AC95" s="959"/>
      <c r="AD95" s="959"/>
    </row>
    <row customHeight="1" ht="99">
      <c r="A96" s="958"/>
      <c r="B96" s="1012">
        <v>79</v>
      </c>
      <c r="C96" s="956" t="s">
        <v>1325</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117</v>
      </c>
      <c r="P96" s="1070"/>
      <c r="Q96" s="1070"/>
      <c r="R96" s="1070"/>
      <c r="S96" s="1070"/>
      <c r="T96" s="956" t="s">
        <v>2371</v>
      </c>
      <c r="U96" s="956"/>
      <c r="V96" s="956"/>
      <c r="W96" s="956"/>
      <c r="X96" s="956"/>
      <c r="Y96" s="1113"/>
      <c r="Z96" s="959" t="s">
        <v>2372</v>
      </c>
      <c r="AA96" s="962"/>
      <c r="AB96" s="959"/>
      <c r="AC96" s="959"/>
      <c r="AD96" s="959"/>
    </row>
    <row customHeight="1" ht="63">
      <c r="A97" s="958"/>
      <c r="B97" s="1012">
        <v>80</v>
      </c>
      <c r="C97" s="956" t="s">
        <v>2373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173</v>
      </c>
      <c r="P97" s="1070"/>
      <c r="Q97" s="1070"/>
      <c r="R97" s="1070"/>
      <c r="S97" s="1070"/>
      <c r="T97" s="956" t="s">
        <v>2374</v>
      </c>
      <c r="U97" s="956"/>
      <c r="V97" s="956"/>
      <c r="W97" s="956"/>
      <c r="X97" s="956"/>
      <c r="Y97" s="1113"/>
      <c r="Z97" s="959" t="s">
        <v>2375</v>
      </c>
      <c r="AA97" s="962"/>
      <c r="AB97" s="959"/>
      <c r="AC97" s="959"/>
      <c r="AD97" s="959"/>
    </row>
    <row customHeight="1" ht="63">
      <c r="A98" s="958"/>
      <c r="B98" s="1012">
        <v>81</v>
      </c>
      <c r="C98" s="956" t="s">
        <v>2376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175</v>
      </c>
      <c r="P98" s="1070"/>
      <c r="Q98" s="1070"/>
      <c r="R98" s="1070"/>
      <c r="S98" s="1070"/>
      <c r="T98" s="956" t="s">
        <v>2377</v>
      </c>
      <c r="U98" s="956"/>
      <c r="V98" s="956"/>
      <c r="W98" s="956"/>
      <c r="X98" s="956"/>
      <c r="Y98" s="1113"/>
      <c r="Z98" s="959" t="s">
        <v>2375</v>
      </c>
      <c r="AA98" s="962"/>
      <c r="AB98" s="959"/>
      <c r="AC98" s="959"/>
      <c r="AD98" s="959"/>
    </row>
    <row customHeight="1" ht="90">
      <c r="A99" s="958"/>
      <c r="B99" s="1012">
        <v>82</v>
      </c>
      <c r="C99" s="956" t="s">
        <v>2378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166</v>
      </c>
      <c r="P99" s="1070"/>
      <c r="Q99" s="1070"/>
      <c r="R99" s="1070"/>
      <c r="S99" s="1070"/>
      <c r="T99" s="956" t="s">
        <v>2379</v>
      </c>
      <c r="U99" s="956"/>
      <c r="V99" s="956"/>
      <c r="W99" s="956"/>
      <c r="X99" s="956"/>
      <c r="Y99" s="1113"/>
      <c r="Z99" s="959" t="s">
        <v>785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2380</v>
      </c>
      <c r="P100" s="1070"/>
      <c r="Q100" s="1070"/>
      <c r="R100" s="1070"/>
      <c r="S100" s="1070"/>
      <c r="T100" s="956" t="s">
        <v>2381</v>
      </c>
      <c r="U100" s="956"/>
      <c r="V100" s="956"/>
      <c r="W100" s="956"/>
      <c r="X100" s="956"/>
      <c r="Y100" s="1113"/>
      <c r="Z100" s="959" t="s">
        <v>785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2382</v>
      </c>
      <c r="P101" s="1070"/>
      <c r="Q101" s="1070"/>
      <c r="R101" s="1070"/>
      <c r="S101" s="1070"/>
      <c r="T101" s="956" t="s">
        <v>2383</v>
      </c>
      <c r="U101" s="956"/>
      <c r="V101" s="956"/>
      <c r="W101" s="956"/>
      <c r="X101" s="956"/>
      <c r="Y101" s="1113"/>
      <c r="Z101" s="959" t="s">
        <v>785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1821</v>
      </c>
      <c r="B148" s="958"/>
      <c r="C148" s="956" t="s">
        <v>2384</v>
      </c>
      <c r="D148" s="956" t="s">
        <v>130</v>
      </c>
      <c r="E148" s="956" t="s">
        <v>1823</v>
      </c>
      <c r="F148" s="956" t="s">
        <v>2385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2386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2387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1825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1828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1833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099B1-F7CE-6AE1-C101-EDF22A7F69B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91" width="10.57421875" hidden="1"/>
    <col min="2" max="2" style="8191" width="11.00390625" hidden="1" customWidth="1"/>
    <col min="3" max="3" style="8191" width="10.57421875" hidden="1"/>
    <col min="4" max="4" style="8191" width="11.8515625" hidden="1" customWidth="1"/>
    <col min="5" max="5" style="8191" width="12.28125" hidden="1" customWidth="1"/>
    <col min="6" max="8" style="9044" width="12.28125" hidden="1" customWidth="1"/>
    <col min="9" max="9" style="9045" width="3.00390625" customWidth="1"/>
    <col min="10" max="11" style="9046" width="3.00390625" customWidth="1"/>
    <col min="12" max="12" style="9047" width="12.00390625" customWidth="1"/>
    <col min="13" max="13" style="8113" width="31.00390625" customWidth="1"/>
    <col min="14" max="14" style="8113" width="1.00390625" customWidth="1"/>
    <col min="15" max="18" style="8113" width="24.00390625" customWidth="1"/>
    <col min="19" max="19" style="8113" width="11.00390625" customWidth="1"/>
    <col min="20" max="20" style="8113" width="3.7109375" customWidth="1"/>
    <col min="21" max="21" style="8113" width="11.00390625" customWidth="1"/>
    <col min="22" max="22" style="8113" width="8.57421875" customWidth="1"/>
    <col min="23" max="23" style="8113" width="4.00390625" customWidth="1"/>
    <col min="24" max="24" style="8113" width="115.00390625" customWidth="1"/>
    <col min="25" max="29" style="8192" width="10.00390625" customWidth="1"/>
    <col min="30" max="30" style="811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2388</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832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8328" customFormat="1" customHeight="1" ht="24">
      <c r="A9" s="1481"/>
      <c r="B9" s="1481"/>
      <c r="C9" s="1481"/>
      <c r="D9" s="1481"/>
      <c r="E9" s="1481"/>
      <c r="F9" s="1481"/>
      <c r="G9" s="1481"/>
      <c r="H9" s="1481"/>
      <c r="L9" s="1389"/>
      <c r="M9" s="408" t="s">
        <v>575</v>
      </c>
      <c r="N9" s="417"/>
      <c r="O9" s="2364" t="str">
        <f>IF(TITLE_DATE_CHANGE_PERIOD="",IF(TITLE_DATE_PR="","",TITLE_DATE_PR),TITLE_DATE_CHANGE_PERIOD)</f>
        <v>45646</v>
      </c>
      <c r="P9" s="2364"/>
      <c r="Q9" s="2364"/>
      <c r="R9" s="2364"/>
      <c r="S9" s="2364"/>
      <c r="T9" s="2364"/>
      <c r="U9" s="2364"/>
      <c r="V9" s="439"/>
      <c r="W9" s="439"/>
      <c r="X9" s="393"/>
      <c r="Y9" s="481"/>
      <c r="Z9" s="481"/>
      <c r="AA9" s="481"/>
      <c r="AB9" s="481"/>
      <c r="AC9" s="481"/>
      <c r="AD9" s="531">
        <v>23</v>
      </c>
    </row>
    <row s="8328" customFormat="1" customHeight="1" ht="24">
      <c r="A10" s="1481"/>
      <c r="B10" s="1481"/>
      <c r="C10" s="1481"/>
      <c r="D10" s="1481"/>
      <c r="E10" s="1481"/>
      <c r="F10" s="1481"/>
      <c r="G10" s="1481"/>
      <c r="H10" s="1481"/>
      <c r="L10" s="1363"/>
      <c r="M10" s="408" t="s">
        <v>576</v>
      </c>
      <c r="N10" s="417"/>
      <c r="O10" s="2364" t="str">
        <f>IF(TITLE_NUMBER_PR_CHANGE="",IF(TITLE_NUMBER_PR="","",TITLE_NUMBER_PR),TITLE_NUMBER_PR_CHANGE)</f>
        <v>51/111</v>
      </c>
      <c r="P10" s="2364"/>
      <c r="Q10" s="2364"/>
      <c r="R10" s="2364"/>
      <c r="S10" s="2364"/>
      <c r="T10" s="2364"/>
      <c r="U10" s="2364"/>
      <c r="V10" s="439"/>
      <c r="W10" s="439"/>
      <c r="X10" s="393"/>
      <c r="Y10" s="481"/>
      <c r="Z10" s="481"/>
      <c r="AA10" s="481"/>
      <c r="AB10" s="481"/>
      <c r="AC10" s="481"/>
      <c r="AD10" s="531">
        <v>23</v>
      </c>
    </row>
    <row s="8328"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https://npa.gov-murman.ru/bitrix/components/b1team/govmurman.element.file/download.php?ID=537819&amp;FID=814581</v>
      </c>
      <c r="P11" s="2364"/>
      <c r="Q11" s="2364"/>
      <c r="R11" s="2364"/>
      <c r="S11" s="2364"/>
      <c r="T11" s="2364"/>
      <c r="U11" s="2364"/>
      <c r="V11" s="439"/>
      <c r="W11" s="439"/>
      <c r="X11" s="393"/>
      <c r="Y11" s="481"/>
      <c r="Z11" s="481"/>
      <c r="AA11" s="481"/>
      <c r="AB11" s="481"/>
      <c r="AC11" s="481"/>
      <c r="AD11" s="531">
        <v>23</v>
      </c>
    </row>
    <row s="832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579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455</v>
      </c>
      <c r="M14" s="2240"/>
      <c r="N14" s="2240"/>
      <c r="O14" s="2240"/>
      <c r="P14" s="2240"/>
      <c r="Q14" s="2240"/>
      <c r="R14" s="2240"/>
      <c r="S14" s="2240"/>
      <c r="T14" s="2240"/>
      <c r="U14" s="2240"/>
      <c r="V14" s="2240"/>
      <c r="W14" s="2240"/>
      <c r="X14" s="2240" t="s">
        <v>456</v>
      </c>
      <c r="AD14" s="1268">
        <v>14</v>
      </c>
    </row>
    <row customHeight="1" ht="14.699999999999998">
      <c r="J15" s="489"/>
      <c r="K15" s="489"/>
      <c r="L15" s="2386" t="s">
        <v>90</v>
      </c>
      <c r="M15" s="2322" t="s">
        <v>580</v>
      </c>
      <c r="N15" s="414"/>
      <c r="O15" s="2387" t="s">
        <v>2389</v>
      </c>
      <c r="P15" s="2388"/>
      <c r="Q15" s="2388"/>
      <c r="R15" s="2388"/>
      <c r="S15" s="2388"/>
      <c r="T15" s="2388"/>
      <c r="U15" s="2389"/>
      <c r="V15" s="2390" t="s">
        <v>582</v>
      </c>
      <c r="W15" s="2393" t="s">
        <v>1322</v>
      </c>
      <c r="X15" s="2240"/>
      <c r="AD15" s="1268">
        <v>14</v>
      </c>
    </row>
    <row customHeight="1" ht="35.699999999999996">
      <c r="J16" s="489"/>
      <c r="K16" s="489"/>
      <c r="L16" s="2386"/>
      <c r="M16" s="2322"/>
      <c r="N16" s="1144"/>
      <c r="O16" s="2373" t="s">
        <v>585</v>
      </c>
      <c r="P16" s="2373" t="s">
        <v>586</v>
      </c>
      <c r="Q16" s="2375" t="s">
        <v>587</v>
      </c>
      <c r="R16" s="2376"/>
      <c r="S16" s="2375" t="s">
        <v>600</v>
      </c>
      <c r="T16" s="2382"/>
      <c r="U16" s="2376"/>
      <c r="V16" s="2391"/>
      <c r="W16" s="2394"/>
      <c r="X16" s="2240"/>
      <c r="AD16" s="1268">
        <v>34</v>
      </c>
    </row>
    <row customHeight="1" ht="35.699999999999996">
      <c r="A17" s="1483" t="s">
        <v>211</v>
      </c>
      <c r="B17" s="1483" t="s">
        <v>212</v>
      </c>
      <c r="C17" s="1483" t="s">
        <v>213</v>
      </c>
      <c r="D17" s="1483" t="s">
        <v>214</v>
      </c>
      <c r="E17" s="1483"/>
      <c r="J17" s="489"/>
      <c r="K17" s="489"/>
      <c r="L17" s="2386"/>
      <c r="M17" s="2322"/>
      <c r="N17" s="415"/>
      <c r="O17" s="2374"/>
      <c r="P17" s="2374"/>
      <c r="Q17" s="1335" t="s">
        <v>596</v>
      </c>
      <c r="R17" s="1335" t="s">
        <v>597</v>
      </c>
      <c r="S17" s="1405" t="s">
        <v>598</v>
      </c>
      <c r="T17" s="2383" t="s">
        <v>599</v>
      </c>
      <c r="U17" s="2384"/>
      <c r="V17" s="2392"/>
      <c r="W17" s="2395"/>
      <c r="X17" s="2240"/>
      <c r="AD17" s="1268">
        <v>34</v>
      </c>
    </row>
    <row s="8801" customFormat="1" customHeight="1" ht="11.549999999999999">
      <c r="A18" s="1483"/>
      <c r="B18" s="1483"/>
      <c r="C18" s="1483"/>
      <c r="D18" s="1483"/>
      <c r="E18" s="1483"/>
      <c r="F18" s="1475"/>
      <c r="G18" s="1475"/>
      <c r="H18" s="1475"/>
      <c r="I18" s="1359"/>
      <c r="J18" s="1360"/>
      <c r="K18" s="1367">
        <v>1</v>
      </c>
      <c r="L18" s="1390" t="s">
        <v>155</v>
      </c>
      <c r="M18" s="1368" t="s">
        <v>105</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239</v>
      </c>
      <c r="B19" s="1476" t="s">
        <v>240</v>
      </c>
      <c r="C19" s="1476" t="s">
        <v>241</v>
      </c>
      <c r="D19" s="1476" t="s">
        <v>242</v>
      </c>
      <c r="E19" s="1476"/>
      <c r="F19" s="1478"/>
      <c r="G19" s="1478"/>
      <c r="H19" s="1478"/>
      <c r="I19" s="474"/>
      <c r="J19" s="473"/>
      <c r="K19" s="468"/>
      <c r="L19" s="1406">
        <f>INDEX(PT_DIFFERENTIATION_NUM_NTAR,MATCH(A19,PT_DIFFERENTIATION_NTAR_ID,0))</f>
        <v>0</v>
      </c>
      <c r="M19" s="411" t="s">
        <v>200</v>
      </c>
      <c r="N19" s="413"/>
      <c r="O19" s="2719" t="str">
        <f>INDEX(PT_DIFFERENTIATION_NTAR,MATCH(A19,PT_DIFFERENTIATION_NTAR_ID,0))</f>
        <v/>
      </c>
      <c r="P19" s="2719"/>
      <c r="Q19" s="2719"/>
      <c r="R19" s="2719"/>
      <c r="S19" s="2719"/>
      <c r="T19" s="2719"/>
      <c r="U19" s="2719"/>
      <c r="V19" s="2719"/>
      <c r="W19" s="2719"/>
      <c r="X19" s="1371" t="s">
        <v>551</v>
      </c>
      <c r="Z19" s="613"/>
      <c r="AA19" s="613" t="str">
        <f>IF(M19="","",M19)</f>
        <v>Наименование тарифа</v>
      </c>
      <c r="AB19" s="613"/>
      <c r="AC19" s="613"/>
      <c r="AD19" s="1268">
        <v>20</v>
      </c>
    </row>
    <row customHeight="1" ht="21">
      <c r="A20" s="1476" t="s">
        <v>239</v>
      </c>
      <c r="B20" s="1476" t="s">
        <v>240</v>
      </c>
      <c r="C20" s="1476" t="s">
        <v>241</v>
      </c>
      <c r="D20" s="1476" t="s">
        <v>242</v>
      </c>
      <c r="E20" s="1476"/>
      <c r="F20" s="1478"/>
      <c r="G20" s="1478"/>
      <c r="H20" s="1478"/>
      <c r="I20" s="1403"/>
      <c r="J20" s="465"/>
      <c r="K20" s="466"/>
      <c r="L20" s="1406" t="str">
        <f>INDEX(PT_DIFFERENTIATION_NUM_TER,MATCH(B19,PT_DIFFERENTIATION_TER_ID,0))</f>
        <v>.</v>
      </c>
      <c r="M20" s="421" t="s">
        <v>552</v>
      </c>
      <c r="N20" s="413"/>
      <c r="O20" s="2719" t="str">
        <f>INDEX(PT_DIFFERENTIATION_TER,MATCH(B19,PT_DIFFERENTIATION_TER_ID,0))</f>
        <v/>
      </c>
      <c r="P20" s="2719"/>
      <c r="Q20" s="2719"/>
      <c r="R20" s="2719"/>
      <c r="S20" s="2719"/>
      <c r="T20" s="2719"/>
      <c r="U20" s="2719"/>
      <c r="V20" s="2719"/>
      <c r="W20" s="2719"/>
      <c r="X20" s="1371" t="s">
        <v>553</v>
      </c>
      <c r="Z20" s="613"/>
      <c r="AA20" s="613" t="str">
        <f>IF(M20="","",M20)</f>
        <v>Территория действия тарифа</v>
      </c>
      <c r="AB20" s="613"/>
      <c r="AC20" s="613"/>
      <c r="AD20" s="1268">
        <v>20</v>
      </c>
    </row>
    <row customHeight="1" ht="24">
      <c r="A21" s="1476" t="s">
        <v>239</v>
      </c>
      <c r="B21" s="1476" t="s">
        <v>240</v>
      </c>
      <c r="C21" s="1476" t="s">
        <v>241</v>
      </c>
      <c r="D21" s="1476" t="s">
        <v>242</v>
      </c>
      <c r="E21" s="1476"/>
      <c r="F21" s="1478"/>
      <c r="G21" s="1478"/>
      <c r="H21" s="1478"/>
      <c r="I21" s="467"/>
      <c r="J21" s="465"/>
      <c r="K21" s="466"/>
      <c r="L21" s="1406" t="str">
        <f>INDEX(PT_DIFFERENTIATION_NUM_CS,MATCH(C19,PT_DIFFERENTIATION_CS_ID,0))</f>
        <v>..</v>
      </c>
      <c r="M21" s="422" t="s">
        <v>554</v>
      </c>
      <c r="N21" s="413"/>
      <c r="O21" s="2719" t="str">
        <f>INDEX(PT_DIFFERENTIATION_CS,MATCH(C19,PT_DIFFERENTIATION_CS_ID,0))</f>
        <v/>
      </c>
      <c r="P21" s="2719"/>
      <c r="Q21" s="2719"/>
      <c r="R21" s="2719"/>
      <c r="S21" s="2719"/>
      <c r="T21" s="2719"/>
      <c r="U21" s="2719"/>
      <c r="V21" s="2719"/>
      <c r="W21" s="2719"/>
      <c r="X21" s="1371" t="s">
        <v>555</v>
      </c>
      <c r="Z21" s="613"/>
      <c r="AA21" s="613" t="str">
        <f>IF(M21="","",M21)</f>
        <v>Наименование системы теплоснабжения </v>
      </c>
      <c r="AB21" s="613"/>
      <c r="AC21" s="613"/>
      <c r="AD21" s="1268">
        <v>23</v>
      </c>
    </row>
    <row customHeight="1" ht="21">
      <c r="A22" s="1476" t="s">
        <v>239</v>
      </c>
      <c r="B22" s="1476" t="s">
        <v>240</v>
      </c>
      <c r="C22" s="1476" t="s">
        <v>241</v>
      </c>
      <c r="D22" s="1476" t="s">
        <v>242</v>
      </c>
      <c r="E22" s="1476"/>
      <c r="F22" s="1478"/>
      <c r="G22" s="1478"/>
      <c r="H22" s="1478"/>
      <c r="I22" s="467"/>
      <c r="J22" s="465"/>
      <c r="K22" s="466"/>
      <c r="L22" s="1406" t="str">
        <f>INDEX(PT_DIFFERENTIATION_NUM_IST_TE,MATCH(D19,PT_DIFFERENTIATION_IST_TE_ID,0))</f>
        <v>...</v>
      </c>
      <c r="M22" s="423" t="s">
        <v>556</v>
      </c>
      <c r="N22" s="413"/>
      <c r="O22" s="2719" t="str">
        <f>INDEX(PT_DIFFERENTIATION_IST_TE,MATCH(D19,PT_DIFFERENTIATION_IST_TE_ID,0))</f>
        <v/>
      </c>
      <c r="P22" s="2719"/>
      <c r="Q22" s="2719"/>
      <c r="R22" s="2719"/>
      <c r="S22" s="2719"/>
      <c r="T22" s="2719"/>
      <c r="U22" s="2719"/>
      <c r="V22" s="2719"/>
      <c r="W22" s="2719"/>
      <c r="X22" s="1371" t="s">
        <v>557</v>
      </c>
      <c r="Z22" s="613"/>
      <c r="AA22" s="613" t="str">
        <f>IF(M22="","",M22)</f>
        <v>Источник тепловой энергии  </v>
      </c>
      <c r="AB22" s="613"/>
      <c r="AC22" s="613"/>
      <c r="AD22" s="1268">
        <v>20</v>
      </c>
    </row>
    <row customHeight="1" ht="96.75">
      <c r="A23" s="1476" t="s">
        <v>239</v>
      </c>
      <c r="B23" s="1476" t="s">
        <v>240</v>
      </c>
      <c r="C23" s="1476" t="s">
        <v>241</v>
      </c>
      <c r="D23" s="1476" t="s">
        <v>242</v>
      </c>
      <c r="E23" s="1476"/>
      <c r="F23" s="2720" t="str">
        <f>L22&amp;".1"</f>
        <v>....1</v>
      </c>
      <c r="I23" s="2370">
        <v>1</v>
      </c>
      <c r="J23" s="1404"/>
      <c r="K23" s="469"/>
      <c r="L23" s="1406" t="str">
        <f>$F$23</f>
        <v>....1</v>
      </c>
      <c r="M23" s="398" t="s">
        <v>559</v>
      </c>
      <c r="N23" s="413"/>
      <c r="O23" s="2418"/>
      <c r="P23" s="2418"/>
      <c r="Q23" s="2418"/>
      <c r="R23" s="2418"/>
      <c r="S23" s="2418"/>
      <c r="T23" s="2418"/>
      <c r="U23" s="2418"/>
      <c r="V23" s="2418"/>
      <c r="W23" s="2418"/>
      <c r="X23" s="1371" t="s">
        <v>560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239</v>
      </c>
      <c r="B24" s="1476" t="s">
        <v>240</v>
      </c>
      <c r="C24" s="1476" t="s">
        <v>241</v>
      </c>
      <c r="D24" s="1476" t="s">
        <v>242</v>
      </c>
      <c r="E24" s="1476"/>
      <c r="F24" s="2720"/>
      <c r="G24" s="2330" t="str">
        <f>F23&amp;".1"</f>
        <v>....1.1</v>
      </c>
      <c r="I24" s="2370"/>
      <c r="J24" s="2370">
        <v>1</v>
      </c>
      <c r="K24" s="470"/>
      <c r="L24" s="1406" t="str">
        <f>$G$24</f>
        <v>....1.1</v>
      </c>
      <c r="M24" s="399" t="s">
        <v>562</v>
      </c>
      <c r="N24" s="413"/>
      <c r="O24" s="2358"/>
      <c r="P24" s="2359"/>
      <c r="Q24" s="2359"/>
      <c r="R24" s="2359"/>
      <c r="S24" s="2359"/>
      <c r="T24" s="2359"/>
      <c r="U24" s="2359"/>
      <c r="V24" s="2359"/>
      <c r="W24" s="2360"/>
      <c r="X24" s="1371" t="s">
        <v>563</v>
      </c>
      <c r="Z24" s="613"/>
      <c r="AA24" s="613" t="str">
        <f>IF(M24="","",M24)</f>
        <v>Группа потребителей</v>
      </c>
      <c r="AB24" s="613"/>
      <c r="AC24" s="613"/>
      <c r="AD24" s="1268">
        <v>82</v>
      </c>
    </row>
    <row customHeight="1" ht="11.549999999999999">
      <c r="A25" s="1476" t="s">
        <v>239</v>
      </c>
      <c r="B25" s="1476" t="s">
        <v>240</v>
      </c>
      <c r="C25" s="1476" t="s">
        <v>241</v>
      </c>
      <c r="D25" s="1476" t="s">
        <v>242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565</v>
      </c>
      <c r="Y25" s="624">
        <f>STRCHECKDATE(O26:W26)</f>
      </c>
      <c r="Z25" s="613"/>
      <c r="AA25" s="613" t="str">
        <f>IF(M25="","",M25)</f>
        <v/>
      </c>
      <c r="AB25" s="613"/>
      <c r="AC25" s="613"/>
      <c r="AD25" s="1268">
        <v>11</v>
      </c>
    </row>
    <row customHeight="1" ht="11.549999999999999">
      <c r="A26" s="1476" t="s">
        <v>239</v>
      </c>
      <c r="B26" s="1476" t="s">
        <v>240</v>
      </c>
      <c r="C26" s="1476" t="s">
        <v>241</v>
      </c>
      <c r="D26" s="1476" t="s">
        <v>242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239</v>
      </c>
      <c r="B27" s="1476" t="s">
        <v>240</v>
      </c>
      <c r="C27" s="1476" t="s">
        <v>241</v>
      </c>
      <c r="D27" s="1476" t="s">
        <v>242</v>
      </c>
      <c r="E27" s="1476"/>
      <c r="F27" s="2720"/>
      <c r="G27" s="2330"/>
      <c r="I27" s="2370"/>
      <c r="J27" s="2370"/>
      <c r="K27" s="469"/>
      <c r="L27" s="1391"/>
      <c r="M27" s="401" t="s">
        <v>566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239</v>
      </c>
      <c r="B28" s="1476" t="s">
        <v>240</v>
      </c>
      <c r="C28" s="1476" t="s">
        <v>241</v>
      </c>
      <c r="D28" s="1476" t="s">
        <v>242</v>
      </c>
      <c r="E28" s="1476"/>
      <c r="F28" s="2720"/>
      <c r="I28" s="2370"/>
      <c r="J28" s="1404"/>
      <c r="K28" s="469"/>
      <c r="L28" s="1391"/>
      <c r="M28" s="400" t="s">
        <v>567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239</v>
      </c>
      <c r="B29" s="1476" t="s">
        <v>240</v>
      </c>
      <c r="C29" s="1476" t="s">
        <v>241</v>
      </c>
      <c r="D29" s="1476" t="s">
        <v>242</v>
      </c>
      <c r="E29" s="1476"/>
      <c r="F29" s="1478"/>
      <c r="G29" s="1478"/>
      <c r="H29" s="650"/>
      <c r="I29" s="473"/>
      <c r="J29" s="488"/>
      <c r="K29" s="468"/>
      <c r="L29" s="1391"/>
      <c r="M29" s="478" t="s">
        <v>568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239</v>
      </c>
      <c r="B30" s="1476" t="s">
        <v>240</v>
      </c>
      <c r="C30" s="1476" t="s">
        <v>241</v>
      </c>
      <c r="D30" s="1476"/>
      <c r="E30" s="1476" t="s">
        <v>740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239</v>
      </c>
      <c r="B31" s="1476" t="s">
        <v>240</v>
      </c>
      <c r="C31" s="1476"/>
      <c r="D31" s="1476"/>
      <c r="E31" s="1476" t="s">
        <v>2390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2391</v>
      </c>
      <c r="B32" s="1476"/>
      <c r="C32" s="1476"/>
      <c r="D32" s="1476"/>
      <c r="E32" s="1476" t="s">
        <v>185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8252" customFormat="1" customHeight="1" ht="11.549999999999999">
      <c r="A33" s="1476"/>
      <c r="B33" s="1476"/>
      <c r="C33" s="1476"/>
      <c r="D33" s="1476"/>
      <c r="E33" s="1476" t="s">
        <v>352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957</v>
      </c>
      <c r="M35" s="2398" t="s">
        <v>2392</v>
      </c>
      <c r="N35" s="2398"/>
      <c r="O35" s="2398"/>
      <c r="P35" s="2398"/>
      <c r="Q35" s="2398"/>
      <c r="R35" s="2398"/>
      <c r="S35" s="2398"/>
      <c r="T35" s="2398"/>
      <c r="U35" s="2398"/>
      <c r="V35" s="2398"/>
      <c r="W35" s="2398"/>
      <c r="X35" s="2398"/>
      <c r="AD35" s="1268">
        <v>27</v>
      </c>
    </row>
    <row customHeight="1" ht="109.19999999999999">
      <c r="H36" s="650"/>
      <c r="I36" s="1416"/>
      <c r="M36" s="2398" t="s">
        <v>2393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B06B3-142E-D965-A725-B041AA5E04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D6878-BEAD-F4FF-DF2D-A1E36C4D08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B7BBF-C114-BC8C-6024-13CD852C6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8B725-C5AF-610D-2F99-D8342E76D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13A5E-AC34-C0DA-3AF7-FE02EBCDBF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D07CF-C99A-B52F-BCD9-EA887CBCA7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8BA52-FDA9-A7A8-6894-8E0A9AFB1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9308C-7EF2-76AA-A6DB-5497E20E823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6E3F-7A8F-94F8-A5A5-BDDD581831F4}" mc:Ignorable="x14ac xr xr2 xr3">
  <dimension ref="A1:E8"/>
  <sheetViews>
    <sheetView topLeftCell="A1" showGridLines="0" workbookViewId="0">
      <selection activeCell="A1" sqref="A1"/>
    </sheetView>
  </sheetViews>
  <sheetFormatPr customHeight="1" defaultRowHeight="11.25"/>
  <cols>
    <col min="1" max="1" style="13352" width="10.57421875" customWidth="1"/>
    <col min="2" max="2" style="13352" width="8.7109375" customWidth="1"/>
    <col min="3" max="3" style="13352" width="18.140625" customWidth="1"/>
    <col min="4" max="4" style="13352" width="12.57421875" customWidth="1"/>
  </cols>
  <sheetData>
    <row customHeight="1" ht="11.25">
      <c r="A1" s="2728" t="s">
        <v>2394</v>
      </c>
      <c r="B1" s="2729" t="s">
        <v>2395</v>
      </c>
      <c r="C1" s="2730" t="s">
        <v>2396</v>
      </c>
      <c r="D1" s="2731"/>
      <c r="E1" s="949" t="s">
        <v>2397</v>
      </c>
    </row>
    <row customHeight="1" ht="11.25">
      <c r="A2" s="2732"/>
      <c r="B2" s="878" t="s">
        <v>26</v>
      </c>
      <c r="C2" s="866"/>
      <c r="D2" s="877"/>
      <c r="E2" s="949"/>
    </row>
    <row customHeight="1" ht="11.25">
      <c r="A3" s="2733"/>
      <c r="B3" s="2734" t="s">
        <v>33</v>
      </c>
      <c r="C3" s="866"/>
      <c r="D3" s="877"/>
      <c r="E3" s="949"/>
    </row>
    <row customHeight="1" ht="11.25">
      <c r="A4" s="2735"/>
      <c r="B4" s="879" t="s">
        <v>1821</v>
      </c>
      <c r="C4" s="866"/>
      <c r="D4" s="877"/>
      <c r="E4" s="949"/>
    </row>
    <row customHeight="1" ht="11.25">
      <c r="A5" s="2736"/>
      <c r="B5" s="879" t="s">
        <v>1815</v>
      </c>
      <c r="C5" s="2737" t="s">
        <v>2161</v>
      </c>
      <c r="D5" s="2738" t="s">
        <v>2398</v>
      </c>
      <c r="E5" s="949"/>
    </row>
    <row s="8252" customFormat="1" customHeight="1" ht="11.25">
      <c r="A6" s="2739"/>
      <c r="B6" s="879" t="s">
        <v>1825</v>
      </c>
      <c r="C6" s="866"/>
      <c r="D6" s="877"/>
      <c r="E6" s="949"/>
    </row>
    <row customHeight="1" ht="11.25">
      <c r="A7" s="2740"/>
      <c r="B7" s="879" t="s">
        <v>1833</v>
      </c>
      <c r="C7" s="866"/>
      <c r="D7" s="877"/>
      <c r="E7" s="949"/>
    </row>
    <row customHeight="1" ht="11.25">
      <c r="A8" s="869"/>
      <c r="B8" s="879" t="s">
        <v>1828</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0436A-D944-E3DD-A2EA-0DBE4D585F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9B2B8-247B-6B61-AC94-2AB8810923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3AD1B-5597-6F5E-1582-535695B12CF2}"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8252" width="9.140625"/>
    <col min="3" max="3" style="8252" width="20.7109375" customWidth="1"/>
    <col min="4" max="4" style="8252" width="25.140625" customWidth="1"/>
    <col min="5" max="9" style="8252" width="9.140625"/>
  </cols>
  <sheetData>
    <row customHeight="1" ht="11.25">
      <c r="A1" s="181" t="s">
        <v>2399</v>
      </c>
      <c r="B1" s="181" t="s">
        <v>2400</v>
      </c>
      <c r="C1" s="181" t="s">
        <v>2401</v>
      </c>
      <c r="D1" s="181" t="s">
        <v>2402</v>
      </c>
      <c r="E1" s="181" t="s">
        <v>2403</v>
      </c>
      <c r="F1" s="181" t="s">
        <v>2404</v>
      </c>
      <c r="G1" s="181" t="s">
        <v>2405</v>
      </c>
      <c r="H1" s="181" t="s">
        <v>2406</v>
      </c>
      <c r="I1" s="181" t="s">
        <v>2407</v>
      </c>
    </row>
    <row customHeight="1" ht="11.25">
      <c r="A2" s="8004" t="s">
        <v>2408</v>
      </c>
      <c r="B2" s="8004" t="s">
        <v>16</v>
      </c>
      <c r="C2" s="8004" t="s">
        <v>2409</v>
      </c>
      <c r="D2" s="8004" t="s">
        <v>2410</v>
      </c>
      <c r="E2" s="8004" t="s">
        <v>2411</v>
      </c>
      <c r="F2" s="8004" t="s">
        <v>2412</v>
      </c>
      <c r="G2" s="8004" t="s">
        <v>2413</v>
      </c>
      <c r="H2" s="8004" t="s">
        <v>28</v>
      </c>
      <c r="I2" s="8004" t="s">
        <v>961</v>
      </c>
    </row>
    <row customHeight="1" ht="11.25">
      <c r="A3" s="8004" t="s">
        <v>2408</v>
      </c>
      <c r="B3" s="8004" t="s">
        <v>16</v>
      </c>
      <c r="C3" s="8004" t="s">
        <v>2414</v>
      </c>
      <c r="D3" s="8004" t="s">
        <v>2410</v>
      </c>
      <c r="E3" s="8004" t="s">
        <v>2411</v>
      </c>
      <c r="F3" s="8004" t="s">
        <v>2415</v>
      </c>
      <c r="G3" s="8004" t="s">
        <v>2416</v>
      </c>
      <c r="H3" s="8004" t="s">
        <v>28</v>
      </c>
      <c r="I3" s="8004" t="s">
        <v>961</v>
      </c>
    </row>
    <row customHeight="1" ht="11.25">
      <c r="A4" s="8004" t="s">
        <v>2408</v>
      </c>
      <c r="B4" s="8004" t="s">
        <v>16</v>
      </c>
      <c r="C4" s="8004" t="s">
        <v>2417</v>
      </c>
      <c r="D4" s="8004" t="s">
        <v>2418</v>
      </c>
      <c r="E4" s="8004" t="s">
        <v>2419</v>
      </c>
      <c r="F4" s="8004" t="s">
        <v>2420</v>
      </c>
      <c r="G4" s="8004" t="s">
        <v>28</v>
      </c>
      <c r="H4" s="8004" t="s">
        <v>28</v>
      </c>
      <c r="I4" s="8004" t="s">
        <v>961</v>
      </c>
    </row>
    <row customHeight="1" ht="11.25">
      <c r="A5" s="8004" t="s">
        <v>2408</v>
      </c>
      <c r="B5" s="8004" t="s">
        <v>16</v>
      </c>
      <c r="C5" s="8004" t="s">
        <v>2421</v>
      </c>
      <c r="D5" s="8004" t="s">
        <v>2422</v>
      </c>
      <c r="E5" s="8004" t="s">
        <v>2423</v>
      </c>
      <c r="F5" s="8004" t="s">
        <v>2424</v>
      </c>
      <c r="G5" s="8004" t="s">
        <v>2425</v>
      </c>
      <c r="H5" s="8004" t="s">
        <v>28</v>
      </c>
      <c r="I5" s="8004" t="s">
        <v>961</v>
      </c>
    </row>
    <row customHeight="1" ht="11.25">
      <c r="A6" s="8004" t="s">
        <v>2408</v>
      </c>
      <c r="B6" s="8004" t="s">
        <v>16</v>
      </c>
      <c r="C6" s="8004" t="s">
        <v>2426</v>
      </c>
      <c r="D6" s="8004" t="s">
        <v>2427</v>
      </c>
      <c r="E6" s="8004" t="s">
        <v>2428</v>
      </c>
      <c r="F6" s="8004" t="s">
        <v>2429</v>
      </c>
      <c r="G6" s="8004" t="s">
        <v>28</v>
      </c>
      <c r="H6" s="8004" t="s">
        <v>28</v>
      </c>
      <c r="I6" s="8004" t="s">
        <v>961</v>
      </c>
    </row>
    <row customHeight="1" ht="11.25">
      <c r="A7" s="8004" t="s">
        <v>2408</v>
      </c>
      <c r="B7" s="8004" t="s">
        <v>16</v>
      </c>
      <c r="C7" s="8004" t="s">
        <v>2430</v>
      </c>
      <c r="D7" s="8004" t="s">
        <v>2431</v>
      </c>
      <c r="E7" s="8004" t="s">
        <v>2432</v>
      </c>
      <c r="F7" s="8004" t="s">
        <v>2433</v>
      </c>
      <c r="G7" s="8004" t="s">
        <v>2434</v>
      </c>
      <c r="H7" s="8004" t="s">
        <v>28</v>
      </c>
      <c r="I7" s="8004" t="s">
        <v>961</v>
      </c>
    </row>
    <row customHeight="1" ht="11.25">
      <c r="A8" s="8004" t="s">
        <v>2408</v>
      </c>
      <c r="B8" s="8004" t="s">
        <v>16</v>
      </c>
      <c r="C8" s="8004" t="s">
        <v>2435</v>
      </c>
      <c r="D8" s="8004" t="s">
        <v>2436</v>
      </c>
      <c r="E8" s="8004" t="s">
        <v>2437</v>
      </c>
      <c r="F8" s="8004" t="s">
        <v>2438</v>
      </c>
      <c r="G8" s="8004" t="s">
        <v>28</v>
      </c>
      <c r="H8" s="8004" t="s">
        <v>28</v>
      </c>
      <c r="I8" s="8004" t="s">
        <v>961</v>
      </c>
    </row>
    <row customHeight="1" ht="11.25">
      <c r="A9" s="8004" t="s">
        <v>2408</v>
      </c>
      <c r="B9" s="8004" t="s">
        <v>16</v>
      </c>
      <c r="C9" s="8004" t="s">
        <v>2439</v>
      </c>
      <c r="D9" s="8004" t="s">
        <v>2440</v>
      </c>
      <c r="E9" s="8004" t="s">
        <v>2441</v>
      </c>
      <c r="F9" s="8004" t="s">
        <v>53</v>
      </c>
      <c r="G9" s="8004" t="s">
        <v>28</v>
      </c>
      <c r="H9" s="8004" t="s">
        <v>28</v>
      </c>
      <c r="I9" s="8004" t="s">
        <v>961</v>
      </c>
    </row>
    <row customHeight="1" ht="11.25">
      <c r="A10" s="8004" t="s">
        <v>2408</v>
      </c>
      <c r="B10" s="8004" t="s">
        <v>16</v>
      </c>
      <c r="C10" s="8004" t="s">
        <v>2442</v>
      </c>
      <c r="D10" s="8004" t="s">
        <v>2443</v>
      </c>
      <c r="E10" s="8004" t="s">
        <v>2444</v>
      </c>
      <c r="F10" s="8004" t="s">
        <v>53</v>
      </c>
      <c r="G10" s="8004" t="s">
        <v>2445</v>
      </c>
      <c r="H10" s="8004" t="s">
        <v>28</v>
      </c>
      <c r="I10" s="8004" t="s">
        <v>961</v>
      </c>
    </row>
    <row customHeight="1" ht="11.25">
      <c r="A11" s="8004" t="s">
        <v>2408</v>
      </c>
      <c r="B11" s="8004" t="s">
        <v>16</v>
      </c>
      <c r="C11" s="8004" t="s">
        <v>13</v>
      </c>
      <c r="D11" s="8004" t="s">
        <v>48</v>
      </c>
      <c r="E11" s="8004" t="s">
        <v>51</v>
      </c>
      <c r="F11" s="8004" t="s">
        <v>53</v>
      </c>
      <c r="G11" s="8004" t="s">
        <v>28</v>
      </c>
      <c r="H11" s="8004" t="s">
        <v>28</v>
      </c>
      <c r="I11" s="8004" t="s">
        <v>961</v>
      </c>
    </row>
    <row customHeight="1" ht="11.25">
      <c r="A12" s="8004" t="s">
        <v>2408</v>
      </c>
      <c r="B12" s="8004" t="s">
        <v>16</v>
      </c>
      <c r="C12" s="8004" t="s">
        <v>2446</v>
      </c>
      <c r="D12" s="8004" t="s">
        <v>2447</v>
      </c>
      <c r="E12" s="8004" t="s">
        <v>2448</v>
      </c>
      <c r="F12" s="8004" t="s">
        <v>2449</v>
      </c>
      <c r="G12" s="8004" t="s">
        <v>28</v>
      </c>
      <c r="H12" s="8004" t="s">
        <v>28</v>
      </c>
      <c r="I12" s="8004" t="s">
        <v>961</v>
      </c>
    </row>
    <row customHeight="1" ht="11.25">
      <c r="A13" s="8004" t="s">
        <v>2408</v>
      </c>
      <c r="B13" s="8004" t="s">
        <v>16</v>
      </c>
      <c r="C13" s="8004" t="s">
        <v>2450</v>
      </c>
      <c r="D13" s="8004" t="s">
        <v>2451</v>
      </c>
      <c r="E13" s="8004" t="s">
        <v>2452</v>
      </c>
      <c r="F13" s="8004" t="s">
        <v>2453</v>
      </c>
      <c r="G13" s="8004" t="s">
        <v>2454</v>
      </c>
      <c r="H13" s="8004" t="s">
        <v>28</v>
      </c>
      <c r="I13" s="8004" t="s">
        <v>961</v>
      </c>
    </row>
    <row customHeight="1" ht="11.25">
      <c r="A14" s="8004" t="s">
        <v>2408</v>
      </c>
      <c r="B14" s="8004" t="s">
        <v>16</v>
      </c>
      <c r="C14" s="8004" t="s">
        <v>2455</v>
      </c>
      <c r="D14" s="8004" t="s">
        <v>2456</v>
      </c>
      <c r="E14" s="8004" t="s">
        <v>2457</v>
      </c>
      <c r="F14" s="8004" t="s">
        <v>2458</v>
      </c>
      <c r="G14" s="8004" t="s">
        <v>28</v>
      </c>
      <c r="H14" s="8004" t="s">
        <v>28</v>
      </c>
      <c r="I14" s="8004" t="s">
        <v>961</v>
      </c>
    </row>
    <row customHeight="1" ht="11.25">
      <c r="A15" s="8004" t="s">
        <v>2408</v>
      </c>
      <c r="B15" s="8004" t="s">
        <v>16</v>
      </c>
      <c r="C15" s="8004" t="s">
        <v>2459</v>
      </c>
      <c r="D15" s="8004" t="s">
        <v>2460</v>
      </c>
      <c r="E15" s="8004" t="s">
        <v>2461</v>
      </c>
      <c r="F15" s="8004" t="s">
        <v>2462</v>
      </c>
      <c r="G15" s="8004" t="s">
        <v>2463</v>
      </c>
      <c r="H15" s="8004" t="s">
        <v>28</v>
      </c>
      <c r="I15" s="8004" t="s">
        <v>961</v>
      </c>
    </row>
    <row customHeight="1" ht="11.25">
      <c r="A16" s="8004" t="s">
        <v>2408</v>
      </c>
      <c r="B16" s="8004" t="s">
        <v>16</v>
      </c>
      <c r="C16" s="8004" t="s">
        <v>2464</v>
      </c>
      <c r="D16" s="8004" t="s">
        <v>2465</v>
      </c>
      <c r="E16" s="8004" t="s">
        <v>2466</v>
      </c>
      <c r="F16" s="8004" t="s">
        <v>2467</v>
      </c>
      <c r="G16" s="8004" t="s">
        <v>28</v>
      </c>
      <c r="H16" s="8004" t="s">
        <v>28</v>
      </c>
      <c r="I16" s="8004" t="s">
        <v>961</v>
      </c>
    </row>
    <row customHeight="1" ht="11.25">
      <c r="A17" s="8004" t="s">
        <v>2408</v>
      </c>
      <c r="B17" s="8004" t="s">
        <v>16</v>
      </c>
      <c r="C17" s="8004" t="s">
        <v>2468</v>
      </c>
      <c r="D17" s="8004" t="s">
        <v>2469</v>
      </c>
      <c r="E17" s="8004" t="s">
        <v>2470</v>
      </c>
      <c r="F17" s="8004" t="s">
        <v>53</v>
      </c>
      <c r="G17" s="8004" t="s">
        <v>2471</v>
      </c>
      <c r="H17" s="8004" t="s">
        <v>28</v>
      </c>
      <c r="I17" s="8004" t="s">
        <v>961</v>
      </c>
    </row>
    <row customHeight="1" ht="11.25">
      <c r="A18" s="8004" t="s">
        <v>2408</v>
      </c>
      <c r="B18" s="8004" t="s">
        <v>16</v>
      </c>
      <c r="C18" s="8004" t="s">
        <v>2472</v>
      </c>
      <c r="D18" s="8004" t="s">
        <v>2473</v>
      </c>
      <c r="E18" s="8004" t="s">
        <v>2474</v>
      </c>
      <c r="F18" s="8004" t="s">
        <v>2475</v>
      </c>
      <c r="G18" s="8004" t="s">
        <v>28</v>
      </c>
      <c r="H18" s="8004" t="s">
        <v>28</v>
      </c>
      <c r="I18" s="8004" t="s">
        <v>961</v>
      </c>
    </row>
    <row customHeight="1" ht="11.25">
      <c r="A19" s="8004" t="s">
        <v>2408</v>
      </c>
      <c r="B19" s="8004" t="s">
        <v>16</v>
      </c>
      <c r="C19" s="8004" t="s">
        <v>2476</v>
      </c>
      <c r="D19" s="8004" t="s">
        <v>2477</v>
      </c>
      <c r="E19" s="8004" t="s">
        <v>2478</v>
      </c>
      <c r="F19" s="8004" t="s">
        <v>53</v>
      </c>
      <c r="G19" s="8004" t="s">
        <v>28</v>
      </c>
      <c r="H19" s="8004" t="s">
        <v>28</v>
      </c>
      <c r="I19" s="8004" t="s">
        <v>961</v>
      </c>
    </row>
    <row customHeight="1" ht="11.25">
      <c r="A20" s="8004" t="s">
        <v>2408</v>
      </c>
      <c r="B20" s="8004" t="s">
        <v>16</v>
      </c>
      <c r="C20" s="8004" t="s">
        <v>2479</v>
      </c>
      <c r="D20" s="8004" t="s">
        <v>2480</v>
      </c>
      <c r="E20" s="8004" t="s">
        <v>2481</v>
      </c>
      <c r="F20" s="8004" t="s">
        <v>53</v>
      </c>
      <c r="G20" s="8004" t="s">
        <v>2482</v>
      </c>
      <c r="H20" s="8004" t="s">
        <v>28</v>
      </c>
      <c r="I20" s="8004" t="s">
        <v>961</v>
      </c>
    </row>
    <row customHeight="1" ht="11.25">
      <c r="A21" s="8004" t="s">
        <v>2408</v>
      </c>
      <c r="B21" s="8004" t="s">
        <v>16</v>
      </c>
      <c r="C21" s="8004" t="s">
        <v>2483</v>
      </c>
      <c r="D21" s="8004" t="s">
        <v>2484</v>
      </c>
      <c r="E21" s="8004" t="s">
        <v>2485</v>
      </c>
      <c r="F21" s="8004" t="s">
        <v>2486</v>
      </c>
      <c r="G21" s="8004" t="s">
        <v>28</v>
      </c>
      <c r="H21" s="8004" t="s">
        <v>28</v>
      </c>
      <c r="I21" s="8004" t="s">
        <v>961</v>
      </c>
    </row>
    <row customHeight="1" ht="11.25">
      <c r="A22" s="8004" t="s">
        <v>2408</v>
      </c>
      <c r="B22" s="8004" t="s">
        <v>16</v>
      </c>
      <c r="C22" s="8004" t="s">
        <v>28</v>
      </c>
      <c r="D22" s="8004" t="s">
        <v>2487</v>
      </c>
      <c r="E22" s="8004" t="s">
        <v>2488</v>
      </c>
      <c r="F22" s="8004" t="s">
        <v>53</v>
      </c>
      <c r="G22" s="8004" t="s">
        <v>28</v>
      </c>
      <c r="H22" s="8004" t="s">
        <v>28</v>
      </c>
      <c r="I22" s="8004" t="s">
        <v>961</v>
      </c>
    </row>
    <row customHeight="1" ht="11.25">
      <c r="A23" s="8004" t="s">
        <v>2408</v>
      </c>
      <c r="B23" s="8004" t="s">
        <v>16</v>
      </c>
      <c r="C23" s="8004" t="s">
        <v>2489</v>
      </c>
      <c r="D23" s="8004" t="s">
        <v>2490</v>
      </c>
      <c r="E23" s="8004" t="s">
        <v>2491</v>
      </c>
      <c r="F23" s="8004" t="s">
        <v>2492</v>
      </c>
      <c r="G23" s="8004" t="s">
        <v>28</v>
      </c>
      <c r="H23" s="8004" t="s">
        <v>28</v>
      </c>
      <c r="I23" s="8004" t="s">
        <v>961</v>
      </c>
    </row>
    <row customHeight="1" ht="11.25">
      <c r="A24" s="8004" t="s">
        <v>2408</v>
      </c>
      <c r="B24" s="8004" t="s">
        <v>16</v>
      </c>
      <c r="C24" s="8004" t="s">
        <v>2493</v>
      </c>
      <c r="D24" s="8004" t="s">
        <v>2494</v>
      </c>
      <c r="E24" s="8004" t="s">
        <v>2495</v>
      </c>
      <c r="F24" s="8004" t="s">
        <v>2420</v>
      </c>
      <c r="G24" s="8004" t="s">
        <v>28</v>
      </c>
      <c r="H24" s="8004" t="s">
        <v>28</v>
      </c>
      <c r="I24" s="8004" t="s">
        <v>961</v>
      </c>
    </row>
    <row customHeight="1" ht="11.25">
      <c r="A25" s="8004" t="s">
        <v>2408</v>
      </c>
      <c r="B25" s="8004" t="s">
        <v>16</v>
      </c>
      <c r="C25" s="8004" t="s">
        <v>2496</v>
      </c>
      <c r="D25" s="8004" t="s">
        <v>2497</v>
      </c>
      <c r="E25" s="8004" t="s">
        <v>2498</v>
      </c>
      <c r="F25" s="8004" t="s">
        <v>2492</v>
      </c>
      <c r="G25" s="8004" t="s">
        <v>2499</v>
      </c>
      <c r="H25" s="8004" t="s">
        <v>28</v>
      </c>
      <c r="I25" s="8004" t="s">
        <v>961</v>
      </c>
    </row>
    <row customHeight="1" ht="11.25">
      <c r="A26" s="8004" t="s">
        <v>2408</v>
      </c>
      <c r="B26" s="8004" t="s">
        <v>16</v>
      </c>
      <c r="C26" s="8004" t="s">
        <v>2500</v>
      </c>
      <c r="D26" s="8004" t="s">
        <v>2501</v>
      </c>
      <c r="E26" s="8004" t="s">
        <v>2502</v>
      </c>
      <c r="F26" s="8004" t="s">
        <v>2492</v>
      </c>
      <c r="G26" s="8004" t="s">
        <v>2503</v>
      </c>
      <c r="H26" s="8004" t="s">
        <v>28</v>
      </c>
      <c r="I26" s="8004" t="s">
        <v>961</v>
      </c>
    </row>
    <row customHeight="1" ht="11.25">
      <c r="A27" s="8004" t="s">
        <v>2408</v>
      </c>
      <c r="B27" s="8004" t="s">
        <v>16</v>
      </c>
      <c r="C27" s="8004" t="s">
        <v>2504</v>
      </c>
      <c r="D27" s="8004" t="s">
        <v>2505</v>
      </c>
      <c r="E27" s="8004" t="s">
        <v>2506</v>
      </c>
      <c r="F27" s="8004" t="s">
        <v>2507</v>
      </c>
      <c r="G27" s="8004" t="s">
        <v>2508</v>
      </c>
      <c r="H27" s="8004" t="s">
        <v>28</v>
      </c>
      <c r="I27" s="8004" t="s">
        <v>961</v>
      </c>
    </row>
    <row customHeight="1" ht="11.25">
      <c r="A28" s="8004" t="s">
        <v>2408</v>
      </c>
      <c r="B28" s="8004" t="s">
        <v>16</v>
      </c>
      <c r="C28" s="8004" t="s">
        <v>2509</v>
      </c>
      <c r="D28" s="8004" t="s">
        <v>2510</v>
      </c>
      <c r="E28" s="8004" t="s">
        <v>2511</v>
      </c>
      <c r="F28" s="8004" t="s">
        <v>2512</v>
      </c>
      <c r="G28" s="8004" t="s">
        <v>28</v>
      </c>
      <c r="H28" s="8004" t="s">
        <v>28</v>
      </c>
      <c r="I28" s="8004" t="s">
        <v>961</v>
      </c>
    </row>
    <row customHeight="1" ht="11.25">
      <c r="A29" s="8004" t="s">
        <v>2408</v>
      </c>
      <c r="B29" s="8004" t="s">
        <v>16</v>
      </c>
      <c r="C29" s="8004" t="s">
        <v>2513</v>
      </c>
      <c r="D29" s="8004" t="s">
        <v>2514</v>
      </c>
      <c r="E29" s="8004" t="s">
        <v>2515</v>
      </c>
      <c r="F29" s="8004" t="s">
        <v>2453</v>
      </c>
      <c r="G29" s="8004" t="s">
        <v>28</v>
      </c>
      <c r="H29" s="8004" t="s">
        <v>28</v>
      </c>
      <c r="I29" s="8004" t="s">
        <v>961</v>
      </c>
    </row>
    <row customHeight="1" ht="11.25">
      <c r="A30" s="8004" t="s">
        <v>2408</v>
      </c>
      <c r="B30" s="8004" t="s">
        <v>16</v>
      </c>
      <c r="C30" s="8004" t="s">
        <v>2516</v>
      </c>
      <c r="D30" s="8004" t="s">
        <v>2517</v>
      </c>
      <c r="E30" s="8004" t="s">
        <v>2518</v>
      </c>
      <c r="F30" s="8004" t="s">
        <v>2519</v>
      </c>
      <c r="G30" s="8004" t="s">
        <v>28</v>
      </c>
      <c r="H30" s="8004" t="s">
        <v>28</v>
      </c>
      <c r="I30" s="8004" t="s">
        <v>961</v>
      </c>
    </row>
    <row customHeight="1" ht="11.25">
      <c r="A31" s="8004" t="s">
        <v>2408</v>
      </c>
      <c r="B31" s="8004" t="s">
        <v>16</v>
      </c>
      <c r="C31" s="8004" t="s">
        <v>2520</v>
      </c>
      <c r="D31" s="8004" t="s">
        <v>2521</v>
      </c>
      <c r="E31" s="8004" t="s">
        <v>2522</v>
      </c>
      <c r="F31" s="8004" t="s">
        <v>2429</v>
      </c>
      <c r="G31" s="8004" t="s">
        <v>28</v>
      </c>
      <c r="H31" s="8004" t="s">
        <v>28</v>
      </c>
      <c r="I31" s="8004" t="s">
        <v>961</v>
      </c>
    </row>
    <row customHeight="1" ht="11.25">
      <c r="A32" s="8004" t="s">
        <v>2408</v>
      </c>
      <c r="B32" s="8004" t="s">
        <v>16</v>
      </c>
      <c r="C32" s="8004" t="s">
        <v>2523</v>
      </c>
      <c r="D32" s="8004" t="s">
        <v>2524</v>
      </c>
      <c r="E32" s="8004" t="s">
        <v>2525</v>
      </c>
      <c r="F32" s="8004" t="s">
        <v>2420</v>
      </c>
      <c r="G32" s="8004" t="s">
        <v>28</v>
      </c>
      <c r="H32" s="8004" t="s">
        <v>28</v>
      </c>
      <c r="I32" s="8004" t="s">
        <v>961</v>
      </c>
    </row>
    <row customHeight="1" ht="11.25">
      <c r="A33" s="8004" t="s">
        <v>2408</v>
      </c>
      <c r="B33" s="8004" t="s">
        <v>16</v>
      </c>
      <c r="C33" s="8004" t="s">
        <v>2526</v>
      </c>
      <c r="D33" s="8004" t="s">
        <v>2527</v>
      </c>
      <c r="E33" s="8004" t="s">
        <v>2528</v>
      </c>
      <c r="F33" s="8004" t="s">
        <v>53</v>
      </c>
      <c r="G33" s="8004" t="s">
        <v>28</v>
      </c>
      <c r="H33" s="8004" t="s">
        <v>28</v>
      </c>
      <c r="I33" s="8004" t="s">
        <v>961</v>
      </c>
    </row>
    <row customHeight="1" ht="11.25">
      <c r="A34" s="8004" t="s">
        <v>2408</v>
      </c>
      <c r="B34" s="8004" t="s">
        <v>16</v>
      </c>
      <c r="C34" s="8004" t="s">
        <v>2529</v>
      </c>
      <c r="D34" s="8004" t="s">
        <v>2530</v>
      </c>
      <c r="E34" s="8004" t="s">
        <v>2531</v>
      </c>
      <c r="F34" s="8004" t="s">
        <v>2507</v>
      </c>
      <c r="G34" s="8004" t="s">
        <v>28</v>
      </c>
      <c r="H34" s="8004" t="s">
        <v>28</v>
      </c>
      <c r="I34" s="8004" t="s">
        <v>961</v>
      </c>
    </row>
    <row customHeight="1" ht="11.25">
      <c r="A35" s="8004" t="s">
        <v>2408</v>
      </c>
      <c r="B35" s="8004" t="s">
        <v>16</v>
      </c>
      <c r="C35" s="8004" t="s">
        <v>2532</v>
      </c>
      <c r="D35" s="8004" t="s">
        <v>2533</v>
      </c>
      <c r="E35" s="8004" t="s">
        <v>2534</v>
      </c>
      <c r="F35" s="8004" t="s">
        <v>2507</v>
      </c>
      <c r="G35" s="8004" t="s">
        <v>2535</v>
      </c>
      <c r="H35" s="8004" t="s">
        <v>28</v>
      </c>
      <c r="I35" s="8004" t="s">
        <v>961</v>
      </c>
    </row>
    <row customHeight="1" ht="11.25">
      <c r="A36" s="8004" t="s">
        <v>2408</v>
      </c>
      <c r="B36" s="8004" t="s">
        <v>16</v>
      </c>
      <c r="C36" s="8004" t="s">
        <v>2536</v>
      </c>
      <c r="D36" s="8004" t="s">
        <v>2537</v>
      </c>
      <c r="E36" s="8004" t="s">
        <v>2538</v>
      </c>
      <c r="F36" s="8004" t="s">
        <v>2539</v>
      </c>
      <c r="G36" s="8004" t="s">
        <v>28</v>
      </c>
      <c r="H36" s="8004" t="s">
        <v>28</v>
      </c>
      <c r="I36" s="8004" t="s">
        <v>961</v>
      </c>
    </row>
    <row customHeight="1" ht="11.25">
      <c r="A37" s="8004" t="s">
        <v>2408</v>
      </c>
      <c r="B37" s="8004" t="s">
        <v>16</v>
      </c>
      <c r="C37" s="8004" t="s">
        <v>2540</v>
      </c>
      <c r="D37" s="8004" t="s">
        <v>2541</v>
      </c>
      <c r="E37" s="8004" t="s">
        <v>2542</v>
      </c>
      <c r="F37" s="8004" t="s">
        <v>2492</v>
      </c>
      <c r="G37" s="8004" t="s">
        <v>28</v>
      </c>
      <c r="H37" s="8004" t="s">
        <v>28</v>
      </c>
      <c r="I37" s="8004" t="s">
        <v>961</v>
      </c>
    </row>
    <row customHeight="1" ht="11.25">
      <c r="A38" s="8004" t="s">
        <v>2408</v>
      </c>
      <c r="B38" s="8004" t="s">
        <v>16</v>
      </c>
      <c r="C38" s="8004" t="s">
        <v>2543</v>
      </c>
      <c r="D38" s="8004" t="s">
        <v>2544</v>
      </c>
      <c r="E38" s="8004" t="s">
        <v>2545</v>
      </c>
      <c r="F38" s="8004" t="s">
        <v>2420</v>
      </c>
      <c r="G38" s="8004" t="s">
        <v>28</v>
      </c>
      <c r="H38" s="8004" t="s">
        <v>28</v>
      </c>
      <c r="I38" s="8004" t="s">
        <v>961</v>
      </c>
    </row>
    <row customHeight="1" ht="11.25">
      <c r="A39" s="8004" t="s">
        <v>2408</v>
      </c>
      <c r="B39" s="8004" t="s">
        <v>16</v>
      </c>
      <c r="C39" s="8004" t="s">
        <v>2546</v>
      </c>
      <c r="D39" s="8004" t="s">
        <v>2547</v>
      </c>
      <c r="E39" s="8004" t="s">
        <v>2548</v>
      </c>
      <c r="F39" s="8004" t="s">
        <v>2462</v>
      </c>
      <c r="G39" s="8004" t="s">
        <v>28</v>
      </c>
      <c r="H39" s="8004" t="s">
        <v>28</v>
      </c>
      <c r="I39" s="8004" t="s">
        <v>961</v>
      </c>
    </row>
    <row customHeight="1" ht="11.25">
      <c r="A40" s="8004" t="s">
        <v>2408</v>
      </c>
      <c r="B40" s="8004" t="s">
        <v>16</v>
      </c>
      <c r="C40" s="8004" t="s">
        <v>2549</v>
      </c>
      <c r="D40" s="8004" t="s">
        <v>2550</v>
      </c>
      <c r="E40" s="8004" t="s">
        <v>2551</v>
      </c>
      <c r="F40" s="8004" t="s">
        <v>2552</v>
      </c>
      <c r="G40" s="8004" t="s">
        <v>28</v>
      </c>
      <c r="H40" s="8004" t="s">
        <v>28</v>
      </c>
      <c r="I40" s="8004" t="s">
        <v>961</v>
      </c>
    </row>
    <row customHeight="1" ht="11.25">
      <c r="A41" s="8004" t="s">
        <v>2408</v>
      </c>
      <c r="B41" s="8004" t="s">
        <v>16</v>
      </c>
      <c r="C41" s="8004" t="s">
        <v>2553</v>
      </c>
      <c r="D41" s="8004" t="s">
        <v>2554</v>
      </c>
      <c r="E41" s="8004" t="s">
        <v>2555</v>
      </c>
      <c r="F41" s="8004" t="s">
        <v>2420</v>
      </c>
      <c r="G41" s="8004" t="s">
        <v>2556</v>
      </c>
      <c r="H41" s="8004" t="s">
        <v>28</v>
      </c>
      <c r="I41" s="8004" t="s">
        <v>961</v>
      </c>
    </row>
    <row customHeight="1" ht="11.25">
      <c r="A42" s="8004" t="s">
        <v>2408</v>
      </c>
      <c r="B42" s="8004" t="s">
        <v>16</v>
      </c>
      <c r="C42" s="8004" t="s">
        <v>2557</v>
      </c>
      <c r="D42" s="8004" t="s">
        <v>2558</v>
      </c>
      <c r="E42" s="8004" t="s">
        <v>2559</v>
      </c>
      <c r="F42" s="8004" t="s">
        <v>2507</v>
      </c>
      <c r="G42" s="8004" t="s">
        <v>2560</v>
      </c>
      <c r="H42" s="8004" t="s">
        <v>28</v>
      </c>
      <c r="I42" s="8004" t="s">
        <v>961</v>
      </c>
    </row>
    <row customHeight="1" ht="11.25">
      <c r="A43" s="8004" t="s">
        <v>2408</v>
      </c>
      <c r="B43" s="8004" t="s">
        <v>16</v>
      </c>
      <c r="C43" s="8004" t="s">
        <v>2561</v>
      </c>
      <c r="D43" s="8004" t="s">
        <v>2562</v>
      </c>
      <c r="E43" s="8004" t="s">
        <v>2563</v>
      </c>
      <c r="F43" s="8004" t="s">
        <v>2420</v>
      </c>
      <c r="G43" s="8004" t="s">
        <v>28</v>
      </c>
      <c r="H43" s="8004" t="s">
        <v>28</v>
      </c>
      <c r="I43" s="8004" t="s">
        <v>961</v>
      </c>
    </row>
    <row customHeight="1" ht="11.25">
      <c r="A44" s="8004" t="s">
        <v>2408</v>
      </c>
      <c r="B44" s="8004" t="s">
        <v>16</v>
      </c>
      <c r="C44" s="8004" t="s">
        <v>2564</v>
      </c>
      <c r="D44" s="8004" t="s">
        <v>2565</v>
      </c>
      <c r="E44" s="8004" t="s">
        <v>2566</v>
      </c>
      <c r="F44" s="8004" t="s">
        <v>2567</v>
      </c>
      <c r="G44" s="8004" t="s">
        <v>2568</v>
      </c>
      <c r="H44" s="8004" t="s">
        <v>28</v>
      </c>
      <c r="I44" s="8004" t="s">
        <v>961</v>
      </c>
    </row>
    <row customHeight="1" ht="11.25">
      <c r="A45" s="8004" t="s">
        <v>2408</v>
      </c>
      <c r="B45" s="8004" t="s">
        <v>16</v>
      </c>
      <c r="C45" s="8004" t="s">
        <v>2569</v>
      </c>
      <c r="D45" s="8004" t="s">
        <v>2570</v>
      </c>
      <c r="E45" s="8004" t="s">
        <v>2571</v>
      </c>
      <c r="F45" s="8004" t="s">
        <v>2572</v>
      </c>
      <c r="G45" s="8004" t="s">
        <v>2573</v>
      </c>
      <c r="H45" s="8004" t="s">
        <v>28</v>
      </c>
      <c r="I45" s="8004" t="s">
        <v>961</v>
      </c>
    </row>
    <row customHeight="1" ht="11.25">
      <c r="A46" s="8004" t="s">
        <v>2408</v>
      </c>
      <c r="B46" s="8004" t="s">
        <v>16</v>
      </c>
      <c r="C46" s="8004" t="s">
        <v>2574</v>
      </c>
      <c r="D46" s="8004" t="s">
        <v>2575</v>
      </c>
      <c r="E46" s="8004" t="s">
        <v>2576</v>
      </c>
      <c r="F46" s="8004" t="s">
        <v>2577</v>
      </c>
      <c r="G46" s="8004" t="s">
        <v>28</v>
      </c>
      <c r="H46" s="8004" t="s">
        <v>28</v>
      </c>
      <c r="I46" s="8004" t="s">
        <v>961</v>
      </c>
    </row>
    <row customHeight="1" ht="11.25">
      <c r="A47" s="8004" t="s">
        <v>2408</v>
      </c>
      <c r="B47" s="8004" t="s">
        <v>16</v>
      </c>
      <c r="C47" s="8004" t="s">
        <v>2578</v>
      </c>
      <c r="D47" s="8004" t="s">
        <v>2579</v>
      </c>
      <c r="E47" s="8004" t="s">
        <v>2580</v>
      </c>
      <c r="F47" s="8004" t="s">
        <v>2420</v>
      </c>
      <c r="G47" s="8004" t="s">
        <v>28</v>
      </c>
      <c r="H47" s="8004" t="s">
        <v>28</v>
      </c>
      <c r="I47" s="8004" t="s">
        <v>961</v>
      </c>
    </row>
    <row customHeight="1" ht="11.25">
      <c r="A48" s="8004" t="s">
        <v>2408</v>
      </c>
      <c r="B48" s="8004" t="s">
        <v>16</v>
      </c>
      <c r="C48" s="8004" t="s">
        <v>2581</v>
      </c>
      <c r="D48" s="8004" t="s">
        <v>2582</v>
      </c>
      <c r="E48" s="8004" t="s">
        <v>2583</v>
      </c>
      <c r="F48" s="8004" t="s">
        <v>2420</v>
      </c>
      <c r="G48" s="8004" t="s">
        <v>28</v>
      </c>
      <c r="H48" s="8004" t="s">
        <v>28</v>
      </c>
      <c r="I48" s="8004" t="s">
        <v>961</v>
      </c>
    </row>
    <row customHeight="1" ht="11.25">
      <c r="A49" s="8004" t="s">
        <v>2408</v>
      </c>
      <c r="B49" s="8004" t="s">
        <v>16</v>
      </c>
      <c r="C49" s="8004" t="s">
        <v>2584</v>
      </c>
      <c r="D49" s="8004" t="s">
        <v>2585</v>
      </c>
      <c r="E49" s="8004" t="s">
        <v>2586</v>
      </c>
      <c r="F49" s="8004" t="s">
        <v>2587</v>
      </c>
      <c r="G49" s="8004" t="s">
        <v>2588</v>
      </c>
      <c r="H49" s="8004" t="s">
        <v>28</v>
      </c>
      <c r="I49" s="8004" t="s">
        <v>961</v>
      </c>
    </row>
    <row customHeight="1" ht="11.25">
      <c r="A50" s="8004" t="s">
        <v>2408</v>
      </c>
      <c r="B50" s="8004" t="s">
        <v>16</v>
      </c>
      <c r="C50" s="8004" t="s">
        <v>2589</v>
      </c>
      <c r="D50" s="8004" t="s">
        <v>2590</v>
      </c>
      <c r="E50" s="8004" t="s">
        <v>2591</v>
      </c>
      <c r="F50" s="8004" t="s">
        <v>2507</v>
      </c>
      <c r="G50" s="8004" t="s">
        <v>28</v>
      </c>
      <c r="H50" s="8004" t="s">
        <v>28</v>
      </c>
      <c r="I50" s="8004" t="s">
        <v>961</v>
      </c>
    </row>
    <row customHeight="1" ht="11.25">
      <c r="A51" s="8004" t="s">
        <v>2408</v>
      </c>
      <c r="B51" s="8004" t="s">
        <v>16</v>
      </c>
      <c r="C51" s="8004" t="s">
        <v>2592</v>
      </c>
      <c r="D51" s="8004" t="s">
        <v>2593</v>
      </c>
      <c r="E51" s="8004" t="s">
        <v>2594</v>
      </c>
      <c r="F51" s="8004" t="s">
        <v>2512</v>
      </c>
      <c r="G51" s="8004" t="s">
        <v>28</v>
      </c>
      <c r="H51" s="8004" t="s">
        <v>28</v>
      </c>
      <c r="I51" s="8004" t="s">
        <v>961</v>
      </c>
    </row>
    <row customHeight="1" ht="11.25">
      <c r="A52" s="8004" t="s">
        <v>2408</v>
      </c>
      <c r="B52" s="8004" t="s">
        <v>16</v>
      </c>
      <c r="C52" s="8004" t="s">
        <v>2595</v>
      </c>
      <c r="D52" s="8004" t="s">
        <v>2596</v>
      </c>
      <c r="E52" s="8004" t="s">
        <v>2597</v>
      </c>
      <c r="F52" s="8004" t="s">
        <v>2507</v>
      </c>
      <c r="G52" s="8004" t="s">
        <v>2598</v>
      </c>
      <c r="H52" s="8004" t="s">
        <v>28</v>
      </c>
      <c r="I52" s="8004" t="s">
        <v>961</v>
      </c>
    </row>
    <row customHeight="1" ht="11.25">
      <c r="A53" s="8004" t="s">
        <v>2408</v>
      </c>
      <c r="B53" s="8004" t="s">
        <v>16</v>
      </c>
      <c r="C53" s="8004" t="s">
        <v>2599</v>
      </c>
      <c r="D53" s="8004" t="s">
        <v>2600</v>
      </c>
      <c r="E53" s="8004" t="s">
        <v>2601</v>
      </c>
      <c r="F53" s="8004" t="s">
        <v>2429</v>
      </c>
      <c r="G53" s="8004" t="s">
        <v>2602</v>
      </c>
      <c r="H53" s="8004" t="s">
        <v>28</v>
      </c>
      <c r="I53" s="8004" t="s">
        <v>961</v>
      </c>
    </row>
    <row customHeight="1" ht="11.25">
      <c r="A54" s="8004" t="s">
        <v>2408</v>
      </c>
      <c r="B54" s="8004" t="s">
        <v>16</v>
      </c>
      <c r="C54" s="8004" t="s">
        <v>2603</v>
      </c>
      <c r="D54" s="8004" t="s">
        <v>2604</v>
      </c>
      <c r="E54" s="8004" t="s">
        <v>2605</v>
      </c>
      <c r="F54" s="8004" t="s">
        <v>2587</v>
      </c>
      <c r="G54" s="8004" t="s">
        <v>28</v>
      </c>
      <c r="H54" s="8004" t="s">
        <v>28</v>
      </c>
      <c r="I54" s="8004" t="s">
        <v>961</v>
      </c>
    </row>
    <row customHeight="1" ht="11.25">
      <c r="A55" s="8004" t="s">
        <v>2408</v>
      </c>
      <c r="B55" s="8004" t="s">
        <v>16</v>
      </c>
      <c r="C55" s="8004" t="s">
        <v>2606</v>
      </c>
      <c r="D55" s="8004" t="s">
        <v>2607</v>
      </c>
      <c r="E55" s="8004" t="s">
        <v>2608</v>
      </c>
      <c r="F55" s="8004" t="s">
        <v>2609</v>
      </c>
      <c r="G55" s="8004" t="s">
        <v>2610</v>
      </c>
      <c r="H55" s="8004" t="s">
        <v>28</v>
      </c>
      <c r="I55" s="8004" t="s">
        <v>961</v>
      </c>
    </row>
    <row customHeight="1" ht="11.25">
      <c r="A56" s="8004" t="s">
        <v>2408</v>
      </c>
      <c r="B56" s="8004" t="s">
        <v>16</v>
      </c>
      <c r="C56" s="8004" t="s">
        <v>2611</v>
      </c>
      <c r="D56" s="8004" t="s">
        <v>2612</v>
      </c>
      <c r="E56" s="8004" t="s">
        <v>2613</v>
      </c>
      <c r="F56" s="8004" t="s">
        <v>2587</v>
      </c>
      <c r="G56" s="8004" t="s">
        <v>28</v>
      </c>
      <c r="H56" s="8004" t="s">
        <v>28</v>
      </c>
      <c r="I56" s="8004" t="s">
        <v>961</v>
      </c>
    </row>
    <row customHeight="1" ht="11.25">
      <c r="A57" s="8004" t="s">
        <v>2408</v>
      </c>
      <c r="B57" s="8004" t="s">
        <v>16</v>
      </c>
      <c r="C57" s="8004" t="s">
        <v>2614</v>
      </c>
      <c r="D57" s="8004" t="s">
        <v>2615</v>
      </c>
      <c r="E57" s="8004" t="s">
        <v>2616</v>
      </c>
      <c r="F57" s="8004" t="s">
        <v>2453</v>
      </c>
      <c r="G57" s="8004" t="s">
        <v>28</v>
      </c>
      <c r="H57" s="8004" t="s">
        <v>28</v>
      </c>
      <c r="I57" s="8004" t="s">
        <v>961</v>
      </c>
    </row>
    <row customHeight="1" ht="11.25">
      <c r="A58" s="8004" t="s">
        <v>2408</v>
      </c>
      <c r="B58" s="8004" t="s">
        <v>16</v>
      </c>
      <c r="C58" s="8004" t="s">
        <v>2617</v>
      </c>
      <c r="D58" s="8004" t="s">
        <v>2618</v>
      </c>
      <c r="E58" s="8004" t="s">
        <v>2619</v>
      </c>
      <c r="F58" s="8004" t="s">
        <v>2507</v>
      </c>
      <c r="G58" s="8004" t="s">
        <v>28</v>
      </c>
      <c r="H58" s="8004" t="s">
        <v>28</v>
      </c>
      <c r="I58" s="8004" t="s">
        <v>961</v>
      </c>
    </row>
    <row customHeight="1" ht="11.25">
      <c r="A59" s="8004" t="s">
        <v>2408</v>
      </c>
      <c r="B59" s="8004" t="s">
        <v>16</v>
      </c>
      <c r="C59" s="8004" t="s">
        <v>2620</v>
      </c>
      <c r="D59" s="8004" t="s">
        <v>2621</v>
      </c>
      <c r="E59" s="8004" t="s">
        <v>2622</v>
      </c>
      <c r="F59" s="8004" t="s">
        <v>2623</v>
      </c>
      <c r="G59" s="8004" t="s">
        <v>2624</v>
      </c>
      <c r="H59" s="8004" t="s">
        <v>28</v>
      </c>
      <c r="I59" s="8004" t="s">
        <v>961</v>
      </c>
    </row>
    <row customHeight="1" ht="11.25">
      <c r="A60" s="8004" t="s">
        <v>2408</v>
      </c>
      <c r="B60" s="8004" t="s">
        <v>16</v>
      </c>
      <c r="C60" s="8004" t="s">
        <v>2625</v>
      </c>
      <c r="D60" s="8004" t="s">
        <v>2626</v>
      </c>
      <c r="E60" s="8004" t="s">
        <v>2571</v>
      </c>
      <c r="F60" s="8004" t="s">
        <v>2627</v>
      </c>
      <c r="G60" s="8004" t="s">
        <v>28</v>
      </c>
      <c r="H60" s="8004" t="s">
        <v>28</v>
      </c>
      <c r="I60" s="8004" t="s">
        <v>961</v>
      </c>
    </row>
    <row customHeight="1" ht="11.25">
      <c r="A61" s="8004" t="s">
        <v>2408</v>
      </c>
      <c r="B61" s="8004" t="s">
        <v>16</v>
      </c>
      <c r="C61" s="8004" t="s">
        <v>2628</v>
      </c>
      <c r="D61" s="8004" t="s">
        <v>2629</v>
      </c>
      <c r="E61" s="8004" t="s">
        <v>2630</v>
      </c>
      <c r="F61" s="8004" t="s">
        <v>53</v>
      </c>
      <c r="G61" s="8004" t="s">
        <v>28</v>
      </c>
      <c r="H61" s="8004" t="s">
        <v>28</v>
      </c>
      <c r="I61" s="8004" t="s">
        <v>961</v>
      </c>
    </row>
    <row customHeight="1" ht="11.25">
      <c r="A62" s="8004" t="s">
        <v>2408</v>
      </c>
      <c r="B62" s="8004" t="s">
        <v>16</v>
      </c>
      <c r="C62" s="8004" t="s">
        <v>2631</v>
      </c>
      <c r="D62" s="8004" t="s">
        <v>2632</v>
      </c>
      <c r="E62" s="8004" t="s">
        <v>2622</v>
      </c>
      <c r="F62" s="8004" t="s">
        <v>2633</v>
      </c>
      <c r="G62" s="8004" t="s">
        <v>2634</v>
      </c>
      <c r="H62" s="8004" t="s">
        <v>28</v>
      </c>
      <c r="I62" s="8004" t="s">
        <v>961</v>
      </c>
    </row>
    <row customHeight="1" ht="11.25">
      <c r="A63" s="8004" t="s">
        <v>2408</v>
      </c>
      <c r="B63" s="8004" t="s">
        <v>16</v>
      </c>
      <c r="C63" s="8004" t="s">
        <v>2635</v>
      </c>
      <c r="D63" s="8004" t="s">
        <v>2636</v>
      </c>
      <c r="E63" s="8004" t="s">
        <v>2637</v>
      </c>
      <c r="F63" s="8004" t="s">
        <v>2638</v>
      </c>
      <c r="G63" s="8004" t="s">
        <v>28</v>
      </c>
      <c r="H63" s="8004" t="s">
        <v>28</v>
      </c>
      <c r="I63" s="8004" t="s">
        <v>961</v>
      </c>
    </row>
    <row customHeight="1" ht="11.25">
      <c r="A64" s="8004" t="s">
        <v>2408</v>
      </c>
      <c r="B64" s="8004" t="s">
        <v>16</v>
      </c>
      <c r="C64" s="8004" t="s">
        <v>2639</v>
      </c>
      <c r="D64" s="8004" t="s">
        <v>2640</v>
      </c>
      <c r="E64" s="8004" t="s">
        <v>2641</v>
      </c>
      <c r="F64" s="8004" t="s">
        <v>2642</v>
      </c>
      <c r="G64" s="8004" t="s">
        <v>2643</v>
      </c>
      <c r="H64" s="8004" t="s">
        <v>28</v>
      </c>
      <c r="I64" s="8004" t="s">
        <v>961</v>
      </c>
    </row>
    <row customHeight="1" ht="11.25">
      <c r="A65" s="8004" t="s">
        <v>2408</v>
      </c>
      <c r="B65" s="8004" t="s">
        <v>16</v>
      </c>
      <c r="C65" s="8004" t="s">
        <v>2644</v>
      </c>
      <c r="D65" s="8004" t="s">
        <v>2645</v>
      </c>
      <c r="E65" s="8004" t="s">
        <v>2646</v>
      </c>
      <c r="F65" s="8004" t="s">
        <v>2420</v>
      </c>
      <c r="G65" s="8004" t="s">
        <v>28</v>
      </c>
      <c r="H65" s="8004" t="s">
        <v>28</v>
      </c>
      <c r="I65" s="8004" t="s">
        <v>961</v>
      </c>
    </row>
    <row customHeight="1" ht="11.25">
      <c r="A66" s="8004" t="s">
        <v>2408</v>
      </c>
      <c r="B66" s="8004" t="s">
        <v>16</v>
      </c>
      <c r="C66" s="8004" t="s">
        <v>2647</v>
      </c>
      <c r="D66" s="8004" t="s">
        <v>2648</v>
      </c>
      <c r="E66" s="8004" t="s">
        <v>2649</v>
      </c>
      <c r="F66" s="8004" t="s">
        <v>2577</v>
      </c>
      <c r="G66" s="8004" t="s">
        <v>28</v>
      </c>
      <c r="H66" s="8004" t="s">
        <v>28</v>
      </c>
      <c r="I66" s="8004" t="s">
        <v>961</v>
      </c>
    </row>
    <row customHeight="1" ht="11.25">
      <c r="A67" s="8004" t="s">
        <v>2408</v>
      </c>
      <c r="B67" s="8004" t="s">
        <v>16</v>
      </c>
      <c r="C67" s="8004" t="s">
        <v>2409</v>
      </c>
      <c r="D67" s="8004" t="s">
        <v>2410</v>
      </c>
      <c r="E67" s="8004" t="s">
        <v>2411</v>
      </c>
      <c r="F67" s="8004" t="s">
        <v>2412</v>
      </c>
      <c r="G67" s="8004" t="s">
        <v>2413</v>
      </c>
      <c r="H67" s="8004" t="s">
        <v>28</v>
      </c>
      <c r="I67" s="8004" t="s">
        <v>1047</v>
      </c>
    </row>
    <row customHeight="1" ht="11.25">
      <c r="A68" s="8004" t="s">
        <v>2408</v>
      </c>
      <c r="B68" s="8004" t="s">
        <v>16</v>
      </c>
      <c r="C68" s="8004" t="s">
        <v>2414</v>
      </c>
      <c r="D68" s="8004" t="s">
        <v>2410</v>
      </c>
      <c r="E68" s="8004" t="s">
        <v>2411</v>
      </c>
      <c r="F68" s="8004" t="s">
        <v>2415</v>
      </c>
      <c r="G68" s="8004" t="s">
        <v>2416</v>
      </c>
      <c r="H68" s="8004" t="s">
        <v>28</v>
      </c>
      <c r="I68" s="8004" t="s">
        <v>1047</v>
      </c>
    </row>
    <row customHeight="1" ht="11.25">
      <c r="A69" s="8004" t="s">
        <v>2408</v>
      </c>
      <c r="B69" s="8004" t="s">
        <v>16</v>
      </c>
      <c r="C69" s="8004" t="s">
        <v>2426</v>
      </c>
      <c r="D69" s="8004" t="s">
        <v>2427</v>
      </c>
      <c r="E69" s="8004" t="s">
        <v>2428</v>
      </c>
      <c r="F69" s="8004" t="s">
        <v>2429</v>
      </c>
      <c r="G69" s="8004" t="s">
        <v>28</v>
      </c>
      <c r="H69" s="8004" t="s">
        <v>28</v>
      </c>
      <c r="I69" s="8004" t="s">
        <v>1047</v>
      </c>
    </row>
    <row customHeight="1" ht="11.25">
      <c r="A70" s="8004" t="s">
        <v>2408</v>
      </c>
      <c r="B70" s="8004" t="s">
        <v>16</v>
      </c>
      <c r="C70" s="8004" t="s">
        <v>2430</v>
      </c>
      <c r="D70" s="8004" t="s">
        <v>2431</v>
      </c>
      <c r="E70" s="8004" t="s">
        <v>2432</v>
      </c>
      <c r="F70" s="8004" t="s">
        <v>2433</v>
      </c>
      <c r="G70" s="8004" t="s">
        <v>2434</v>
      </c>
      <c r="H70" s="8004" t="s">
        <v>28</v>
      </c>
      <c r="I70" s="8004" t="s">
        <v>1047</v>
      </c>
    </row>
    <row customHeight="1" ht="11.25">
      <c r="A71" s="8004" t="s">
        <v>2408</v>
      </c>
      <c r="B71" s="8004" t="s">
        <v>16</v>
      </c>
      <c r="C71" s="8004" t="s">
        <v>2435</v>
      </c>
      <c r="D71" s="8004" t="s">
        <v>2436</v>
      </c>
      <c r="E71" s="8004" t="s">
        <v>2437</v>
      </c>
      <c r="F71" s="8004" t="s">
        <v>2438</v>
      </c>
      <c r="G71" s="8004" t="s">
        <v>28</v>
      </c>
      <c r="H71" s="8004" t="s">
        <v>28</v>
      </c>
      <c r="I71" s="8004" t="s">
        <v>1047</v>
      </c>
    </row>
    <row customHeight="1" ht="11.25">
      <c r="A72" s="8004" t="s">
        <v>2408</v>
      </c>
      <c r="B72" s="8004" t="s">
        <v>16</v>
      </c>
      <c r="C72" s="8004" t="s">
        <v>2439</v>
      </c>
      <c r="D72" s="8004" t="s">
        <v>2440</v>
      </c>
      <c r="E72" s="8004" t="s">
        <v>2441</v>
      </c>
      <c r="F72" s="8004" t="s">
        <v>53</v>
      </c>
      <c r="G72" s="8004" t="s">
        <v>28</v>
      </c>
      <c r="H72" s="8004" t="s">
        <v>28</v>
      </c>
      <c r="I72" s="8004" t="s">
        <v>1047</v>
      </c>
    </row>
    <row customHeight="1" ht="11.25">
      <c r="A73" s="8004" t="s">
        <v>2408</v>
      </c>
      <c r="B73" s="8004" t="s">
        <v>16</v>
      </c>
      <c r="C73" s="8004" t="s">
        <v>13</v>
      </c>
      <c r="D73" s="8004" t="s">
        <v>48</v>
      </c>
      <c r="E73" s="8004" t="s">
        <v>51</v>
      </c>
      <c r="F73" s="8004" t="s">
        <v>53</v>
      </c>
      <c r="G73" s="8004" t="s">
        <v>28</v>
      </c>
      <c r="H73" s="8004" t="s">
        <v>28</v>
      </c>
      <c r="I73" s="8004" t="s">
        <v>1047</v>
      </c>
    </row>
    <row customHeight="1" ht="11.25">
      <c r="A74" s="8004" t="s">
        <v>2408</v>
      </c>
      <c r="B74" s="8004" t="s">
        <v>16</v>
      </c>
      <c r="C74" s="8004" t="s">
        <v>2450</v>
      </c>
      <c r="D74" s="8004" t="s">
        <v>2451</v>
      </c>
      <c r="E74" s="8004" t="s">
        <v>2452</v>
      </c>
      <c r="F74" s="8004" t="s">
        <v>2453</v>
      </c>
      <c r="G74" s="8004" t="s">
        <v>2454</v>
      </c>
      <c r="H74" s="8004" t="s">
        <v>28</v>
      </c>
      <c r="I74" s="8004" t="s">
        <v>1047</v>
      </c>
    </row>
    <row customHeight="1" ht="11.25">
      <c r="A75" s="8004" t="s">
        <v>2408</v>
      </c>
      <c r="B75" s="8004" t="s">
        <v>16</v>
      </c>
      <c r="C75" s="8004" t="s">
        <v>2455</v>
      </c>
      <c r="D75" s="8004" t="s">
        <v>2456</v>
      </c>
      <c r="E75" s="8004" t="s">
        <v>2457</v>
      </c>
      <c r="F75" s="8004" t="s">
        <v>2458</v>
      </c>
      <c r="G75" s="8004" t="s">
        <v>28</v>
      </c>
      <c r="H75" s="8004" t="s">
        <v>28</v>
      </c>
      <c r="I75" s="8004" t="s">
        <v>1047</v>
      </c>
    </row>
    <row customHeight="1" ht="11.25">
      <c r="A76" s="8004" t="s">
        <v>2408</v>
      </c>
      <c r="B76" s="8004" t="s">
        <v>16</v>
      </c>
      <c r="C76" s="8004" t="s">
        <v>2468</v>
      </c>
      <c r="D76" s="8004" t="s">
        <v>2469</v>
      </c>
      <c r="E76" s="8004" t="s">
        <v>2470</v>
      </c>
      <c r="F76" s="8004" t="s">
        <v>53</v>
      </c>
      <c r="G76" s="8004" t="s">
        <v>2471</v>
      </c>
      <c r="H76" s="8004" t="s">
        <v>28</v>
      </c>
      <c r="I76" s="8004" t="s">
        <v>1047</v>
      </c>
    </row>
    <row customHeight="1" ht="11.25">
      <c r="A77" s="8004" t="s">
        <v>2408</v>
      </c>
      <c r="B77" s="8004" t="s">
        <v>16</v>
      </c>
      <c r="C77" s="8004" t="s">
        <v>2479</v>
      </c>
      <c r="D77" s="8004" t="s">
        <v>2480</v>
      </c>
      <c r="E77" s="8004" t="s">
        <v>2481</v>
      </c>
      <c r="F77" s="8004" t="s">
        <v>53</v>
      </c>
      <c r="G77" s="8004" t="s">
        <v>2482</v>
      </c>
      <c r="H77" s="8004" t="s">
        <v>28</v>
      </c>
      <c r="I77" s="8004" t="s">
        <v>1047</v>
      </c>
    </row>
    <row customHeight="1" ht="11.25">
      <c r="A78" s="8004" t="s">
        <v>2408</v>
      </c>
      <c r="B78" s="8004" t="s">
        <v>16</v>
      </c>
      <c r="C78" s="8004" t="s">
        <v>2483</v>
      </c>
      <c r="D78" s="8004" t="s">
        <v>2484</v>
      </c>
      <c r="E78" s="8004" t="s">
        <v>2485</v>
      </c>
      <c r="F78" s="8004" t="s">
        <v>2486</v>
      </c>
      <c r="G78" s="8004" t="s">
        <v>28</v>
      </c>
      <c r="H78" s="8004" t="s">
        <v>28</v>
      </c>
      <c r="I78" s="8004" t="s">
        <v>1047</v>
      </c>
    </row>
    <row customHeight="1" ht="11.25">
      <c r="A79" s="8004" t="s">
        <v>2408</v>
      </c>
      <c r="B79" s="8004" t="s">
        <v>16</v>
      </c>
      <c r="C79" s="8004" t="s">
        <v>28</v>
      </c>
      <c r="D79" s="8004" t="s">
        <v>2487</v>
      </c>
      <c r="E79" s="8004" t="s">
        <v>2488</v>
      </c>
      <c r="F79" s="8004" t="s">
        <v>53</v>
      </c>
      <c r="G79" s="8004" t="s">
        <v>28</v>
      </c>
      <c r="H79" s="8004" t="s">
        <v>28</v>
      </c>
      <c r="I79" s="8004" t="s">
        <v>1047</v>
      </c>
    </row>
    <row customHeight="1" ht="11.25">
      <c r="A80" s="8004" t="s">
        <v>2408</v>
      </c>
      <c r="B80" s="8004" t="s">
        <v>16</v>
      </c>
      <c r="C80" s="8004" t="s">
        <v>2489</v>
      </c>
      <c r="D80" s="8004" t="s">
        <v>2490</v>
      </c>
      <c r="E80" s="8004" t="s">
        <v>2491</v>
      </c>
      <c r="F80" s="8004" t="s">
        <v>2492</v>
      </c>
      <c r="G80" s="8004" t="s">
        <v>28</v>
      </c>
      <c r="H80" s="8004" t="s">
        <v>28</v>
      </c>
      <c r="I80" s="8004" t="s">
        <v>1047</v>
      </c>
    </row>
    <row customHeight="1" ht="11.25">
      <c r="A81" s="8004" t="s">
        <v>2408</v>
      </c>
      <c r="B81" s="8004" t="s">
        <v>16</v>
      </c>
      <c r="C81" s="8004" t="s">
        <v>2509</v>
      </c>
      <c r="D81" s="8004" t="s">
        <v>2510</v>
      </c>
      <c r="E81" s="8004" t="s">
        <v>2511</v>
      </c>
      <c r="F81" s="8004" t="s">
        <v>2512</v>
      </c>
      <c r="G81" s="8004" t="s">
        <v>28</v>
      </c>
      <c r="H81" s="8004" t="s">
        <v>28</v>
      </c>
      <c r="I81" s="8004" t="s">
        <v>1047</v>
      </c>
    </row>
    <row customHeight="1" ht="11.25">
      <c r="A82" s="8004" t="s">
        <v>2408</v>
      </c>
      <c r="B82" s="8004" t="s">
        <v>16</v>
      </c>
      <c r="C82" s="8004" t="s">
        <v>2516</v>
      </c>
      <c r="D82" s="8004" t="s">
        <v>2517</v>
      </c>
      <c r="E82" s="8004" t="s">
        <v>2518</v>
      </c>
      <c r="F82" s="8004" t="s">
        <v>2519</v>
      </c>
      <c r="G82" s="8004" t="s">
        <v>28</v>
      </c>
      <c r="H82" s="8004" t="s">
        <v>28</v>
      </c>
      <c r="I82" s="8004" t="s">
        <v>1047</v>
      </c>
    </row>
    <row customHeight="1" ht="11.25">
      <c r="A83" s="8004" t="s">
        <v>2408</v>
      </c>
      <c r="B83" s="8004" t="s">
        <v>16</v>
      </c>
      <c r="C83" s="8004" t="s">
        <v>2520</v>
      </c>
      <c r="D83" s="8004" t="s">
        <v>2521</v>
      </c>
      <c r="E83" s="8004" t="s">
        <v>2522</v>
      </c>
      <c r="F83" s="8004" t="s">
        <v>2429</v>
      </c>
      <c r="G83" s="8004" t="s">
        <v>28</v>
      </c>
      <c r="H83" s="8004" t="s">
        <v>28</v>
      </c>
      <c r="I83" s="8004" t="s">
        <v>1047</v>
      </c>
    </row>
    <row customHeight="1" ht="11.25">
      <c r="A84" s="8004" t="s">
        <v>2408</v>
      </c>
      <c r="B84" s="8004" t="s">
        <v>16</v>
      </c>
      <c r="C84" s="8004" t="s">
        <v>2523</v>
      </c>
      <c r="D84" s="8004" t="s">
        <v>2524</v>
      </c>
      <c r="E84" s="8004" t="s">
        <v>2525</v>
      </c>
      <c r="F84" s="8004" t="s">
        <v>2420</v>
      </c>
      <c r="G84" s="8004" t="s">
        <v>28</v>
      </c>
      <c r="H84" s="8004" t="s">
        <v>28</v>
      </c>
      <c r="I84" s="8004" t="s">
        <v>1047</v>
      </c>
    </row>
    <row customHeight="1" ht="11.25">
      <c r="A85" s="8004" t="s">
        <v>2408</v>
      </c>
      <c r="B85" s="8004" t="s">
        <v>16</v>
      </c>
      <c r="C85" s="8004" t="s">
        <v>2526</v>
      </c>
      <c r="D85" s="8004" t="s">
        <v>2527</v>
      </c>
      <c r="E85" s="8004" t="s">
        <v>2528</v>
      </c>
      <c r="F85" s="8004" t="s">
        <v>53</v>
      </c>
      <c r="G85" s="8004" t="s">
        <v>28</v>
      </c>
      <c r="H85" s="8004" t="s">
        <v>28</v>
      </c>
      <c r="I85" s="8004" t="s">
        <v>1047</v>
      </c>
    </row>
    <row customHeight="1" ht="11.25">
      <c r="A86" s="8004" t="s">
        <v>2408</v>
      </c>
      <c r="B86" s="8004" t="s">
        <v>16</v>
      </c>
      <c r="C86" s="8004" t="s">
        <v>2540</v>
      </c>
      <c r="D86" s="8004" t="s">
        <v>2541</v>
      </c>
      <c r="E86" s="8004" t="s">
        <v>2542</v>
      </c>
      <c r="F86" s="8004" t="s">
        <v>2492</v>
      </c>
      <c r="G86" s="8004" t="s">
        <v>28</v>
      </c>
      <c r="H86" s="8004" t="s">
        <v>28</v>
      </c>
      <c r="I86" s="8004" t="s">
        <v>1047</v>
      </c>
    </row>
    <row customHeight="1" ht="11.25">
      <c r="A87" s="8004" t="s">
        <v>2408</v>
      </c>
      <c r="B87" s="8004" t="s">
        <v>16</v>
      </c>
      <c r="C87" s="8004" t="s">
        <v>2543</v>
      </c>
      <c r="D87" s="8004" t="s">
        <v>2544</v>
      </c>
      <c r="E87" s="8004" t="s">
        <v>2545</v>
      </c>
      <c r="F87" s="8004" t="s">
        <v>2420</v>
      </c>
      <c r="G87" s="8004" t="s">
        <v>28</v>
      </c>
      <c r="H87" s="8004" t="s">
        <v>28</v>
      </c>
      <c r="I87" s="8004" t="s">
        <v>1047</v>
      </c>
    </row>
    <row customHeight="1" ht="11.25">
      <c r="A88" s="8004" t="s">
        <v>2408</v>
      </c>
      <c r="B88" s="8004" t="s">
        <v>16</v>
      </c>
      <c r="C88" s="8004" t="s">
        <v>2546</v>
      </c>
      <c r="D88" s="8004" t="s">
        <v>2547</v>
      </c>
      <c r="E88" s="8004" t="s">
        <v>2548</v>
      </c>
      <c r="F88" s="8004" t="s">
        <v>2462</v>
      </c>
      <c r="G88" s="8004" t="s">
        <v>28</v>
      </c>
      <c r="H88" s="8004" t="s">
        <v>28</v>
      </c>
      <c r="I88" s="8004" t="s">
        <v>1047</v>
      </c>
    </row>
    <row customHeight="1" ht="11.25">
      <c r="A89" s="8004" t="s">
        <v>2408</v>
      </c>
      <c r="B89" s="8004" t="s">
        <v>16</v>
      </c>
      <c r="C89" s="8004" t="s">
        <v>2549</v>
      </c>
      <c r="D89" s="8004" t="s">
        <v>2550</v>
      </c>
      <c r="E89" s="8004" t="s">
        <v>2551</v>
      </c>
      <c r="F89" s="8004" t="s">
        <v>2552</v>
      </c>
      <c r="G89" s="8004" t="s">
        <v>28</v>
      </c>
      <c r="H89" s="8004" t="s">
        <v>28</v>
      </c>
      <c r="I89" s="8004" t="s">
        <v>1047</v>
      </c>
    </row>
    <row customHeight="1" ht="11.25">
      <c r="A90" s="8004" t="s">
        <v>2408</v>
      </c>
      <c r="B90" s="8004" t="s">
        <v>16</v>
      </c>
      <c r="C90" s="8004" t="s">
        <v>2561</v>
      </c>
      <c r="D90" s="8004" t="s">
        <v>2562</v>
      </c>
      <c r="E90" s="8004" t="s">
        <v>2563</v>
      </c>
      <c r="F90" s="8004" t="s">
        <v>2420</v>
      </c>
      <c r="G90" s="8004" t="s">
        <v>28</v>
      </c>
      <c r="H90" s="8004" t="s">
        <v>28</v>
      </c>
      <c r="I90" s="8004" t="s">
        <v>1047</v>
      </c>
    </row>
    <row customHeight="1" ht="11.25">
      <c r="A91" s="8004" t="s">
        <v>2408</v>
      </c>
      <c r="B91" s="8004" t="s">
        <v>16</v>
      </c>
      <c r="C91" s="8004" t="s">
        <v>2564</v>
      </c>
      <c r="D91" s="8004" t="s">
        <v>2565</v>
      </c>
      <c r="E91" s="8004" t="s">
        <v>2566</v>
      </c>
      <c r="F91" s="8004" t="s">
        <v>2567</v>
      </c>
      <c r="G91" s="8004" t="s">
        <v>2568</v>
      </c>
      <c r="H91" s="8004" t="s">
        <v>28</v>
      </c>
      <c r="I91" s="8004" t="s">
        <v>1047</v>
      </c>
    </row>
    <row customHeight="1" ht="11.25">
      <c r="A92" s="8004" t="s">
        <v>2408</v>
      </c>
      <c r="B92" s="8004" t="s">
        <v>16</v>
      </c>
      <c r="C92" s="8004" t="s">
        <v>2574</v>
      </c>
      <c r="D92" s="8004" t="s">
        <v>2575</v>
      </c>
      <c r="E92" s="8004" t="s">
        <v>2576</v>
      </c>
      <c r="F92" s="8004" t="s">
        <v>2577</v>
      </c>
      <c r="G92" s="8004" t="s">
        <v>28</v>
      </c>
      <c r="H92" s="8004" t="s">
        <v>28</v>
      </c>
      <c r="I92" s="8004" t="s">
        <v>1047</v>
      </c>
    </row>
    <row customHeight="1" ht="11.25">
      <c r="A93" s="8004" t="s">
        <v>2408</v>
      </c>
      <c r="B93" s="8004" t="s">
        <v>16</v>
      </c>
      <c r="C93" s="8004" t="s">
        <v>2578</v>
      </c>
      <c r="D93" s="8004" t="s">
        <v>2579</v>
      </c>
      <c r="E93" s="8004" t="s">
        <v>2580</v>
      </c>
      <c r="F93" s="8004" t="s">
        <v>2420</v>
      </c>
      <c r="G93" s="8004" t="s">
        <v>28</v>
      </c>
      <c r="H93" s="8004" t="s">
        <v>28</v>
      </c>
      <c r="I93" s="8004" t="s">
        <v>1047</v>
      </c>
    </row>
    <row customHeight="1" ht="11.25">
      <c r="A94" s="8004" t="s">
        <v>2408</v>
      </c>
      <c r="B94" s="8004" t="s">
        <v>16</v>
      </c>
      <c r="C94" s="8004" t="s">
        <v>2581</v>
      </c>
      <c r="D94" s="8004" t="s">
        <v>2582</v>
      </c>
      <c r="E94" s="8004" t="s">
        <v>2583</v>
      </c>
      <c r="F94" s="8004" t="s">
        <v>2420</v>
      </c>
      <c r="G94" s="8004" t="s">
        <v>28</v>
      </c>
      <c r="H94" s="8004" t="s">
        <v>28</v>
      </c>
      <c r="I94" s="8004" t="s">
        <v>1047</v>
      </c>
    </row>
    <row customHeight="1" ht="11.25">
      <c r="A95" s="8004" t="s">
        <v>2408</v>
      </c>
      <c r="B95" s="8004" t="s">
        <v>16</v>
      </c>
      <c r="C95" s="8004" t="s">
        <v>2584</v>
      </c>
      <c r="D95" s="8004" t="s">
        <v>2585</v>
      </c>
      <c r="E95" s="8004" t="s">
        <v>2586</v>
      </c>
      <c r="F95" s="8004" t="s">
        <v>2587</v>
      </c>
      <c r="G95" s="8004" t="s">
        <v>2588</v>
      </c>
      <c r="H95" s="8004" t="s">
        <v>28</v>
      </c>
      <c r="I95" s="8004" t="s">
        <v>1047</v>
      </c>
    </row>
    <row customHeight="1" ht="11.25">
      <c r="A96" s="8004" t="s">
        <v>2408</v>
      </c>
      <c r="B96" s="8004" t="s">
        <v>16</v>
      </c>
      <c r="C96" s="8004" t="s">
        <v>2589</v>
      </c>
      <c r="D96" s="8004" t="s">
        <v>2590</v>
      </c>
      <c r="E96" s="8004" t="s">
        <v>2591</v>
      </c>
      <c r="F96" s="8004" t="s">
        <v>2507</v>
      </c>
      <c r="G96" s="8004" t="s">
        <v>28</v>
      </c>
      <c r="H96" s="8004" t="s">
        <v>28</v>
      </c>
      <c r="I96" s="8004" t="s">
        <v>1047</v>
      </c>
    </row>
    <row customHeight="1" ht="11.25">
      <c r="A97" s="8004" t="s">
        <v>2408</v>
      </c>
      <c r="B97" s="8004" t="s">
        <v>16</v>
      </c>
      <c r="C97" s="8004" t="s">
        <v>2599</v>
      </c>
      <c r="D97" s="8004" t="s">
        <v>2600</v>
      </c>
      <c r="E97" s="8004" t="s">
        <v>2601</v>
      </c>
      <c r="F97" s="8004" t="s">
        <v>2429</v>
      </c>
      <c r="G97" s="8004" t="s">
        <v>2602</v>
      </c>
      <c r="H97" s="8004" t="s">
        <v>28</v>
      </c>
      <c r="I97" s="8004" t="s">
        <v>1047</v>
      </c>
    </row>
    <row customHeight="1" ht="11.25">
      <c r="A98" s="8004" t="s">
        <v>2408</v>
      </c>
      <c r="B98" s="8004" t="s">
        <v>16</v>
      </c>
      <c r="C98" s="8004" t="s">
        <v>2603</v>
      </c>
      <c r="D98" s="8004" t="s">
        <v>2604</v>
      </c>
      <c r="E98" s="8004" t="s">
        <v>2605</v>
      </c>
      <c r="F98" s="8004" t="s">
        <v>2587</v>
      </c>
      <c r="G98" s="8004" t="s">
        <v>28</v>
      </c>
      <c r="H98" s="8004" t="s">
        <v>28</v>
      </c>
      <c r="I98" s="8004" t="s">
        <v>1047</v>
      </c>
    </row>
    <row customHeight="1" ht="11.25">
      <c r="A99" s="8004" t="s">
        <v>2408</v>
      </c>
      <c r="B99" s="8004" t="s">
        <v>16</v>
      </c>
      <c r="C99" s="8004" t="s">
        <v>2611</v>
      </c>
      <c r="D99" s="8004" t="s">
        <v>2612</v>
      </c>
      <c r="E99" s="8004" t="s">
        <v>2613</v>
      </c>
      <c r="F99" s="8004" t="s">
        <v>2587</v>
      </c>
      <c r="G99" s="8004" t="s">
        <v>28</v>
      </c>
      <c r="H99" s="8004" t="s">
        <v>28</v>
      </c>
      <c r="I99" s="8004" t="s">
        <v>1047</v>
      </c>
    </row>
    <row customHeight="1" ht="11.25">
      <c r="A100" s="8004" t="s">
        <v>2408</v>
      </c>
      <c r="B100" s="8004" t="s">
        <v>16</v>
      </c>
      <c r="C100" s="8004" t="s">
        <v>2614</v>
      </c>
      <c r="D100" s="8004" t="s">
        <v>2615</v>
      </c>
      <c r="E100" s="8004" t="s">
        <v>2616</v>
      </c>
      <c r="F100" s="8004" t="s">
        <v>2453</v>
      </c>
      <c r="G100" s="8004" t="s">
        <v>28</v>
      </c>
      <c r="H100" s="8004" t="s">
        <v>28</v>
      </c>
      <c r="I100" s="8004" t="s">
        <v>1047</v>
      </c>
    </row>
    <row customHeight="1" ht="11.25">
      <c r="A101" s="8004" t="s">
        <v>2408</v>
      </c>
      <c r="B101" s="8004" t="s">
        <v>16</v>
      </c>
      <c r="C101" s="8004" t="s">
        <v>2617</v>
      </c>
      <c r="D101" s="8004" t="s">
        <v>2618</v>
      </c>
      <c r="E101" s="8004" t="s">
        <v>2619</v>
      </c>
      <c r="F101" s="8004" t="s">
        <v>2507</v>
      </c>
      <c r="G101" s="8004" t="s">
        <v>28</v>
      </c>
      <c r="H101" s="8004" t="s">
        <v>28</v>
      </c>
      <c r="I101" s="8004" t="s">
        <v>1047</v>
      </c>
    </row>
    <row customHeight="1" ht="11.25">
      <c r="A102" s="8004" t="s">
        <v>2408</v>
      </c>
      <c r="B102" s="8004" t="s">
        <v>16</v>
      </c>
      <c r="C102" s="8004" t="s">
        <v>2620</v>
      </c>
      <c r="D102" s="8004" t="s">
        <v>2621</v>
      </c>
      <c r="E102" s="8004" t="s">
        <v>2622</v>
      </c>
      <c r="F102" s="8004" t="s">
        <v>2623</v>
      </c>
      <c r="G102" s="8004" t="s">
        <v>2624</v>
      </c>
      <c r="H102" s="8004" t="s">
        <v>28</v>
      </c>
      <c r="I102" s="8004" t="s">
        <v>1047</v>
      </c>
    </row>
    <row customHeight="1" ht="11.25">
      <c r="A103" s="8004" t="s">
        <v>2408</v>
      </c>
      <c r="B103" s="8004" t="s">
        <v>16</v>
      </c>
      <c r="C103" s="8004" t="s">
        <v>2628</v>
      </c>
      <c r="D103" s="8004" t="s">
        <v>2629</v>
      </c>
      <c r="E103" s="8004" t="s">
        <v>2630</v>
      </c>
      <c r="F103" s="8004" t="s">
        <v>53</v>
      </c>
      <c r="G103" s="8004" t="s">
        <v>28</v>
      </c>
      <c r="H103" s="8004" t="s">
        <v>28</v>
      </c>
      <c r="I103" s="8004" t="s">
        <v>1047</v>
      </c>
    </row>
    <row customHeight="1" ht="11.25">
      <c r="A104" s="8004" t="s">
        <v>2408</v>
      </c>
      <c r="B104" s="8004" t="s">
        <v>16</v>
      </c>
      <c r="C104" s="8004" t="s">
        <v>2631</v>
      </c>
      <c r="D104" s="8004" t="s">
        <v>2632</v>
      </c>
      <c r="E104" s="8004" t="s">
        <v>2622</v>
      </c>
      <c r="F104" s="8004" t="s">
        <v>2633</v>
      </c>
      <c r="G104" s="8004" t="s">
        <v>2634</v>
      </c>
      <c r="H104" s="8004" t="s">
        <v>28</v>
      </c>
      <c r="I104" s="8004" t="s">
        <v>1047</v>
      </c>
    </row>
    <row customHeight="1" ht="11.25">
      <c r="A105" s="8004" t="s">
        <v>2408</v>
      </c>
      <c r="B105" s="8004" t="s">
        <v>16</v>
      </c>
      <c r="C105" s="8004" t="s">
        <v>2635</v>
      </c>
      <c r="D105" s="8004" t="s">
        <v>2636</v>
      </c>
      <c r="E105" s="8004" t="s">
        <v>2637</v>
      </c>
      <c r="F105" s="8004" t="s">
        <v>2638</v>
      </c>
      <c r="G105" s="8004" t="s">
        <v>28</v>
      </c>
      <c r="H105" s="8004" t="s">
        <v>28</v>
      </c>
      <c r="I105" s="8004" t="s">
        <v>1047</v>
      </c>
    </row>
    <row customHeight="1" ht="11.25">
      <c r="A106" s="8004" t="s">
        <v>2408</v>
      </c>
      <c r="B106" s="8004" t="s">
        <v>16</v>
      </c>
      <c r="C106" s="8004" t="s">
        <v>2409</v>
      </c>
      <c r="D106" s="8004" t="s">
        <v>2410</v>
      </c>
      <c r="E106" s="8004" t="s">
        <v>2411</v>
      </c>
      <c r="F106" s="8004" t="s">
        <v>2412</v>
      </c>
      <c r="G106" s="8004" t="s">
        <v>2413</v>
      </c>
      <c r="H106" s="8004" t="s">
        <v>28</v>
      </c>
      <c r="I106" s="8004" t="s">
        <v>1007</v>
      </c>
    </row>
    <row customHeight="1" ht="11.25">
      <c r="A107" s="8004" t="s">
        <v>2408</v>
      </c>
      <c r="B107" s="8004" t="s">
        <v>16</v>
      </c>
      <c r="C107" s="8004" t="s">
        <v>2414</v>
      </c>
      <c r="D107" s="8004" t="s">
        <v>2410</v>
      </c>
      <c r="E107" s="8004" t="s">
        <v>2411</v>
      </c>
      <c r="F107" s="8004" t="s">
        <v>2415</v>
      </c>
      <c r="G107" s="8004" t="s">
        <v>2416</v>
      </c>
      <c r="H107" s="8004" t="s">
        <v>28</v>
      </c>
      <c r="I107" s="8004" t="s">
        <v>1007</v>
      </c>
    </row>
    <row customHeight="1" ht="11.25">
      <c r="A108" s="8004" t="s">
        <v>2408</v>
      </c>
      <c r="B108" s="8004" t="s">
        <v>16</v>
      </c>
      <c r="C108" s="8004" t="s">
        <v>2650</v>
      </c>
      <c r="D108" s="8004" t="s">
        <v>2651</v>
      </c>
      <c r="E108" s="8004" t="s">
        <v>2652</v>
      </c>
      <c r="F108" s="8004" t="s">
        <v>2475</v>
      </c>
      <c r="G108" s="8004" t="s">
        <v>2653</v>
      </c>
      <c r="H108" s="8004" t="s">
        <v>28</v>
      </c>
      <c r="I108" s="8004" t="s">
        <v>1007</v>
      </c>
    </row>
    <row customHeight="1" ht="11.25">
      <c r="A109" s="8004" t="s">
        <v>2408</v>
      </c>
      <c r="B109" s="8004" t="s">
        <v>16</v>
      </c>
      <c r="C109" s="8004" t="s">
        <v>2417</v>
      </c>
      <c r="D109" s="8004" t="s">
        <v>2418</v>
      </c>
      <c r="E109" s="8004" t="s">
        <v>2419</v>
      </c>
      <c r="F109" s="8004" t="s">
        <v>2420</v>
      </c>
      <c r="G109" s="8004" t="s">
        <v>28</v>
      </c>
      <c r="H109" s="8004" t="s">
        <v>28</v>
      </c>
      <c r="I109" s="8004" t="s">
        <v>1007</v>
      </c>
    </row>
    <row customHeight="1" ht="11.25">
      <c r="A110" s="8004" t="s">
        <v>2408</v>
      </c>
      <c r="B110" s="8004" t="s">
        <v>16</v>
      </c>
      <c r="C110" s="8004" t="s">
        <v>2654</v>
      </c>
      <c r="D110" s="8004" t="s">
        <v>2655</v>
      </c>
      <c r="E110" s="8004" t="s">
        <v>2656</v>
      </c>
      <c r="F110" s="8004" t="s">
        <v>2420</v>
      </c>
      <c r="G110" s="8004" t="s">
        <v>2657</v>
      </c>
      <c r="H110" s="8004" t="s">
        <v>28</v>
      </c>
      <c r="I110" s="8004" t="s">
        <v>1007</v>
      </c>
    </row>
    <row customHeight="1" ht="11.25">
      <c r="A111" s="8004" t="s">
        <v>2408</v>
      </c>
      <c r="B111" s="8004" t="s">
        <v>16</v>
      </c>
      <c r="C111" s="8004" t="s">
        <v>2430</v>
      </c>
      <c r="D111" s="8004" t="s">
        <v>2431</v>
      </c>
      <c r="E111" s="8004" t="s">
        <v>2432</v>
      </c>
      <c r="F111" s="8004" t="s">
        <v>2433</v>
      </c>
      <c r="G111" s="8004" t="s">
        <v>2434</v>
      </c>
      <c r="H111" s="8004" t="s">
        <v>28</v>
      </c>
      <c r="I111" s="8004" t="s">
        <v>1007</v>
      </c>
    </row>
    <row customHeight="1" ht="11.25">
      <c r="A112" s="8004" t="s">
        <v>2408</v>
      </c>
      <c r="B112" s="8004" t="s">
        <v>16</v>
      </c>
      <c r="C112" s="8004" t="s">
        <v>2658</v>
      </c>
      <c r="D112" s="8004" t="s">
        <v>2659</v>
      </c>
      <c r="E112" s="8004" t="s">
        <v>2660</v>
      </c>
      <c r="F112" s="8004" t="s">
        <v>2438</v>
      </c>
      <c r="G112" s="8004" t="s">
        <v>2661</v>
      </c>
      <c r="H112" s="8004" t="s">
        <v>28</v>
      </c>
      <c r="I112" s="8004" t="s">
        <v>1007</v>
      </c>
    </row>
    <row customHeight="1" ht="11.25">
      <c r="A113" s="8004" t="s">
        <v>2408</v>
      </c>
      <c r="B113" s="8004" t="s">
        <v>16</v>
      </c>
      <c r="C113" s="8004" t="s">
        <v>2442</v>
      </c>
      <c r="D113" s="8004" t="s">
        <v>2443</v>
      </c>
      <c r="E113" s="8004" t="s">
        <v>2444</v>
      </c>
      <c r="F113" s="8004" t="s">
        <v>53</v>
      </c>
      <c r="G113" s="8004" t="s">
        <v>2445</v>
      </c>
      <c r="H113" s="8004" t="s">
        <v>28</v>
      </c>
      <c r="I113" s="8004" t="s">
        <v>1007</v>
      </c>
    </row>
    <row customHeight="1" ht="11.25">
      <c r="A114" s="8004" t="s">
        <v>2408</v>
      </c>
      <c r="B114" s="8004" t="s">
        <v>16</v>
      </c>
      <c r="C114" s="8004" t="s">
        <v>2446</v>
      </c>
      <c r="D114" s="8004" t="s">
        <v>2447</v>
      </c>
      <c r="E114" s="8004" t="s">
        <v>2448</v>
      </c>
      <c r="F114" s="8004" t="s">
        <v>2449</v>
      </c>
      <c r="G114" s="8004" t="s">
        <v>28</v>
      </c>
      <c r="H114" s="8004" t="s">
        <v>28</v>
      </c>
      <c r="I114" s="8004" t="s">
        <v>1007</v>
      </c>
    </row>
    <row customHeight="1" ht="11.25">
      <c r="A115" s="8004" t="s">
        <v>2408</v>
      </c>
      <c r="B115" s="8004" t="s">
        <v>16</v>
      </c>
      <c r="C115" s="8004" t="s">
        <v>2450</v>
      </c>
      <c r="D115" s="8004" t="s">
        <v>2451</v>
      </c>
      <c r="E115" s="8004" t="s">
        <v>2452</v>
      </c>
      <c r="F115" s="8004" t="s">
        <v>2453</v>
      </c>
      <c r="G115" s="8004" t="s">
        <v>2454</v>
      </c>
      <c r="H115" s="8004" t="s">
        <v>28</v>
      </c>
      <c r="I115" s="8004" t="s">
        <v>1007</v>
      </c>
    </row>
    <row customHeight="1" ht="11.25">
      <c r="A116" s="8004" t="s">
        <v>2408</v>
      </c>
      <c r="B116" s="8004" t="s">
        <v>16</v>
      </c>
      <c r="C116" s="8004" t="s">
        <v>2662</v>
      </c>
      <c r="D116" s="8004" t="s">
        <v>2663</v>
      </c>
      <c r="E116" s="8004" t="s">
        <v>2466</v>
      </c>
      <c r="F116" s="8004" t="s">
        <v>2642</v>
      </c>
      <c r="G116" s="8004" t="s">
        <v>2664</v>
      </c>
      <c r="H116" s="8004" t="s">
        <v>28</v>
      </c>
      <c r="I116" s="8004" t="s">
        <v>1007</v>
      </c>
    </row>
    <row customHeight="1" ht="11.25">
      <c r="A117" s="8004" t="s">
        <v>2408</v>
      </c>
      <c r="B117" s="8004" t="s">
        <v>16</v>
      </c>
      <c r="C117" s="8004" t="s">
        <v>2468</v>
      </c>
      <c r="D117" s="8004" t="s">
        <v>2469</v>
      </c>
      <c r="E117" s="8004" t="s">
        <v>2470</v>
      </c>
      <c r="F117" s="8004" t="s">
        <v>53</v>
      </c>
      <c r="G117" s="8004" t="s">
        <v>2471</v>
      </c>
      <c r="H117" s="8004" t="s">
        <v>28</v>
      </c>
      <c r="I117" s="8004" t="s">
        <v>1007</v>
      </c>
    </row>
    <row customHeight="1" ht="11.25">
      <c r="A118" s="8004" t="s">
        <v>2408</v>
      </c>
      <c r="B118" s="8004" t="s">
        <v>16</v>
      </c>
      <c r="C118" s="8004" t="s">
        <v>2665</v>
      </c>
      <c r="D118" s="8004" t="s">
        <v>2666</v>
      </c>
      <c r="E118" s="8004" t="s">
        <v>2667</v>
      </c>
      <c r="F118" s="8004" t="s">
        <v>2507</v>
      </c>
      <c r="G118" s="8004" t="s">
        <v>2668</v>
      </c>
      <c r="H118" s="8004" t="s">
        <v>28</v>
      </c>
      <c r="I118" s="8004" t="s">
        <v>1007</v>
      </c>
    </row>
    <row customHeight="1" ht="11.25">
      <c r="A119" s="8004" t="s">
        <v>2408</v>
      </c>
      <c r="B119" s="8004" t="s">
        <v>16</v>
      </c>
      <c r="C119" s="8004" t="s">
        <v>2479</v>
      </c>
      <c r="D119" s="8004" t="s">
        <v>2480</v>
      </c>
      <c r="E119" s="8004" t="s">
        <v>2481</v>
      </c>
      <c r="F119" s="8004" t="s">
        <v>53</v>
      </c>
      <c r="G119" s="8004" t="s">
        <v>2482</v>
      </c>
      <c r="H119" s="8004" t="s">
        <v>28</v>
      </c>
      <c r="I119" s="8004" t="s">
        <v>1007</v>
      </c>
    </row>
    <row customHeight="1" ht="11.25">
      <c r="A120" s="8004" t="s">
        <v>2408</v>
      </c>
      <c r="B120" s="8004" t="s">
        <v>16</v>
      </c>
      <c r="C120" s="8004" t="s">
        <v>2483</v>
      </c>
      <c r="D120" s="8004" t="s">
        <v>2484</v>
      </c>
      <c r="E120" s="8004" t="s">
        <v>2485</v>
      </c>
      <c r="F120" s="8004" t="s">
        <v>2486</v>
      </c>
      <c r="G120" s="8004" t="s">
        <v>28</v>
      </c>
      <c r="H120" s="8004" t="s">
        <v>28</v>
      </c>
      <c r="I120" s="8004" t="s">
        <v>1007</v>
      </c>
    </row>
    <row customHeight="1" ht="11.25">
      <c r="A121" s="8004" t="s">
        <v>2408</v>
      </c>
      <c r="B121" s="8004" t="s">
        <v>16</v>
      </c>
      <c r="C121" s="8004" t="s">
        <v>28</v>
      </c>
      <c r="D121" s="8004" t="s">
        <v>2487</v>
      </c>
      <c r="E121" s="8004" t="s">
        <v>2488</v>
      </c>
      <c r="F121" s="8004" t="s">
        <v>53</v>
      </c>
      <c r="G121" s="8004" t="s">
        <v>28</v>
      </c>
      <c r="H121" s="8004" t="s">
        <v>28</v>
      </c>
      <c r="I121" s="8004" t="s">
        <v>1007</v>
      </c>
    </row>
    <row customHeight="1" ht="11.25">
      <c r="A122" s="8004" t="s">
        <v>2408</v>
      </c>
      <c r="B122" s="8004" t="s">
        <v>16</v>
      </c>
      <c r="C122" s="8004" t="s">
        <v>2489</v>
      </c>
      <c r="D122" s="8004" t="s">
        <v>2490</v>
      </c>
      <c r="E122" s="8004" t="s">
        <v>2491</v>
      </c>
      <c r="F122" s="8004" t="s">
        <v>2492</v>
      </c>
      <c r="G122" s="8004" t="s">
        <v>28</v>
      </c>
      <c r="H122" s="8004" t="s">
        <v>28</v>
      </c>
      <c r="I122" s="8004" t="s">
        <v>1007</v>
      </c>
    </row>
    <row customHeight="1" ht="11.25">
      <c r="A123" s="8004" t="s">
        <v>2408</v>
      </c>
      <c r="B123" s="8004" t="s">
        <v>16</v>
      </c>
      <c r="C123" s="8004" t="s">
        <v>2669</v>
      </c>
      <c r="D123" s="8004" t="s">
        <v>2670</v>
      </c>
      <c r="E123" s="8004" t="s">
        <v>2671</v>
      </c>
      <c r="F123" s="8004" t="s">
        <v>2420</v>
      </c>
      <c r="G123" s="8004" t="s">
        <v>28</v>
      </c>
      <c r="H123" s="8004" t="s">
        <v>28</v>
      </c>
      <c r="I123" s="8004" t="s">
        <v>1007</v>
      </c>
    </row>
    <row customHeight="1" ht="11.25">
      <c r="A124" s="8004" t="s">
        <v>2408</v>
      </c>
      <c r="B124" s="8004" t="s">
        <v>16</v>
      </c>
      <c r="C124" s="8004" t="s">
        <v>2493</v>
      </c>
      <c r="D124" s="8004" t="s">
        <v>2494</v>
      </c>
      <c r="E124" s="8004" t="s">
        <v>2495</v>
      </c>
      <c r="F124" s="8004" t="s">
        <v>2420</v>
      </c>
      <c r="G124" s="8004" t="s">
        <v>28</v>
      </c>
      <c r="H124" s="8004" t="s">
        <v>28</v>
      </c>
      <c r="I124" s="8004" t="s">
        <v>1007</v>
      </c>
    </row>
    <row customHeight="1" ht="11.25">
      <c r="A125" s="8004" t="s">
        <v>2408</v>
      </c>
      <c r="B125" s="8004" t="s">
        <v>16</v>
      </c>
      <c r="C125" s="8004" t="s">
        <v>2496</v>
      </c>
      <c r="D125" s="8004" t="s">
        <v>2497</v>
      </c>
      <c r="E125" s="8004" t="s">
        <v>2498</v>
      </c>
      <c r="F125" s="8004" t="s">
        <v>2492</v>
      </c>
      <c r="G125" s="8004" t="s">
        <v>2499</v>
      </c>
      <c r="H125" s="8004" t="s">
        <v>28</v>
      </c>
      <c r="I125" s="8004" t="s">
        <v>1007</v>
      </c>
    </row>
    <row customHeight="1" ht="11.25">
      <c r="A126" s="8004" t="s">
        <v>2408</v>
      </c>
      <c r="B126" s="8004" t="s">
        <v>16</v>
      </c>
      <c r="C126" s="8004" t="s">
        <v>2500</v>
      </c>
      <c r="D126" s="8004" t="s">
        <v>2501</v>
      </c>
      <c r="E126" s="8004" t="s">
        <v>2502</v>
      </c>
      <c r="F126" s="8004" t="s">
        <v>2492</v>
      </c>
      <c r="G126" s="8004" t="s">
        <v>2503</v>
      </c>
      <c r="H126" s="8004" t="s">
        <v>28</v>
      </c>
      <c r="I126" s="8004" t="s">
        <v>1007</v>
      </c>
    </row>
    <row customHeight="1" ht="11.25">
      <c r="A127" s="8004" t="s">
        <v>2408</v>
      </c>
      <c r="B127" s="8004" t="s">
        <v>16</v>
      </c>
      <c r="C127" s="8004" t="s">
        <v>2504</v>
      </c>
      <c r="D127" s="8004" t="s">
        <v>2505</v>
      </c>
      <c r="E127" s="8004" t="s">
        <v>2506</v>
      </c>
      <c r="F127" s="8004" t="s">
        <v>2507</v>
      </c>
      <c r="G127" s="8004" t="s">
        <v>2508</v>
      </c>
      <c r="H127" s="8004" t="s">
        <v>28</v>
      </c>
      <c r="I127" s="8004" t="s">
        <v>1007</v>
      </c>
    </row>
    <row customHeight="1" ht="11.25">
      <c r="A128" s="8004" t="s">
        <v>2408</v>
      </c>
      <c r="B128" s="8004" t="s">
        <v>16</v>
      </c>
      <c r="C128" s="8004" t="s">
        <v>2509</v>
      </c>
      <c r="D128" s="8004" t="s">
        <v>2510</v>
      </c>
      <c r="E128" s="8004" t="s">
        <v>2511</v>
      </c>
      <c r="F128" s="8004" t="s">
        <v>2512</v>
      </c>
      <c r="G128" s="8004" t="s">
        <v>28</v>
      </c>
      <c r="H128" s="8004" t="s">
        <v>28</v>
      </c>
      <c r="I128" s="8004" t="s">
        <v>1007</v>
      </c>
    </row>
    <row customHeight="1" ht="11.25">
      <c r="A129" s="8004" t="s">
        <v>2408</v>
      </c>
      <c r="B129" s="8004" t="s">
        <v>16</v>
      </c>
      <c r="C129" s="8004" t="s">
        <v>2672</v>
      </c>
      <c r="D129" s="8004" t="s">
        <v>2673</v>
      </c>
      <c r="E129" s="8004" t="s">
        <v>2674</v>
      </c>
      <c r="F129" s="8004" t="s">
        <v>2675</v>
      </c>
      <c r="G129" s="8004" t="s">
        <v>28</v>
      </c>
      <c r="H129" s="8004" t="s">
        <v>28</v>
      </c>
      <c r="I129" s="8004" t="s">
        <v>1007</v>
      </c>
    </row>
    <row customHeight="1" ht="11.25">
      <c r="A130" s="8004" t="s">
        <v>2408</v>
      </c>
      <c r="B130" s="8004" t="s">
        <v>16</v>
      </c>
      <c r="C130" s="8004" t="s">
        <v>2520</v>
      </c>
      <c r="D130" s="8004" t="s">
        <v>2521</v>
      </c>
      <c r="E130" s="8004" t="s">
        <v>2522</v>
      </c>
      <c r="F130" s="8004" t="s">
        <v>2429</v>
      </c>
      <c r="G130" s="8004" t="s">
        <v>28</v>
      </c>
      <c r="H130" s="8004" t="s">
        <v>28</v>
      </c>
      <c r="I130" s="8004" t="s">
        <v>1007</v>
      </c>
    </row>
    <row customHeight="1" ht="11.25">
      <c r="A131" s="8004" t="s">
        <v>2408</v>
      </c>
      <c r="B131" s="8004" t="s">
        <v>16</v>
      </c>
      <c r="C131" s="8004" t="s">
        <v>2523</v>
      </c>
      <c r="D131" s="8004" t="s">
        <v>2524</v>
      </c>
      <c r="E131" s="8004" t="s">
        <v>2525</v>
      </c>
      <c r="F131" s="8004" t="s">
        <v>2420</v>
      </c>
      <c r="G131" s="8004" t="s">
        <v>28</v>
      </c>
      <c r="H131" s="8004" t="s">
        <v>28</v>
      </c>
      <c r="I131" s="8004" t="s">
        <v>1007</v>
      </c>
    </row>
    <row customHeight="1" ht="11.25">
      <c r="A132" s="8004" t="s">
        <v>2408</v>
      </c>
      <c r="B132" s="8004" t="s">
        <v>16</v>
      </c>
      <c r="C132" s="8004" t="s">
        <v>2529</v>
      </c>
      <c r="D132" s="8004" t="s">
        <v>2530</v>
      </c>
      <c r="E132" s="8004" t="s">
        <v>2531</v>
      </c>
      <c r="F132" s="8004" t="s">
        <v>2507</v>
      </c>
      <c r="G132" s="8004" t="s">
        <v>28</v>
      </c>
      <c r="H132" s="8004" t="s">
        <v>28</v>
      </c>
      <c r="I132" s="8004" t="s">
        <v>1007</v>
      </c>
    </row>
    <row customHeight="1" ht="11.25">
      <c r="A133" s="8004" t="s">
        <v>2408</v>
      </c>
      <c r="B133" s="8004" t="s">
        <v>16</v>
      </c>
      <c r="C133" s="8004" t="s">
        <v>2532</v>
      </c>
      <c r="D133" s="8004" t="s">
        <v>2533</v>
      </c>
      <c r="E133" s="8004" t="s">
        <v>2534</v>
      </c>
      <c r="F133" s="8004" t="s">
        <v>2507</v>
      </c>
      <c r="G133" s="8004" t="s">
        <v>2535</v>
      </c>
      <c r="H133" s="8004" t="s">
        <v>28</v>
      </c>
      <c r="I133" s="8004" t="s">
        <v>1007</v>
      </c>
    </row>
    <row customHeight="1" ht="11.25">
      <c r="A134" s="8004" t="s">
        <v>2408</v>
      </c>
      <c r="B134" s="8004" t="s">
        <v>16</v>
      </c>
      <c r="C134" s="8004" t="s">
        <v>2676</v>
      </c>
      <c r="D134" s="8004" t="s">
        <v>2677</v>
      </c>
      <c r="E134" s="8004" t="s">
        <v>2678</v>
      </c>
      <c r="F134" s="8004" t="s">
        <v>2567</v>
      </c>
      <c r="G134" s="8004" t="s">
        <v>2679</v>
      </c>
      <c r="H134" s="8004" t="s">
        <v>28</v>
      </c>
      <c r="I134" s="8004" t="s">
        <v>1007</v>
      </c>
    </row>
    <row customHeight="1" ht="11.25">
      <c r="A135" s="8004" t="s">
        <v>2408</v>
      </c>
      <c r="B135" s="8004" t="s">
        <v>16</v>
      </c>
      <c r="C135" s="8004" t="s">
        <v>2680</v>
      </c>
      <c r="D135" s="8004" t="s">
        <v>2681</v>
      </c>
      <c r="E135" s="8004" t="s">
        <v>2682</v>
      </c>
      <c r="F135" s="8004" t="s">
        <v>2492</v>
      </c>
      <c r="G135" s="8004" t="s">
        <v>28</v>
      </c>
      <c r="H135" s="8004" t="s">
        <v>28</v>
      </c>
      <c r="I135" s="8004" t="s">
        <v>1007</v>
      </c>
    </row>
    <row customHeight="1" ht="11.25">
      <c r="A136" s="8004" t="s">
        <v>2408</v>
      </c>
      <c r="B136" s="8004" t="s">
        <v>16</v>
      </c>
      <c r="C136" s="8004" t="s">
        <v>2543</v>
      </c>
      <c r="D136" s="8004" t="s">
        <v>2544</v>
      </c>
      <c r="E136" s="8004" t="s">
        <v>2545</v>
      </c>
      <c r="F136" s="8004" t="s">
        <v>2420</v>
      </c>
      <c r="G136" s="8004" t="s">
        <v>28</v>
      </c>
      <c r="H136" s="8004" t="s">
        <v>28</v>
      </c>
      <c r="I136" s="8004" t="s">
        <v>1007</v>
      </c>
    </row>
    <row customHeight="1" ht="11.25">
      <c r="A137" s="8004" t="s">
        <v>2408</v>
      </c>
      <c r="B137" s="8004" t="s">
        <v>16</v>
      </c>
      <c r="C137" s="8004" t="s">
        <v>2549</v>
      </c>
      <c r="D137" s="8004" t="s">
        <v>2550</v>
      </c>
      <c r="E137" s="8004" t="s">
        <v>2551</v>
      </c>
      <c r="F137" s="8004" t="s">
        <v>2552</v>
      </c>
      <c r="G137" s="8004" t="s">
        <v>28</v>
      </c>
      <c r="H137" s="8004" t="s">
        <v>28</v>
      </c>
      <c r="I137" s="8004" t="s">
        <v>1007</v>
      </c>
    </row>
    <row customHeight="1" ht="11.25">
      <c r="A138" s="8004" t="s">
        <v>2408</v>
      </c>
      <c r="B138" s="8004" t="s">
        <v>16</v>
      </c>
      <c r="C138" s="8004" t="s">
        <v>2557</v>
      </c>
      <c r="D138" s="8004" t="s">
        <v>2558</v>
      </c>
      <c r="E138" s="8004" t="s">
        <v>2559</v>
      </c>
      <c r="F138" s="8004" t="s">
        <v>2507</v>
      </c>
      <c r="G138" s="8004" t="s">
        <v>2560</v>
      </c>
      <c r="H138" s="8004" t="s">
        <v>28</v>
      </c>
      <c r="I138" s="8004" t="s">
        <v>1007</v>
      </c>
    </row>
    <row customHeight="1" ht="11.25">
      <c r="A139" s="8004" t="s">
        <v>2408</v>
      </c>
      <c r="B139" s="8004" t="s">
        <v>16</v>
      </c>
      <c r="C139" s="8004" t="s">
        <v>2561</v>
      </c>
      <c r="D139" s="8004" t="s">
        <v>2562</v>
      </c>
      <c r="E139" s="8004" t="s">
        <v>2563</v>
      </c>
      <c r="F139" s="8004" t="s">
        <v>2420</v>
      </c>
      <c r="G139" s="8004" t="s">
        <v>28</v>
      </c>
      <c r="H139" s="8004" t="s">
        <v>28</v>
      </c>
      <c r="I139" s="8004" t="s">
        <v>1007</v>
      </c>
    </row>
    <row customHeight="1" ht="11.25">
      <c r="A140" s="8004" t="s">
        <v>2408</v>
      </c>
      <c r="B140" s="8004" t="s">
        <v>16</v>
      </c>
      <c r="C140" s="8004" t="s">
        <v>2683</v>
      </c>
      <c r="D140" s="8004" t="s">
        <v>2684</v>
      </c>
      <c r="E140" s="8004" t="s">
        <v>2685</v>
      </c>
      <c r="F140" s="8004" t="s">
        <v>53</v>
      </c>
      <c r="G140" s="8004" t="s">
        <v>2686</v>
      </c>
      <c r="H140" s="8004" t="s">
        <v>28</v>
      </c>
      <c r="I140" s="8004" t="s">
        <v>1007</v>
      </c>
    </row>
    <row customHeight="1" ht="11.25">
      <c r="A141" s="8004" t="s">
        <v>2408</v>
      </c>
      <c r="B141" s="8004" t="s">
        <v>16</v>
      </c>
      <c r="C141" s="8004" t="s">
        <v>2569</v>
      </c>
      <c r="D141" s="8004" t="s">
        <v>2570</v>
      </c>
      <c r="E141" s="8004" t="s">
        <v>2571</v>
      </c>
      <c r="F141" s="8004" t="s">
        <v>2572</v>
      </c>
      <c r="G141" s="8004" t="s">
        <v>2573</v>
      </c>
      <c r="H141" s="8004" t="s">
        <v>28</v>
      </c>
      <c r="I141" s="8004" t="s">
        <v>1007</v>
      </c>
    </row>
    <row customHeight="1" ht="11.25">
      <c r="A142" s="8004" t="s">
        <v>2408</v>
      </c>
      <c r="B142" s="8004" t="s">
        <v>16</v>
      </c>
      <c r="C142" s="8004" t="s">
        <v>2687</v>
      </c>
      <c r="D142" s="8004" t="s">
        <v>2688</v>
      </c>
      <c r="E142" s="8004" t="s">
        <v>2689</v>
      </c>
      <c r="F142" s="8004" t="s">
        <v>2690</v>
      </c>
      <c r="G142" s="8004" t="s">
        <v>2691</v>
      </c>
      <c r="H142" s="8004" t="s">
        <v>28</v>
      </c>
      <c r="I142" s="8004" t="s">
        <v>1007</v>
      </c>
    </row>
    <row customHeight="1" ht="11.25">
      <c r="A143" s="8004" t="s">
        <v>2408</v>
      </c>
      <c r="B143" s="8004" t="s">
        <v>16</v>
      </c>
      <c r="C143" s="8004" t="s">
        <v>2574</v>
      </c>
      <c r="D143" s="8004" t="s">
        <v>2575</v>
      </c>
      <c r="E143" s="8004" t="s">
        <v>2576</v>
      </c>
      <c r="F143" s="8004" t="s">
        <v>2577</v>
      </c>
      <c r="G143" s="8004" t="s">
        <v>28</v>
      </c>
      <c r="H143" s="8004" t="s">
        <v>28</v>
      </c>
      <c r="I143" s="8004" t="s">
        <v>1007</v>
      </c>
    </row>
    <row customHeight="1" ht="11.25">
      <c r="A144" s="8004" t="s">
        <v>2408</v>
      </c>
      <c r="B144" s="8004" t="s">
        <v>16</v>
      </c>
      <c r="C144" s="8004" t="s">
        <v>2692</v>
      </c>
      <c r="D144" s="8004" t="s">
        <v>2693</v>
      </c>
      <c r="E144" s="8004" t="s">
        <v>2694</v>
      </c>
      <c r="F144" s="8004" t="s">
        <v>2695</v>
      </c>
      <c r="G144" s="8004" t="s">
        <v>28</v>
      </c>
      <c r="H144" s="8004" t="s">
        <v>28</v>
      </c>
      <c r="I144" s="8004" t="s">
        <v>1007</v>
      </c>
    </row>
    <row customHeight="1" ht="11.25">
      <c r="A145" s="8004" t="s">
        <v>2408</v>
      </c>
      <c r="B145" s="8004" t="s">
        <v>16</v>
      </c>
      <c r="C145" s="8004" t="s">
        <v>2696</v>
      </c>
      <c r="D145" s="8004" t="s">
        <v>2697</v>
      </c>
      <c r="E145" s="8004" t="s">
        <v>2698</v>
      </c>
      <c r="F145" s="8004" t="s">
        <v>2695</v>
      </c>
      <c r="G145" s="8004" t="s">
        <v>28</v>
      </c>
      <c r="H145" s="8004" t="s">
        <v>28</v>
      </c>
      <c r="I145" s="8004" t="s">
        <v>1007</v>
      </c>
    </row>
    <row customHeight="1" ht="11.25">
      <c r="A146" s="8004" t="s">
        <v>2408</v>
      </c>
      <c r="B146" s="8004" t="s">
        <v>16</v>
      </c>
      <c r="C146" s="8004" t="s">
        <v>2699</v>
      </c>
      <c r="D146" s="8004" t="s">
        <v>2700</v>
      </c>
      <c r="E146" s="8004" t="s">
        <v>2701</v>
      </c>
      <c r="F146" s="8004" t="s">
        <v>2690</v>
      </c>
      <c r="G146" s="8004" t="s">
        <v>2702</v>
      </c>
      <c r="H146" s="8004" t="s">
        <v>28</v>
      </c>
      <c r="I146" s="8004" t="s">
        <v>1007</v>
      </c>
    </row>
    <row customHeight="1" ht="11.25">
      <c r="A147" s="8004" t="s">
        <v>2408</v>
      </c>
      <c r="B147" s="8004" t="s">
        <v>16</v>
      </c>
      <c r="C147" s="8004" t="s">
        <v>2703</v>
      </c>
      <c r="D147" s="8004" t="s">
        <v>2704</v>
      </c>
      <c r="E147" s="8004" t="s">
        <v>2705</v>
      </c>
      <c r="F147" s="8004" t="s">
        <v>2507</v>
      </c>
      <c r="G147" s="8004" t="s">
        <v>2706</v>
      </c>
      <c r="H147" s="8004" t="s">
        <v>28</v>
      </c>
      <c r="I147" s="8004" t="s">
        <v>1007</v>
      </c>
    </row>
    <row customHeight="1" ht="11.25">
      <c r="A148" s="8004" t="s">
        <v>2408</v>
      </c>
      <c r="B148" s="8004" t="s">
        <v>16</v>
      </c>
      <c r="C148" s="8004" t="s">
        <v>2584</v>
      </c>
      <c r="D148" s="8004" t="s">
        <v>2585</v>
      </c>
      <c r="E148" s="8004" t="s">
        <v>2586</v>
      </c>
      <c r="F148" s="8004" t="s">
        <v>2587</v>
      </c>
      <c r="G148" s="8004" t="s">
        <v>2588</v>
      </c>
      <c r="H148" s="8004" t="s">
        <v>28</v>
      </c>
      <c r="I148" s="8004" t="s">
        <v>1007</v>
      </c>
    </row>
    <row customHeight="1" ht="11.25">
      <c r="A149" s="8004" t="s">
        <v>2408</v>
      </c>
      <c r="B149" s="8004" t="s">
        <v>16</v>
      </c>
      <c r="C149" s="8004" t="s">
        <v>2707</v>
      </c>
      <c r="D149" s="8004" t="s">
        <v>2708</v>
      </c>
      <c r="E149" s="8004" t="s">
        <v>2709</v>
      </c>
      <c r="F149" s="8004" t="s">
        <v>2567</v>
      </c>
      <c r="G149" s="8004" t="s">
        <v>28</v>
      </c>
      <c r="H149" s="8004" t="s">
        <v>28</v>
      </c>
      <c r="I149" s="8004" t="s">
        <v>1007</v>
      </c>
    </row>
    <row customHeight="1" ht="11.25">
      <c r="A150" s="8004" t="s">
        <v>2408</v>
      </c>
      <c r="B150" s="8004" t="s">
        <v>16</v>
      </c>
      <c r="C150" s="8004" t="s">
        <v>2599</v>
      </c>
      <c r="D150" s="8004" t="s">
        <v>2600</v>
      </c>
      <c r="E150" s="8004" t="s">
        <v>2601</v>
      </c>
      <c r="F150" s="8004" t="s">
        <v>2429</v>
      </c>
      <c r="G150" s="8004" t="s">
        <v>2602</v>
      </c>
      <c r="H150" s="8004" t="s">
        <v>28</v>
      </c>
      <c r="I150" s="8004" t="s">
        <v>1007</v>
      </c>
    </row>
    <row customHeight="1" ht="11.25">
      <c r="A151" s="8004" t="s">
        <v>2408</v>
      </c>
      <c r="B151" s="8004" t="s">
        <v>16</v>
      </c>
      <c r="C151" s="8004" t="s">
        <v>2620</v>
      </c>
      <c r="D151" s="8004" t="s">
        <v>2621</v>
      </c>
      <c r="E151" s="8004" t="s">
        <v>2622</v>
      </c>
      <c r="F151" s="8004" t="s">
        <v>2623</v>
      </c>
      <c r="G151" s="8004" t="s">
        <v>2624</v>
      </c>
      <c r="H151" s="8004" t="s">
        <v>28</v>
      </c>
      <c r="I151" s="8004" t="s">
        <v>1007</v>
      </c>
    </row>
    <row customHeight="1" ht="11.25">
      <c r="A152" s="8004" t="s">
        <v>2408</v>
      </c>
      <c r="B152" s="8004" t="s">
        <v>16</v>
      </c>
      <c r="C152" s="8004" t="s">
        <v>2625</v>
      </c>
      <c r="D152" s="8004" t="s">
        <v>2626</v>
      </c>
      <c r="E152" s="8004" t="s">
        <v>2571</v>
      </c>
      <c r="F152" s="8004" t="s">
        <v>2627</v>
      </c>
      <c r="G152" s="8004" t="s">
        <v>28</v>
      </c>
      <c r="H152" s="8004" t="s">
        <v>28</v>
      </c>
      <c r="I152" s="8004" t="s">
        <v>1007</v>
      </c>
    </row>
    <row customHeight="1" ht="11.25">
      <c r="A153" s="8004" t="s">
        <v>2408</v>
      </c>
      <c r="B153" s="8004" t="s">
        <v>16</v>
      </c>
      <c r="C153" s="8004" t="s">
        <v>2631</v>
      </c>
      <c r="D153" s="8004" t="s">
        <v>2632</v>
      </c>
      <c r="E153" s="8004" t="s">
        <v>2622</v>
      </c>
      <c r="F153" s="8004" t="s">
        <v>2633</v>
      </c>
      <c r="G153" s="8004" t="s">
        <v>2634</v>
      </c>
      <c r="H153" s="8004" t="s">
        <v>28</v>
      </c>
      <c r="I153" s="8004" t="s">
        <v>1007</v>
      </c>
    </row>
    <row customHeight="1" ht="11.25">
      <c r="A154" s="8004" t="s">
        <v>2408</v>
      </c>
      <c r="B154" s="8004" t="s">
        <v>16</v>
      </c>
      <c r="C154" s="8004" t="s">
        <v>2635</v>
      </c>
      <c r="D154" s="8004" t="s">
        <v>2636</v>
      </c>
      <c r="E154" s="8004" t="s">
        <v>2637</v>
      </c>
      <c r="F154" s="8004" t="s">
        <v>2638</v>
      </c>
      <c r="G154" s="8004" t="s">
        <v>28</v>
      </c>
      <c r="H154" s="8004" t="s">
        <v>28</v>
      </c>
      <c r="I154" s="8004" t="s">
        <v>1007</v>
      </c>
    </row>
    <row customHeight="1" ht="11.25">
      <c r="A155" s="8004" t="s">
        <v>2408</v>
      </c>
      <c r="B155" s="8004" t="s">
        <v>16</v>
      </c>
      <c r="C155" s="8004" t="s">
        <v>2647</v>
      </c>
      <c r="D155" s="8004" t="s">
        <v>2648</v>
      </c>
      <c r="E155" s="8004" t="s">
        <v>2649</v>
      </c>
      <c r="F155" s="8004" t="s">
        <v>2577</v>
      </c>
      <c r="G155" s="8004" t="s">
        <v>28</v>
      </c>
      <c r="H155" s="8004" t="s">
        <v>28</v>
      </c>
      <c r="I155" s="8004" t="s">
        <v>1007</v>
      </c>
    </row>
    <row customHeight="1" ht="11.25">
      <c r="A156" s="8004" t="s">
        <v>2408</v>
      </c>
      <c r="B156" s="8004" t="s">
        <v>16</v>
      </c>
      <c r="C156" s="8004" t="s">
        <v>2710</v>
      </c>
      <c r="D156" s="8004" t="s">
        <v>2711</v>
      </c>
      <c r="E156" s="8004" t="s">
        <v>2712</v>
      </c>
      <c r="F156" s="8004" t="s">
        <v>2638</v>
      </c>
      <c r="G156" s="8004" t="s">
        <v>2713</v>
      </c>
      <c r="H156" s="8004" t="s">
        <v>28</v>
      </c>
      <c r="I156" s="8004" t="s">
        <v>1060</v>
      </c>
    </row>
    <row customHeight="1" ht="11.25">
      <c r="A157" s="8004" t="s">
        <v>2408</v>
      </c>
      <c r="B157" s="8004" t="s">
        <v>16</v>
      </c>
      <c r="C157" s="8004" t="s">
        <v>2414</v>
      </c>
      <c r="D157" s="8004" t="s">
        <v>2410</v>
      </c>
      <c r="E157" s="8004" t="s">
        <v>2411</v>
      </c>
      <c r="F157" s="8004" t="s">
        <v>2415</v>
      </c>
      <c r="G157" s="8004" t="s">
        <v>2416</v>
      </c>
      <c r="H157" s="8004" t="s">
        <v>28</v>
      </c>
      <c r="I157" s="8004" t="s">
        <v>1060</v>
      </c>
    </row>
    <row customHeight="1" ht="11.25">
      <c r="A158" s="8004" t="s">
        <v>2408</v>
      </c>
      <c r="B158" s="8004" t="s">
        <v>16</v>
      </c>
      <c r="C158" s="8004" t="s">
        <v>2650</v>
      </c>
      <c r="D158" s="8004" t="s">
        <v>2651</v>
      </c>
      <c r="E158" s="8004" t="s">
        <v>2652</v>
      </c>
      <c r="F158" s="8004" t="s">
        <v>2475</v>
      </c>
      <c r="G158" s="8004" t="s">
        <v>2653</v>
      </c>
      <c r="H158" s="8004" t="s">
        <v>28</v>
      </c>
      <c r="I158" s="8004" t="s">
        <v>1060</v>
      </c>
    </row>
    <row customHeight="1" ht="11.25">
      <c r="A159" s="8004" t="s">
        <v>2408</v>
      </c>
      <c r="B159" s="8004" t="s">
        <v>16</v>
      </c>
      <c r="C159" s="8004" t="s">
        <v>2417</v>
      </c>
      <c r="D159" s="8004" t="s">
        <v>2418</v>
      </c>
      <c r="E159" s="8004" t="s">
        <v>2419</v>
      </c>
      <c r="F159" s="8004" t="s">
        <v>2420</v>
      </c>
      <c r="G159" s="8004" t="s">
        <v>28</v>
      </c>
      <c r="H159" s="8004" t="s">
        <v>28</v>
      </c>
      <c r="I159" s="8004" t="s">
        <v>1060</v>
      </c>
    </row>
    <row customHeight="1" ht="11.25">
      <c r="A160" s="8004" t="s">
        <v>2408</v>
      </c>
      <c r="B160" s="8004" t="s">
        <v>16</v>
      </c>
      <c r="C160" s="8004" t="s">
        <v>2654</v>
      </c>
      <c r="D160" s="8004" t="s">
        <v>2655</v>
      </c>
      <c r="E160" s="8004" t="s">
        <v>2656</v>
      </c>
      <c r="F160" s="8004" t="s">
        <v>2420</v>
      </c>
      <c r="G160" s="8004" t="s">
        <v>2657</v>
      </c>
      <c r="H160" s="8004" t="s">
        <v>28</v>
      </c>
      <c r="I160" s="8004" t="s">
        <v>1060</v>
      </c>
    </row>
    <row customHeight="1" ht="11.25">
      <c r="A161" s="8004" t="s">
        <v>2408</v>
      </c>
      <c r="B161" s="8004" t="s">
        <v>16</v>
      </c>
      <c r="C161" s="8004" t="s">
        <v>2430</v>
      </c>
      <c r="D161" s="8004" t="s">
        <v>2431</v>
      </c>
      <c r="E161" s="8004" t="s">
        <v>2432</v>
      </c>
      <c r="F161" s="8004" t="s">
        <v>2433</v>
      </c>
      <c r="G161" s="8004" t="s">
        <v>2434</v>
      </c>
      <c r="H161" s="8004" t="s">
        <v>28</v>
      </c>
      <c r="I161" s="8004" t="s">
        <v>1060</v>
      </c>
    </row>
    <row customHeight="1" ht="11.25">
      <c r="A162" s="8004" t="s">
        <v>2408</v>
      </c>
      <c r="B162" s="8004" t="s">
        <v>16</v>
      </c>
      <c r="C162" s="8004" t="s">
        <v>2658</v>
      </c>
      <c r="D162" s="8004" t="s">
        <v>2659</v>
      </c>
      <c r="E162" s="8004" t="s">
        <v>2660</v>
      </c>
      <c r="F162" s="8004" t="s">
        <v>2438</v>
      </c>
      <c r="G162" s="8004" t="s">
        <v>2661</v>
      </c>
      <c r="H162" s="8004" t="s">
        <v>28</v>
      </c>
      <c r="I162" s="8004" t="s">
        <v>1060</v>
      </c>
    </row>
    <row customHeight="1" ht="11.25">
      <c r="A163" s="8004" t="s">
        <v>2408</v>
      </c>
      <c r="B163" s="8004" t="s">
        <v>16</v>
      </c>
      <c r="C163" s="8004" t="s">
        <v>2442</v>
      </c>
      <c r="D163" s="8004" t="s">
        <v>2443</v>
      </c>
      <c r="E163" s="8004" t="s">
        <v>2444</v>
      </c>
      <c r="F163" s="8004" t="s">
        <v>53</v>
      </c>
      <c r="G163" s="8004" t="s">
        <v>2445</v>
      </c>
      <c r="H163" s="8004" t="s">
        <v>28</v>
      </c>
      <c r="I163" s="8004" t="s">
        <v>1060</v>
      </c>
    </row>
    <row customHeight="1" ht="11.25">
      <c r="A164" s="8004" t="s">
        <v>2408</v>
      </c>
      <c r="B164" s="8004" t="s">
        <v>16</v>
      </c>
      <c r="C164" s="8004" t="s">
        <v>2450</v>
      </c>
      <c r="D164" s="8004" t="s">
        <v>2451</v>
      </c>
      <c r="E164" s="8004" t="s">
        <v>2452</v>
      </c>
      <c r="F164" s="8004" t="s">
        <v>2453</v>
      </c>
      <c r="G164" s="8004" t="s">
        <v>2454</v>
      </c>
      <c r="H164" s="8004" t="s">
        <v>28</v>
      </c>
      <c r="I164" s="8004" t="s">
        <v>1060</v>
      </c>
    </row>
    <row customHeight="1" ht="11.25">
      <c r="A165" s="8004" t="s">
        <v>2408</v>
      </c>
      <c r="B165" s="8004" t="s">
        <v>16</v>
      </c>
      <c r="C165" s="8004" t="s">
        <v>2662</v>
      </c>
      <c r="D165" s="8004" t="s">
        <v>2663</v>
      </c>
      <c r="E165" s="8004" t="s">
        <v>2466</v>
      </c>
      <c r="F165" s="8004" t="s">
        <v>2642</v>
      </c>
      <c r="G165" s="8004" t="s">
        <v>2664</v>
      </c>
      <c r="H165" s="8004" t="s">
        <v>28</v>
      </c>
      <c r="I165" s="8004" t="s">
        <v>1060</v>
      </c>
    </row>
    <row customHeight="1" ht="11.25">
      <c r="A166" s="8004" t="s">
        <v>2408</v>
      </c>
      <c r="B166" s="8004" t="s">
        <v>16</v>
      </c>
      <c r="C166" s="8004" t="s">
        <v>2468</v>
      </c>
      <c r="D166" s="8004" t="s">
        <v>2469</v>
      </c>
      <c r="E166" s="8004" t="s">
        <v>2470</v>
      </c>
      <c r="F166" s="8004" t="s">
        <v>53</v>
      </c>
      <c r="G166" s="8004" t="s">
        <v>2471</v>
      </c>
      <c r="H166" s="8004" t="s">
        <v>28</v>
      </c>
      <c r="I166" s="8004" t="s">
        <v>1060</v>
      </c>
    </row>
    <row customHeight="1" ht="11.25">
      <c r="A167" s="8004" t="s">
        <v>2408</v>
      </c>
      <c r="B167" s="8004" t="s">
        <v>16</v>
      </c>
      <c r="C167" s="8004" t="s">
        <v>2665</v>
      </c>
      <c r="D167" s="8004" t="s">
        <v>2666</v>
      </c>
      <c r="E167" s="8004" t="s">
        <v>2667</v>
      </c>
      <c r="F167" s="8004" t="s">
        <v>2507</v>
      </c>
      <c r="G167" s="8004" t="s">
        <v>2668</v>
      </c>
      <c r="H167" s="8004" t="s">
        <v>28</v>
      </c>
      <c r="I167" s="8004" t="s">
        <v>1060</v>
      </c>
    </row>
    <row customHeight="1" ht="11.25">
      <c r="A168" s="8004" t="s">
        <v>2408</v>
      </c>
      <c r="B168" s="8004" t="s">
        <v>16</v>
      </c>
      <c r="C168" s="8004" t="s">
        <v>2479</v>
      </c>
      <c r="D168" s="8004" t="s">
        <v>2480</v>
      </c>
      <c r="E168" s="8004" t="s">
        <v>2481</v>
      </c>
      <c r="F168" s="8004" t="s">
        <v>53</v>
      </c>
      <c r="G168" s="8004" t="s">
        <v>2482</v>
      </c>
      <c r="H168" s="8004" t="s">
        <v>28</v>
      </c>
      <c r="I168" s="8004" t="s">
        <v>1060</v>
      </c>
    </row>
    <row customHeight="1" ht="11.25">
      <c r="A169" s="8004" t="s">
        <v>2408</v>
      </c>
      <c r="B169" s="8004" t="s">
        <v>16</v>
      </c>
      <c r="C169" s="8004" t="s">
        <v>2483</v>
      </c>
      <c r="D169" s="8004" t="s">
        <v>2484</v>
      </c>
      <c r="E169" s="8004" t="s">
        <v>2485</v>
      </c>
      <c r="F169" s="8004" t="s">
        <v>2486</v>
      </c>
      <c r="G169" s="8004" t="s">
        <v>28</v>
      </c>
      <c r="H169" s="8004" t="s">
        <v>28</v>
      </c>
      <c r="I169" s="8004" t="s">
        <v>1060</v>
      </c>
    </row>
    <row customHeight="1" ht="11.25">
      <c r="A170" s="8004" t="s">
        <v>2408</v>
      </c>
      <c r="B170" s="8004" t="s">
        <v>16</v>
      </c>
      <c r="C170" s="8004" t="s">
        <v>28</v>
      </c>
      <c r="D170" s="8004" t="s">
        <v>2487</v>
      </c>
      <c r="E170" s="8004" t="s">
        <v>2488</v>
      </c>
      <c r="F170" s="8004" t="s">
        <v>53</v>
      </c>
      <c r="G170" s="8004" t="s">
        <v>28</v>
      </c>
      <c r="H170" s="8004" t="s">
        <v>28</v>
      </c>
      <c r="I170" s="8004" t="s">
        <v>1060</v>
      </c>
    </row>
    <row customHeight="1" ht="11.25">
      <c r="A171" s="8004" t="s">
        <v>2408</v>
      </c>
      <c r="B171" s="8004" t="s">
        <v>16</v>
      </c>
      <c r="C171" s="8004" t="s">
        <v>2489</v>
      </c>
      <c r="D171" s="8004" t="s">
        <v>2490</v>
      </c>
      <c r="E171" s="8004" t="s">
        <v>2491</v>
      </c>
      <c r="F171" s="8004" t="s">
        <v>2492</v>
      </c>
      <c r="G171" s="8004" t="s">
        <v>28</v>
      </c>
      <c r="H171" s="8004" t="s">
        <v>28</v>
      </c>
      <c r="I171" s="8004" t="s">
        <v>1060</v>
      </c>
    </row>
    <row customHeight="1" ht="11.25">
      <c r="A172" s="8004" t="s">
        <v>2408</v>
      </c>
      <c r="B172" s="8004" t="s">
        <v>16</v>
      </c>
      <c r="C172" s="8004" t="s">
        <v>2493</v>
      </c>
      <c r="D172" s="8004" t="s">
        <v>2494</v>
      </c>
      <c r="E172" s="8004" t="s">
        <v>2495</v>
      </c>
      <c r="F172" s="8004" t="s">
        <v>2420</v>
      </c>
      <c r="G172" s="8004" t="s">
        <v>28</v>
      </c>
      <c r="H172" s="8004" t="s">
        <v>28</v>
      </c>
      <c r="I172" s="8004" t="s">
        <v>1060</v>
      </c>
    </row>
    <row customHeight="1" ht="11.25">
      <c r="A173" s="8004" t="s">
        <v>2408</v>
      </c>
      <c r="B173" s="8004" t="s">
        <v>16</v>
      </c>
      <c r="C173" s="8004" t="s">
        <v>2496</v>
      </c>
      <c r="D173" s="8004" t="s">
        <v>2497</v>
      </c>
      <c r="E173" s="8004" t="s">
        <v>2498</v>
      </c>
      <c r="F173" s="8004" t="s">
        <v>2492</v>
      </c>
      <c r="G173" s="8004" t="s">
        <v>2499</v>
      </c>
      <c r="H173" s="8004" t="s">
        <v>28</v>
      </c>
      <c r="I173" s="8004" t="s">
        <v>1060</v>
      </c>
    </row>
    <row customHeight="1" ht="11.25">
      <c r="A174" s="8004" t="s">
        <v>2408</v>
      </c>
      <c r="B174" s="8004" t="s">
        <v>16</v>
      </c>
      <c r="C174" s="8004" t="s">
        <v>2500</v>
      </c>
      <c r="D174" s="8004" t="s">
        <v>2501</v>
      </c>
      <c r="E174" s="8004" t="s">
        <v>2502</v>
      </c>
      <c r="F174" s="8004" t="s">
        <v>2492</v>
      </c>
      <c r="G174" s="8004" t="s">
        <v>2503</v>
      </c>
      <c r="H174" s="8004" t="s">
        <v>28</v>
      </c>
      <c r="I174" s="8004" t="s">
        <v>1060</v>
      </c>
    </row>
    <row customHeight="1" ht="11.25">
      <c r="A175" s="8004" t="s">
        <v>2408</v>
      </c>
      <c r="B175" s="8004" t="s">
        <v>16</v>
      </c>
      <c r="C175" s="8004" t="s">
        <v>2504</v>
      </c>
      <c r="D175" s="8004" t="s">
        <v>2505</v>
      </c>
      <c r="E175" s="8004" t="s">
        <v>2506</v>
      </c>
      <c r="F175" s="8004" t="s">
        <v>2507</v>
      </c>
      <c r="G175" s="8004" t="s">
        <v>2508</v>
      </c>
      <c r="H175" s="8004" t="s">
        <v>28</v>
      </c>
      <c r="I175" s="8004" t="s">
        <v>1060</v>
      </c>
    </row>
    <row customHeight="1" ht="11.25">
      <c r="A176" s="8004" t="s">
        <v>2408</v>
      </c>
      <c r="B176" s="8004" t="s">
        <v>16</v>
      </c>
      <c r="C176" s="8004" t="s">
        <v>2509</v>
      </c>
      <c r="D176" s="8004" t="s">
        <v>2510</v>
      </c>
      <c r="E176" s="8004" t="s">
        <v>2511</v>
      </c>
      <c r="F176" s="8004" t="s">
        <v>2512</v>
      </c>
      <c r="G176" s="8004" t="s">
        <v>28</v>
      </c>
      <c r="H176" s="8004" t="s">
        <v>28</v>
      </c>
      <c r="I176" s="8004" t="s">
        <v>1060</v>
      </c>
    </row>
    <row customHeight="1" ht="11.25">
      <c r="A177" s="8004" t="s">
        <v>2408</v>
      </c>
      <c r="B177" s="8004" t="s">
        <v>16</v>
      </c>
      <c r="C177" s="8004" t="s">
        <v>2672</v>
      </c>
      <c r="D177" s="8004" t="s">
        <v>2673</v>
      </c>
      <c r="E177" s="8004" t="s">
        <v>2674</v>
      </c>
      <c r="F177" s="8004" t="s">
        <v>2675</v>
      </c>
      <c r="G177" s="8004" t="s">
        <v>28</v>
      </c>
      <c r="H177" s="8004" t="s">
        <v>28</v>
      </c>
      <c r="I177" s="8004" t="s">
        <v>1060</v>
      </c>
    </row>
    <row customHeight="1" ht="11.25">
      <c r="A178" s="8004" t="s">
        <v>2408</v>
      </c>
      <c r="B178" s="8004" t="s">
        <v>16</v>
      </c>
      <c r="C178" s="8004" t="s">
        <v>2520</v>
      </c>
      <c r="D178" s="8004" t="s">
        <v>2521</v>
      </c>
      <c r="E178" s="8004" t="s">
        <v>2522</v>
      </c>
      <c r="F178" s="8004" t="s">
        <v>2429</v>
      </c>
      <c r="G178" s="8004" t="s">
        <v>28</v>
      </c>
      <c r="H178" s="8004" t="s">
        <v>28</v>
      </c>
      <c r="I178" s="8004" t="s">
        <v>1060</v>
      </c>
    </row>
    <row customHeight="1" ht="11.25">
      <c r="A179" s="8004" t="s">
        <v>2408</v>
      </c>
      <c r="B179" s="8004" t="s">
        <v>16</v>
      </c>
      <c r="C179" s="8004" t="s">
        <v>2523</v>
      </c>
      <c r="D179" s="8004" t="s">
        <v>2524</v>
      </c>
      <c r="E179" s="8004" t="s">
        <v>2525</v>
      </c>
      <c r="F179" s="8004" t="s">
        <v>2420</v>
      </c>
      <c r="G179" s="8004" t="s">
        <v>28</v>
      </c>
      <c r="H179" s="8004" t="s">
        <v>28</v>
      </c>
      <c r="I179" s="8004" t="s">
        <v>1060</v>
      </c>
    </row>
    <row customHeight="1" ht="11.25">
      <c r="A180" s="8004" t="s">
        <v>2408</v>
      </c>
      <c r="B180" s="8004" t="s">
        <v>16</v>
      </c>
      <c r="C180" s="8004" t="s">
        <v>2529</v>
      </c>
      <c r="D180" s="8004" t="s">
        <v>2530</v>
      </c>
      <c r="E180" s="8004" t="s">
        <v>2531</v>
      </c>
      <c r="F180" s="8004" t="s">
        <v>2507</v>
      </c>
      <c r="G180" s="8004" t="s">
        <v>28</v>
      </c>
      <c r="H180" s="8004" t="s">
        <v>28</v>
      </c>
      <c r="I180" s="8004" t="s">
        <v>1060</v>
      </c>
    </row>
    <row customHeight="1" ht="11.25">
      <c r="A181" s="8004" t="s">
        <v>2408</v>
      </c>
      <c r="B181" s="8004" t="s">
        <v>16</v>
      </c>
      <c r="C181" s="8004" t="s">
        <v>2532</v>
      </c>
      <c r="D181" s="8004" t="s">
        <v>2533</v>
      </c>
      <c r="E181" s="8004" t="s">
        <v>2534</v>
      </c>
      <c r="F181" s="8004" t="s">
        <v>2507</v>
      </c>
      <c r="G181" s="8004" t="s">
        <v>2535</v>
      </c>
      <c r="H181" s="8004" t="s">
        <v>28</v>
      </c>
      <c r="I181" s="8004" t="s">
        <v>1060</v>
      </c>
    </row>
    <row customHeight="1" ht="11.25">
      <c r="A182" s="8004" t="s">
        <v>2408</v>
      </c>
      <c r="B182" s="8004" t="s">
        <v>16</v>
      </c>
      <c r="C182" s="8004" t="s">
        <v>2676</v>
      </c>
      <c r="D182" s="8004" t="s">
        <v>2677</v>
      </c>
      <c r="E182" s="8004" t="s">
        <v>2678</v>
      </c>
      <c r="F182" s="8004" t="s">
        <v>2567</v>
      </c>
      <c r="G182" s="8004" t="s">
        <v>2679</v>
      </c>
      <c r="H182" s="8004" t="s">
        <v>28</v>
      </c>
      <c r="I182" s="8004" t="s">
        <v>1060</v>
      </c>
    </row>
    <row customHeight="1" ht="11.25">
      <c r="A183" s="8004" t="s">
        <v>2408</v>
      </c>
      <c r="B183" s="8004" t="s">
        <v>16</v>
      </c>
      <c r="C183" s="8004" t="s">
        <v>2680</v>
      </c>
      <c r="D183" s="8004" t="s">
        <v>2681</v>
      </c>
      <c r="E183" s="8004" t="s">
        <v>2682</v>
      </c>
      <c r="F183" s="8004" t="s">
        <v>2492</v>
      </c>
      <c r="G183" s="8004" t="s">
        <v>28</v>
      </c>
      <c r="H183" s="8004" t="s">
        <v>28</v>
      </c>
      <c r="I183" s="8004" t="s">
        <v>1060</v>
      </c>
    </row>
    <row customHeight="1" ht="11.25">
      <c r="A184" s="8004" t="s">
        <v>2408</v>
      </c>
      <c r="B184" s="8004" t="s">
        <v>16</v>
      </c>
      <c r="C184" s="8004" t="s">
        <v>2549</v>
      </c>
      <c r="D184" s="8004" t="s">
        <v>2550</v>
      </c>
      <c r="E184" s="8004" t="s">
        <v>2551</v>
      </c>
      <c r="F184" s="8004" t="s">
        <v>2552</v>
      </c>
      <c r="G184" s="8004" t="s">
        <v>28</v>
      </c>
      <c r="H184" s="8004" t="s">
        <v>28</v>
      </c>
      <c r="I184" s="8004" t="s">
        <v>1060</v>
      </c>
    </row>
    <row customHeight="1" ht="11.25">
      <c r="A185" s="8004" t="s">
        <v>2408</v>
      </c>
      <c r="B185" s="8004" t="s">
        <v>16</v>
      </c>
      <c r="C185" s="8004" t="s">
        <v>2557</v>
      </c>
      <c r="D185" s="8004" t="s">
        <v>2558</v>
      </c>
      <c r="E185" s="8004" t="s">
        <v>2559</v>
      </c>
      <c r="F185" s="8004" t="s">
        <v>2507</v>
      </c>
      <c r="G185" s="8004" t="s">
        <v>2560</v>
      </c>
      <c r="H185" s="8004" t="s">
        <v>28</v>
      </c>
      <c r="I185" s="8004" t="s">
        <v>1060</v>
      </c>
    </row>
    <row customHeight="1" ht="11.25">
      <c r="A186" s="8004" t="s">
        <v>2408</v>
      </c>
      <c r="B186" s="8004" t="s">
        <v>16</v>
      </c>
      <c r="C186" s="8004" t="s">
        <v>2561</v>
      </c>
      <c r="D186" s="8004" t="s">
        <v>2562</v>
      </c>
      <c r="E186" s="8004" t="s">
        <v>2563</v>
      </c>
      <c r="F186" s="8004" t="s">
        <v>2420</v>
      </c>
      <c r="G186" s="8004" t="s">
        <v>28</v>
      </c>
      <c r="H186" s="8004" t="s">
        <v>28</v>
      </c>
      <c r="I186" s="8004" t="s">
        <v>1060</v>
      </c>
    </row>
    <row customHeight="1" ht="11.25">
      <c r="A187" s="8004" t="s">
        <v>2408</v>
      </c>
      <c r="B187" s="8004" t="s">
        <v>16</v>
      </c>
      <c r="C187" s="8004" t="s">
        <v>2683</v>
      </c>
      <c r="D187" s="8004" t="s">
        <v>2684</v>
      </c>
      <c r="E187" s="8004" t="s">
        <v>2685</v>
      </c>
      <c r="F187" s="8004" t="s">
        <v>53</v>
      </c>
      <c r="G187" s="8004" t="s">
        <v>2686</v>
      </c>
      <c r="H187" s="8004" t="s">
        <v>28</v>
      </c>
      <c r="I187" s="8004" t="s">
        <v>1060</v>
      </c>
    </row>
    <row customHeight="1" ht="11.25">
      <c r="A188" s="8004" t="s">
        <v>2408</v>
      </c>
      <c r="B188" s="8004" t="s">
        <v>16</v>
      </c>
      <c r="C188" s="8004" t="s">
        <v>2569</v>
      </c>
      <c r="D188" s="8004" t="s">
        <v>2570</v>
      </c>
      <c r="E188" s="8004" t="s">
        <v>2571</v>
      </c>
      <c r="F188" s="8004" t="s">
        <v>2572</v>
      </c>
      <c r="G188" s="8004" t="s">
        <v>2573</v>
      </c>
      <c r="H188" s="8004" t="s">
        <v>28</v>
      </c>
      <c r="I188" s="8004" t="s">
        <v>1060</v>
      </c>
    </row>
    <row customHeight="1" ht="11.25">
      <c r="A189" s="8004" t="s">
        <v>2408</v>
      </c>
      <c r="B189" s="8004" t="s">
        <v>16</v>
      </c>
      <c r="C189" s="8004" t="s">
        <v>2574</v>
      </c>
      <c r="D189" s="8004" t="s">
        <v>2575</v>
      </c>
      <c r="E189" s="8004" t="s">
        <v>2576</v>
      </c>
      <c r="F189" s="8004" t="s">
        <v>2577</v>
      </c>
      <c r="G189" s="8004" t="s">
        <v>28</v>
      </c>
      <c r="H189" s="8004" t="s">
        <v>28</v>
      </c>
      <c r="I189" s="8004" t="s">
        <v>1060</v>
      </c>
    </row>
    <row customHeight="1" ht="11.25">
      <c r="A190" s="8004" t="s">
        <v>2408</v>
      </c>
      <c r="B190" s="8004" t="s">
        <v>16</v>
      </c>
      <c r="C190" s="8004" t="s">
        <v>2692</v>
      </c>
      <c r="D190" s="8004" t="s">
        <v>2693</v>
      </c>
      <c r="E190" s="8004" t="s">
        <v>2694</v>
      </c>
      <c r="F190" s="8004" t="s">
        <v>2695</v>
      </c>
      <c r="G190" s="8004" t="s">
        <v>28</v>
      </c>
      <c r="H190" s="8004" t="s">
        <v>28</v>
      </c>
      <c r="I190" s="8004" t="s">
        <v>1060</v>
      </c>
    </row>
    <row customHeight="1" ht="11.25">
      <c r="A191" s="8004" t="s">
        <v>2408</v>
      </c>
      <c r="B191" s="8004" t="s">
        <v>16</v>
      </c>
      <c r="C191" s="8004" t="s">
        <v>2696</v>
      </c>
      <c r="D191" s="8004" t="s">
        <v>2697</v>
      </c>
      <c r="E191" s="8004" t="s">
        <v>2698</v>
      </c>
      <c r="F191" s="8004" t="s">
        <v>2695</v>
      </c>
      <c r="G191" s="8004" t="s">
        <v>28</v>
      </c>
      <c r="H191" s="8004" t="s">
        <v>28</v>
      </c>
      <c r="I191" s="8004" t="s">
        <v>1060</v>
      </c>
    </row>
    <row customHeight="1" ht="11.25">
      <c r="A192" s="8004" t="s">
        <v>2408</v>
      </c>
      <c r="B192" s="8004" t="s">
        <v>16</v>
      </c>
      <c r="C192" s="8004" t="s">
        <v>2699</v>
      </c>
      <c r="D192" s="8004" t="s">
        <v>2700</v>
      </c>
      <c r="E192" s="8004" t="s">
        <v>2701</v>
      </c>
      <c r="F192" s="8004" t="s">
        <v>2690</v>
      </c>
      <c r="G192" s="8004" t="s">
        <v>2702</v>
      </c>
      <c r="H192" s="8004" t="s">
        <v>28</v>
      </c>
      <c r="I192" s="8004" t="s">
        <v>1060</v>
      </c>
    </row>
    <row customHeight="1" ht="11.25">
      <c r="A193" s="8004" t="s">
        <v>2408</v>
      </c>
      <c r="B193" s="8004" t="s">
        <v>16</v>
      </c>
      <c r="C193" s="8004" t="s">
        <v>2703</v>
      </c>
      <c r="D193" s="8004" t="s">
        <v>2704</v>
      </c>
      <c r="E193" s="8004" t="s">
        <v>2705</v>
      </c>
      <c r="F193" s="8004" t="s">
        <v>2507</v>
      </c>
      <c r="G193" s="8004" t="s">
        <v>2706</v>
      </c>
      <c r="H193" s="8004" t="s">
        <v>28</v>
      </c>
      <c r="I193" s="8004" t="s">
        <v>1060</v>
      </c>
    </row>
    <row customHeight="1" ht="11.25">
      <c r="A194" s="8004" t="s">
        <v>2408</v>
      </c>
      <c r="B194" s="8004" t="s">
        <v>16</v>
      </c>
      <c r="C194" s="8004" t="s">
        <v>2584</v>
      </c>
      <c r="D194" s="8004" t="s">
        <v>2585</v>
      </c>
      <c r="E194" s="8004" t="s">
        <v>2586</v>
      </c>
      <c r="F194" s="8004" t="s">
        <v>2587</v>
      </c>
      <c r="G194" s="8004" t="s">
        <v>2588</v>
      </c>
      <c r="H194" s="8004" t="s">
        <v>28</v>
      </c>
      <c r="I194" s="8004" t="s">
        <v>1060</v>
      </c>
    </row>
    <row customHeight="1" ht="11.25">
      <c r="A195" s="8004" t="s">
        <v>2408</v>
      </c>
      <c r="B195" s="8004" t="s">
        <v>16</v>
      </c>
      <c r="C195" s="8004" t="s">
        <v>2707</v>
      </c>
      <c r="D195" s="8004" t="s">
        <v>2708</v>
      </c>
      <c r="E195" s="8004" t="s">
        <v>2709</v>
      </c>
      <c r="F195" s="8004" t="s">
        <v>2567</v>
      </c>
      <c r="G195" s="8004" t="s">
        <v>28</v>
      </c>
      <c r="H195" s="8004" t="s">
        <v>28</v>
      </c>
      <c r="I195" s="8004" t="s">
        <v>1060</v>
      </c>
    </row>
    <row customHeight="1" ht="11.25">
      <c r="A196" s="8004" t="s">
        <v>2408</v>
      </c>
      <c r="B196" s="8004" t="s">
        <v>16</v>
      </c>
      <c r="C196" s="8004" t="s">
        <v>2599</v>
      </c>
      <c r="D196" s="8004" t="s">
        <v>2600</v>
      </c>
      <c r="E196" s="8004" t="s">
        <v>2601</v>
      </c>
      <c r="F196" s="8004" t="s">
        <v>2429</v>
      </c>
      <c r="G196" s="8004" t="s">
        <v>2602</v>
      </c>
      <c r="H196" s="8004" t="s">
        <v>28</v>
      </c>
      <c r="I196" s="8004" t="s">
        <v>1060</v>
      </c>
    </row>
    <row customHeight="1" ht="11.25">
      <c r="A197" s="8004" t="s">
        <v>2408</v>
      </c>
      <c r="B197" s="8004" t="s">
        <v>16</v>
      </c>
      <c r="C197" s="8004" t="s">
        <v>2714</v>
      </c>
      <c r="D197" s="8004" t="s">
        <v>2715</v>
      </c>
      <c r="E197" s="8004" t="s">
        <v>2716</v>
      </c>
      <c r="F197" s="8004" t="s">
        <v>2717</v>
      </c>
      <c r="G197" s="8004" t="s">
        <v>2718</v>
      </c>
      <c r="H197" s="8004" t="s">
        <v>28</v>
      </c>
      <c r="I197" s="8004" t="s">
        <v>1060</v>
      </c>
    </row>
    <row customHeight="1" ht="11.25">
      <c r="A198" s="8004" t="s">
        <v>2408</v>
      </c>
      <c r="B198" s="8004" t="s">
        <v>16</v>
      </c>
      <c r="C198" s="8004" t="s">
        <v>2620</v>
      </c>
      <c r="D198" s="8004" t="s">
        <v>2621</v>
      </c>
      <c r="E198" s="8004" t="s">
        <v>2622</v>
      </c>
      <c r="F198" s="8004" t="s">
        <v>2623</v>
      </c>
      <c r="G198" s="8004" t="s">
        <v>2624</v>
      </c>
      <c r="H198" s="8004" t="s">
        <v>28</v>
      </c>
      <c r="I198" s="8004" t="s">
        <v>1060</v>
      </c>
    </row>
    <row customHeight="1" ht="11.25">
      <c r="A199" s="8004" t="s">
        <v>2408</v>
      </c>
      <c r="B199" s="8004" t="s">
        <v>16</v>
      </c>
      <c r="C199" s="8004" t="s">
        <v>2631</v>
      </c>
      <c r="D199" s="8004" t="s">
        <v>2632</v>
      </c>
      <c r="E199" s="8004" t="s">
        <v>2622</v>
      </c>
      <c r="F199" s="8004" t="s">
        <v>2633</v>
      </c>
      <c r="G199" s="8004" t="s">
        <v>2634</v>
      </c>
      <c r="H199" s="8004" t="s">
        <v>28</v>
      </c>
      <c r="I199" s="8004" t="s">
        <v>1060</v>
      </c>
    </row>
    <row customHeight="1" ht="11.25">
      <c r="A200" s="8004" t="s">
        <v>2408</v>
      </c>
      <c r="B200" s="8004" t="s">
        <v>16</v>
      </c>
      <c r="C200" s="8004" t="s">
        <v>2635</v>
      </c>
      <c r="D200" s="8004" t="s">
        <v>2636</v>
      </c>
      <c r="E200" s="8004" t="s">
        <v>2637</v>
      </c>
      <c r="F200" s="8004" t="s">
        <v>2638</v>
      </c>
      <c r="G200" s="8004" t="s">
        <v>28</v>
      </c>
      <c r="H200" s="8004" t="s">
        <v>28</v>
      </c>
      <c r="I200" s="8004" t="s">
        <v>1060</v>
      </c>
    </row>
    <row customHeight="1" ht="11.25">
      <c r="A201" s="8004" t="s">
        <v>2408</v>
      </c>
      <c r="B201" s="8004" t="s">
        <v>16</v>
      </c>
      <c r="C201" s="8004" t="s">
        <v>2719</v>
      </c>
      <c r="D201" s="8004" t="s">
        <v>2720</v>
      </c>
      <c r="E201" s="8004" t="s">
        <v>2721</v>
      </c>
      <c r="F201" s="8004" t="s">
        <v>2722</v>
      </c>
      <c r="G201" s="8004" t="s">
        <v>28</v>
      </c>
      <c r="H201" s="8004" t="s">
        <v>28</v>
      </c>
      <c r="I201" s="8004" t="s">
        <v>1060</v>
      </c>
    </row>
    <row customHeight="1" ht="11.25">
      <c r="A202" s="8004" t="s">
        <v>2408</v>
      </c>
      <c r="B202" s="8004" t="s">
        <v>16</v>
      </c>
      <c r="C202" s="8004" t="s">
        <v>2647</v>
      </c>
      <c r="D202" s="8004" t="s">
        <v>2648</v>
      </c>
      <c r="E202" s="8004" t="s">
        <v>2649</v>
      </c>
      <c r="F202" s="8004" t="s">
        <v>2577</v>
      </c>
      <c r="G202" s="8004" t="s">
        <v>28</v>
      </c>
      <c r="H202" s="8004" t="s">
        <v>28</v>
      </c>
      <c r="I202" s="8004" t="s">
        <v>1060</v>
      </c>
    </row>
    <row customHeight="1" ht="11.25">
      <c r="A203" s="8004" t="s">
        <v>2408</v>
      </c>
      <c r="B203" s="8004" t="s">
        <v>16</v>
      </c>
      <c r="C203" s="8004" t="s">
        <v>2421</v>
      </c>
      <c r="D203" s="8004" t="s">
        <v>2422</v>
      </c>
      <c r="E203" s="8004" t="s">
        <v>2423</v>
      </c>
      <c r="F203" s="8004" t="s">
        <v>2424</v>
      </c>
      <c r="G203" s="8004" t="s">
        <v>2425</v>
      </c>
      <c r="H203" s="8004" t="s">
        <v>28</v>
      </c>
      <c r="I203" s="8004" t="s">
        <v>1779</v>
      </c>
    </row>
    <row customHeight="1" ht="11.25">
      <c r="A204" s="8004" t="s">
        <v>2408</v>
      </c>
      <c r="B204" s="8004" t="s">
        <v>16</v>
      </c>
      <c r="C204" s="8004" t="s">
        <v>28</v>
      </c>
      <c r="D204" s="8004" t="s">
        <v>2487</v>
      </c>
      <c r="E204" s="8004" t="s">
        <v>2488</v>
      </c>
      <c r="F204" s="8004" t="s">
        <v>53</v>
      </c>
      <c r="G204" s="8004" t="s">
        <v>28</v>
      </c>
      <c r="H204" s="8004" t="s">
        <v>28</v>
      </c>
      <c r="I204" s="8004" t="s">
        <v>1779</v>
      </c>
    </row>
    <row customHeight="1" ht="11.25">
      <c r="A205" s="8004" t="s">
        <v>2408</v>
      </c>
      <c r="B205" s="8004" t="s">
        <v>16</v>
      </c>
      <c r="C205" s="8004" t="s">
        <v>2513</v>
      </c>
      <c r="D205" s="8004" t="s">
        <v>2514</v>
      </c>
      <c r="E205" s="8004" t="s">
        <v>2515</v>
      </c>
      <c r="F205" s="8004" t="s">
        <v>2453</v>
      </c>
      <c r="G205" s="8004" t="s">
        <v>28</v>
      </c>
      <c r="H205" s="8004" t="s">
        <v>28</v>
      </c>
      <c r="I205" s="8004" t="s">
        <v>1779</v>
      </c>
    </row>
    <row customHeight="1" ht="11.25">
      <c r="A206" s="8004" t="s">
        <v>2408</v>
      </c>
      <c r="B206" s="8004" t="s">
        <v>16</v>
      </c>
      <c r="C206" s="8004" t="s">
        <v>2564</v>
      </c>
      <c r="D206" s="8004" t="s">
        <v>2565</v>
      </c>
      <c r="E206" s="8004" t="s">
        <v>2566</v>
      </c>
      <c r="F206" s="8004" t="s">
        <v>2567</v>
      </c>
      <c r="G206" s="8004" t="s">
        <v>2568</v>
      </c>
      <c r="H206" s="8004" t="s">
        <v>28</v>
      </c>
      <c r="I206" s="8004" t="s">
        <v>1779</v>
      </c>
    </row>
    <row customHeight="1" ht="11.25">
      <c r="A207" s="8004" t="s">
        <v>2408</v>
      </c>
      <c r="B207" s="8004" t="s">
        <v>16</v>
      </c>
      <c r="C207" s="8004" t="s">
        <v>2723</v>
      </c>
      <c r="D207" s="8004" t="s">
        <v>2724</v>
      </c>
      <c r="E207" s="8004" t="s">
        <v>2725</v>
      </c>
      <c r="F207" s="8004" t="s">
        <v>2642</v>
      </c>
      <c r="G207" s="8004" t="s">
        <v>28</v>
      </c>
      <c r="H207" s="8004" t="s">
        <v>28</v>
      </c>
      <c r="I207" s="8004" t="s">
        <v>1779</v>
      </c>
    </row>
    <row customHeight="1" ht="11.25">
      <c r="A208" s="8004" t="s">
        <v>2408</v>
      </c>
      <c r="B208" s="8004" t="s">
        <v>16</v>
      </c>
      <c r="C208" s="8004" t="s">
        <v>2726</v>
      </c>
      <c r="D208" s="8004" t="s">
        <v>2727</v>
      </c>
      <c r="E208" s="8004" t="s">
        <v>2728</v>
      </c>
      <c r="F208" s="8004" t="s">
        <v>2507</v>
      </c>
      <c r="G208" s="8004" t="s">
        <v>28</v>
      </c>
      <c r="H208" s="8004" t="s">
        <v>28</v>
      </c>
      <c r="I208" s="8004" t="s">
        <v>1779</v>
      </c>
    </row>
    <row customHeight="1" ht="11.25">
      <c r="A209" s="8004" t="s">
        <v>2408</v>
      </c>
      <c r="B209" s="8004" t="s">
        <v>16</v>
      </c>
      <c r="C209" s="8004" t="s">
        <v>2729</v>
      </c>
      <c r="D209" s="8004" t="s">
        <v>2730</v>
      </c>
      <c r="E209" s="8004" t="s">
        <v>2731</v>
      </c>
      <c r="F209" s="8004" t="s">
        <v>2429</v>
      </c>
      <c r="G209" s="8004" t="s">
        <v>28</v>
      </c>
      <c r="H209" s="8004" t="s">
        <v>28</v>
      </c>
      <c r="I209" s="8004" t="s">
        <v>1779</v>
      </c>
    </row>
    <row customHeight="1" ht="11.25">
      <c r="A210" s="8004" t="s">
        <v>2408</v>
      </c>
      <c r="B210" s="8004" t="s">
        <v>16</v>
      </c>
      <c r="C210" s="8004" t="s">
        <v>2732</v>
      </c>
      <c r="D210" s="8004" t="s">
        <v>2733</v>
      </c>
      <c r="E210" s="8004" t="s">
        <v>2734</v>
      </c>
      <c r="F210" s="8004" t="s">
        <v>2552</v>
      </c>
      <c r="G210" s="8004" t="s">
        <v>28</v>
      </c>
      <c r="H210" s="8004" t="s">
        <v>28</v>
      </c>
      <c r="I210" s="8004" t="s">
        <v>1779</v>
      </c>
    </row>
    <row customHeight="1" ht="11.25">
      <c r="A211" s="8004" t="s">
        <v>2408</v>
      </c>
      <c r="B211" s="8004" t="s">
        <v>16</v>
      </c>
      <c r="C211" s="8004" t="s">
        <v>2735</v>
      </c>
      <c r="D211" s="8004" t="s">
        <v>2736</v>
      </c>
      <c r="E211" s="8004" t="s">
        <v>2737</v>
      </c>
      <c r="F211" s="8004" t="s">
        <v>53</v>
      </c>
      <c r="G211" s="8004" t="s">
        <v>28</v>
      </c>
      <c r="H211" s="8004" t="s">
        <v>28</v>
      </c>
      <c r="I211" s="8004" t="s">
        <v>1779</v>
      </c>
    </row>
    <row customHeight="1" ht="11.25">
      <c r="A212" s="8004" t="s">
        <v>2408</v>
      </c>
      <c r="B212" s="8004" t="s">
        <v>16</v>
      </c>
      <c r="C212" s="8004" t="s">
        <v>2738</v>
      </c>
      <c r="D212" s="8004" t="s">
        <v>2739</v>
      </c>
      <c r="E212" s="8004" t="s">
        <v>2740</v>
      </c>
      <c r="F212" s="8004" t="s">
        <v>2453</v>
      </c>
      <c r="G212" s="8004" t="s">
        <v>28</v>
      </c>
      <c r="H212" s="8004" t="s">
        <v>28</v>
      </c>
      <c r="I212" s="8004" t="s">
        <v>1779</v>
      </c>
    </row>
    <row customHeight="1" ht="11.25">
      <c r="A213" s="8004" t="s">
        <v>2408</v>
      </c>
      <c r="B213" s="8004" t="s">
        <v>16</v>
      </c>
      <c r="C213" s="8004" t="s">
        <v>2741</v>
      </c>
      <c r="D213" s="8004" t="s">
        <v>2742</v>
      </c>
      <c r="E213" s="8004" t="s">
        <v>2743</v>
      </c>
      <c r="F213" s="8004" t="s">
        <v>2462</v>
      </c>
      <c r="G213" s="8004" t="s">
        <v>28</v>
      </c>
      <c r="H213" s="8004" t="s">
        <v>28</v>
      </c>
      <c r="I213" s="8004" t="s">
        <v>1779</v>
      </c>
    </row>
    <row customHeight="1" ht="11.25">
      <c r="A214" s="8004" t="s">
        <v>2408</v>
      </c>
      <c r="B214" s="8004" t="s">
        <v>16</v>
      </c>
      <c r="C214" s="8004" t="s">
        <v>2744</v>
      </c>
      <c r="D214" s="8004" t="s">
        <v>2745</v>
      </c>
      <c r="E214" s="8004" t="s">
        <v>2746</v>
      </c>
      <c r="F214" s="8004" t="s">
        <v>2747</v>
      </c>
      <c r="G214" s="8004" t="s">
        <v>28</v>
      </c>
      <c r="H214" s="8004" t="s">
        <v>28</v>
      </c>
      <c r="I214" s="8004" t="s">
        <v>1779</v>
      </c>
    </row>
    <row customHeight="1" ht="11.25">
      <c r="A215" s="8004" t="s">
        <v>2408</v>
      </c>
      <c r="B215" s="8004" t="s">
        <v>16</v>
      </c>
      <c r="C215" s="8004" t="s">
        <v>2748</v>
      </c>
      <c r="D215" s="8004" t="s">
        <v>2749</v>
      </c>
      <c r="E215" s="8004" t="s">
        <v>2750</v>
      </c>
      <c r="F215" s="8004" t="s">
        <v>2492</v>
      </c>
      <c r="G215" s="8004" t="s">
        <v>28</v>
      </c>
      <c r="H215" s="8004" t="s">
        <v>28</v>
      </c>
      <c r="I215" s="8004" t="s">
        <v>1779</v>
      </c>
    </row>
    <row customHeight="1" ht="11.25">
      <c r="A216" s="8004" t="s">
        <v>2408</v>
      </c>
      <c r="B216" s="8004" t="s">
        <v>16</v>
      </c>
      <c r="C216" s="8004" t="s">
        <v>2751</v>
      </c>
      <c r="D216" s="8004" t="s">
        <v>2752</v>
      </c>
      <c r="E216" s="8004" t="s">
        <v>2753</v>
      </c>
      <c r="F216" s="8004" t="s">
        <v>2512</v>
      </c>
      <c r="G216" s="8004" t="s">
        <v>2754</v>
      </c>
      <c r="H216" s="8004" t="s">
        <v>28</v>
      </c>
      <c r="I216" s="8004" t="s">
        <v>1779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5F989-6F84-9147-CC48-7FF6AA017D31}" mc:Ignorable="x14ac xr xr2 xr3">
  <sheetPr>
    <tabColor rgb="FFFFCC99"/>
  </sheetPr>
  <dimension ref="A1:G37"/>
  <sheetViews>
    <sheetView topLeftCell="A1" showGridLines="0" workbookViewId="0">
      <selection activeCell="A1" sqref="A1"/>
    </sheetView>
  </sheetViews>
  <sheetFormatPr customHeight="1" defaultRowHeight="11.25"/>
  <cols>
    <col min="1" max="1" style="8252" width="9.140625"/>
  </cols>
  <sheetData>
    <row customHeight="1" ht="11.25">
      <c r="A1" s="486" t="s">
        <v>2755</v>
      </c>
      <c r="B1" s="175" t="s">
        <v>2756</v>
      </c>
      <c r="C1" s="175" t="s">
        <v>2757</v>
      </c>
      <c r="D1" s="175" t="s">
        <v>2758</v>
      </c>
      <c r="E1" s="62" t="s">
        <v>2759</v>
      </c>
      <c r="F1" s="62" t="s">
        <v>2760</v>
      </c>
      <c r="G1" s="62" t="s">
        <v>2761</v>
      </c>
    </row>
    <row customHeight="1" ht="11.25">
      <c r="A2" s="486" t="s">
        <v>16</v>
      </c>
      <c r="B2" s="0" t="s">
        <v>156</v>
      </c>
      <c r="C2" s="0" t="s">
        <v>157</v>
      </c>
      <c r="D2" s="0" t="s">
        <v>156</v>
      </c>
      <c r="E2" s="0" t="s">
        <v>157</v>
      </c>
      <c r="F2" s="0" t="s">
        <v>2762</v>
      </c>
      <c r="G2" s="0" t="s">
        <v>155</v>
      </c>
    </row>
    <row customHeight="1" ht="11.25">
      <c r="A3" s="486" t="s">
        <v>16</v>
      </c>
      <c r="B3" s="0" t="s">
        <v>182</v>
      </c>
      <c r="C3" s="0" t="s">
        <v>183</v>
      </c>
      <c r="D3" s="0" t="s">
        <v>182</v>
      </c>
      <c r="E3" s="0" t="s">
        <v>183</v>
      </c>
      <c r="F3" s="0" t="s">
        <v>2762</v>
      </c>
      <c r="G3" s="0" t="s">
        <v>105</v>
      </c>
    </row>
    <row customHeight="1" ht="11.25">
      <c r="A4" s="486" t="s">
        <v>16</v>
      </c>
      <c r="B4" s="0" t="s">
        <v>2763</v>
      </c>
      <c r="C4" s="0" t="s">
        <v>2764</v>
      </c>
      <c r="D4" s="0" t="s">
        <v>2763</v>
      </c>
      <c r="E4" s="0" t="s">
        <v>2764</v>
      </c>
      <c r="F4" s="0" t="s">
        <v>2762</v>
      </c>
      <c r="G4" s="0" t="s">
        <v>92</v>
      </c>
    </row>
    <row customHeight="1" ht="11.25">
      <c r="A5" s="486" t="s">
        <v>16</v>
      </c>
      <c r="B5" s="0" t="s">
        <v>146</v>
      </c>
      <c r="C5" s="0" t="s">
        <v>147</v>
      </c>
      <c r="D5" s="0" t="s">
        <v>146</v>
      </c>
      <c r="E5" s="0" t="s">
        <v>147</v>
      </c>
      <c r="F5" s="0" t="s">
        <v>2762</v>
      </c>
      <c r="G5" s="0" t="s">
        <v>93</v>
      </c>
    </row>
    <row customHeight="1" ht="11.25">
      <c r="A6" s="486" t="s">
        <v>16</v>
      </c>
      <c r="B6" s="0" t="s">
        <v>2765</v>
      </c>
      <c r="C6" s="0" t="s">
        <v>2766</v>
      </c>
      <c r="D6" s="0" t="s">
        <v>2765</v>
      </c>
      <c r="E6" s="0" t="s">
        <v>2766</v>
      </c>
      <c r="F6" s="0" t="s">
        <v>2762</v>
      </c>
      <c r="G6" s="0" t="s">
        <v>120</v>
      </c>
    </row>
    <row customHeight="1" ht="11.25">
      <c r="A7" s="486" t="s">
        <v>16</v>
      </c>
      <c r="B7" s="0" t="s">
        <v>160</v>
      </c>
      <c r="C7" s="0" t="s">
        <v>161</v>
      </c>
      <c r="D7" s="0" t="s">
        <v>2767</v>
      </c>
      <c r="E7" s="0" t="s">
        <v>2768</v>
      </c>
      <c r="F7" s="0" t="s">
        <v>2769</v>
      </c>
      <c r="G7" s="0" t="s">
        <v>94</v>
      </c>
    </row>
    <row customHeight="1" ht="11.25">
      <c r="A8" s="486" t="s">
        <v>16</v>
      </c>
      <c r="B8" s="0" t="s">
        <v>160</v>
      </c>
      <c r="C8" s="0" t="s">
        <v>161</v>
      </c>
      <c r="D8" s="0" t="s">
        <v>2770</v>
      </c>
      <c r="E8" s="0" t="s">
        <v>2771</v>
      </c>
      <c r="F8" s="0" t="s">
        <v>2772</v>
      </c>
      <c r="G8" s="0" t="s">
        <v>95</v>
      </c>
    </row>
    <row customHeight="1" ht="11.25">
      <c r="A9" s="486" t="s">
        <v>16</v>
      </c>
      <c r="B9" s="0" t="s">
        <v>160</v>
      </c>
      <c r="C9" s="0" t="s">
        <v>161</v>
      </c>
      <c r="D9" s="0" t="s">
        <v>2773</v>
      </c>
      <c r="E9" s="0" t="s">
        <v>2774</v>
      </c>
      <c r="F9" s="0" t="s">
        <v>2769</v>
      </c>
      <c r="G9" s="0" t="s">
        <v>134</v>
      </c>
    </row>
    <row customHeight="1" ht="11.25">
      <c r="A10" s="486" t="s">
        <v>16</v>
      </c>
      <c r="B10" s="0" t="s">
        <v>160</v>
      </c>
      <c r="C10" s="0" t="s">
        <v>161</v>
      </c>
      <c r="D10" s="0" t="s">
        <v>160</v>
      </c>
      <c r="E10" s="0" t="s">
        <v>161</v>
      </c>
      <c r="F10" s="0" t="s">
        <v>2775</v>
      </c>
      <c r="G10" s="0" t="s">
        <v>139</v>
      </c>
    </row>
    <row customHeight="1" ht="11.25">
      <c r="A11" s="486" t="s">
        <v>16</v>
      </c>
      <c r="B11" s="0" t="s">
        <v>160</v>
      </c>
      <c r="C11" s="0" t="s">
        <v>161</v>
      </c>
      <c r="D11" s="0" t="s">
        <v>163</v>
      </c>
      <c r="E11" s="0" t="s">
        <v>164</v>
      </c>
      <c r="F11" s="0" t="s">
        <v>2776</v>
      </c>
      <c r="G11" s="0" t="s">
        <v>144</v>
      </c>
    </row>
    <row customHeight="1" ht="11.25">
      <c r="A12" s="486" t="s">
        <v>16</v>
      </c>
      <c r="B12" s="0" t="s">
        <v>179</v>
      </c>
      <c r="C12" s="0" t="s">
        <v>180</v>
      </c>
      <c r="D12" s="0" t="s">
        <v>179</v>
      </c>
      <c r="E12" s="0" t="s">
        <v>180</v>
      </c>
      <c r="F12" s="0" t="s">
        <v>2777</v>
      </c>
      <c r="G12" s="0" t="s">
        <v>148</v>
      </c>
    </row>
    <row customHeight="1" ht="11.25">
      <c r="A13" s="486" t="s">
        <v>16</v>
      </c>
      <c r="B13" s="0" t="s">
        <v>109</v>
      </c>
      <c r="C13" s="0" t="s">
        <v>2778</v>
      </c>
      <c r="D13" s="0" t="s">
        <v>109</v>
      </c>
      <c r="E13" s="0" t="s">
        <v>2778</v>
      </c>
      <c r="F13" s="0" t="s">
        <v>2775</v>
      </c>
      <c r="G13" s="0" t="s">
        <v>153</v>
      </c>
    </row>
    <row customHeight="1" ht="11.25">
      <c r="A14" s="486" t="s">
        <v>16</v>
      </c>
      <c r="B14" s="0" t="s">
        <v>109</v>
      </c>
      <c r="C14" s="0" t="s">
        <v>2778</v>
      </c>
      <c r="D14" s="0" t="s">
        <v>2779</v>
      </c>
      <c r="E14" s="0" t="s">
        <v>2780</v>
      </c>
      <c r="F14" s="0" t="s">
        <v>2769</v>
      </c>
      <c r="G14" s="0" t="s">
        <v>158</v>
      </c>
    </row>
    <row customHeight="1" ht="11.25">
      <c r="A15" s="486" t="s">
        <v>16</v>
      </c>
      <c r="B15" s="0" t="s">
        <v>109</v>
      </c>
      <c r="C15" s="0" t="s">
        <v>2778</v>
      </c>
      <c r="D15" s="0" t="s">
        <v>123</v>
      </c>
      <c r="E15" s="0" t="s">
        <v>124</v>
      </c>
      <c r="F15" s="0" t="s">
        <v>2776</v>
      </c>
      <c r="G15" s="0" t="s">
        <v>122</v>
      </c>
    </row>
    <row customHeight="1" ht="11.25">
      <c r="A16" s="486" t="s">
        <v>16</v>
      </c>
      <c r="B16" s="0" t="s">
        <v>109</v>
      </c>
      <c r="C16" s="0" t="s">
        <v>2778</v>
      </c>
      <c r="D16" s="0" t="s">
        <v>127</v>
      </c>
      <c r="E16" s="0" t="s">
        <v>128</v>
      </c>
      <c r="F16" s="0" t="s">
        <v>2776</v>
      </c>
      <c r="G16" s="0" t="s">
        <v>126</v>
      </c>
    </row>
    <row customHeight="1" ht="11.25">
      <c r="A17" s="486" t="s">
        <v>16</v>
      </c>
      <c r="B17" s="0" t="s">
        <v>109</v>
      </c>
      <c r="C17" s="0" t="s">
        <v>2778</v>
      </c>
      <c r="D17" s="0" t="s">
        <v>118</v>
      </c>
      <c r="E17" s="0" t="s">
        <v>119</v>
      </c>
      <c r="F17" s="0" t="s">
        <v>2776</v>
      </c>
      <c r="G17" s="0" t="s">
        <v>117</v>
      </c>
    </row>
    <row customHeight="1" ht="11.25">
      <c r="A18" s="486" t="s">
        <v>16</v>
      </c>
      <c r="B18" s="0" t="s">
        <v>109</v>
      </c>
      <c r="C18" s="0" t="s">
        <v>2778</v>
      </c>
      <c r="D18" s="0" t="s">
        <v>2781</v>
      </c>
      <c r="E18" s="0" t="s">
        <v>2782</v>
      </c>
      <c r="F18" s="0" t="s">
        <v>2776</v>
      </c>
      <c r="G18" s="0" t="s">
        <v>173</v>
      </c>
    </row>
    <row customHeight="1" ht="11.25">
      <c r="A19" s="486" t="s">
        <v>16</v>
      </c>
      <c r="B19" s="0" t="s">
        <v>109</v>
      </c>
      <c r="C19" s="0" t="s">
        <v>2778</v>
      </c>
      <c r="D19" s="0" t="s">
        <v>176</v>
      </c>
      <c r="E19" s="0" t="s">
        <v>177</v>
      </c>
      <c r="F19" s="0" t="s">
        <v>2769</v>
      </c>
      <c r="G19" s="0" t="s">
        <v>175</v>
      </c>
    </row>
    <row customHeight="1" ht="11.25">
      <c r="A20" s="486" t="s">
        <v>16</v>
      </c>
      <c r="B20" s="0" t="s">
        <v>109</v>
      </c>
      <c r="C20" s="0" t="s">
        <v>2778</v>
      </c>
      <c r="D20" s="0" t="s">
        <v>167</v>
      </c>
      <c r="E20" s="0" t="s">
        <v>168</v>
      </c>
      <c r="F20" s="0" t="s">
        <v>2769</v>
      </c>
      <c r="G20" s="0" t="s">
        <v>166</v>
      </c>
    </row>
    <row customHeight="1" ht="11.25">
      <c r="A21" s="486" t="s">
        <v>16</v>
      </c>
      <c r="B21" s="0" t="s">
        <v>109</v>
      </c>
      <c r="C21" s="0" t="s">
        <v>2778</v>
      </c>
      <c r="D21" s="0" t="s">
        <v>2783</v>
      </c>
      <c r="E21" s="0" t="s">
        <v>2784</v>
      </c>
      <c r="F21" s="0" t="s">
        <v>2769</v>
      </c>
      <c r="G21" s="0" t="s">
        <v>1684</v>
      </c>
    </row>
    <row customHeight="1" ht="11.25">
      <c r="A22" s="486" t="s">
        <v>16</v>
      </c>
      <c r="B22" s="0" t="s">
        <v>109</v>
      </c>
      <c r="C22" s="0" t="s">
        <v>2778</v>
      </c>
      <c r="D22" s="0" t="s">
        <v>110</v>
      </c>
      <c r="E22" s="0" t="s">
        <v>111</v>
      </c>
      <c r="F22" s="0" t="s">
        <v>2772</v>
      </c>
      <c r="G22" s="0" t="s">
        <v>108</v>
      </c>
    </row>
    <row customHeight="1" ht="11.25">
      <c r="A23" s="486" t="s">
        <v>16</v>
      </c>
      <c r="B23" s="0" t="s">
        <v>109</v>
      </c>
      <c r="C23" s="0" t="s">
        <v>2778</v>
      </c>
      <c r="D23" s="0" t="s">
        <v>114</v>
      </c>
      <c r="E23" s="0" t="s">
        <v>115</v>
      </c>
      <c r="F23" s="0" t="s">
        <v>2776</v>
      </c>
      <c r="G23" s="0" t="s">
        <v>113</v>
      </c>
    </row>
    <row customHeight="1" ht="11.25">
      <c r="A24" s="486" t="s">
        <v>16</v>
      </c>
      <c r="B24" s="0" t="s">
        <v>109</v>
      </c>
      <c r="C24" s="0" t="s">
        <v>2778</v>
      </c>
      <c r="D24" s="0" t="s">
        <v>171</v>
      </c>
      <c r="E24" s="0" t="s">
        <v>172</v>
      </c>
      <c r="F24" s="0" t="s">
        <v>2769</v>
      </c>
      <c r="G24" s="0" t="s">
        <v>170</v>
      </c>
    </row>
    <row customHeight="1" ht="11.25">
      <c r="A25" s="486" t="s">
        <v>16</v>
      </c>
      <c r="B25" s="0" t="s">
        <v>131</v>
      </c>
      <c r="C25" s="0" t="s">
        <v>2785</v>
      </c>
      <c r="D25" s="0" t="s">
        <v>131</v>
      </c>
      <c r="E25" s="0" t="s">
        <v>2785</v>
      </c>
      <c r="F25" s="0" t="s">
        <v>2775</v>
      </c>
      <c r="G25" s="0" t="s">
        <v>1719</v>
      </c>
    </row>
    <row customHeight="1" ht="11.25">
      <c r="A26" s="486" t="s">
        <v>16</v>
      </c>
      <c r="B26" s="0" t="s">
        <v>131</v>
      </c>
      <c r="C26" s="0" t="s">
        <v>2785</v>
      </c>
      <c r="D26" s="0" t="s">
        <v>137</v>
      </c>
      <c r="E26" s="0" t="s">
        <v>138</v>
      </c>
      <c r="F26" s="0" t="s">
        <v>2776</v>
      </c>
      <c r="G26" s="0" t="s">
        <v>136</v>
      </c>
    </row>
    <row customHeight="1" ht="11.25">
      <c r="A27" s="486" t="s">
        <v>16</v>
      </c>
      <c r="B27" s="0" t="s">
        <v>131</v>
      </c>
      <c r="C27" s="0" t="s">
        <v>2785</v>
      </c>
      <c r="D27" s="0" t="s">
        <v>132</v>
      </c>
      <c r="E27" s="0" t="s">
        <v>133</v>
      </c>
      <c r="F27" s="0" t="s">
        <v>2769</v>
      </c>
      <c r="G27" s="0" t="s">
        <v>130</v>
      </c>
    </row>
    <row customHeight="1" ht="11.25">
      <c r="A28" s="486" t="s">
        <v>16</v>
      </c>
      <c r="B28" s="0" t="s">
        <v>151</v>
      </c>
      <c r="C28" s="0" t="s">
        <v>152</v>
      </c>
      <c r="D28" s="0" t="s">
        <v>151</v>
      </c>
      <c r="E28" s="0" t="s">
        <v>152</v>
      </c>
      <c r="F28" s="0" t="s">
        <v>2777</v>
      </c>
      <c r="G28" s="0" t="s">
        <v>150</v>
      </c>
    </row>
    <row customHeight="1" ht="11.25">
      <c r="A29" s="486" t="s">
        <v>16</v>
      </c>
      <c r="B29" s="0" t="s">
        <v>2786</v>
      </c>
      <c r="C29" s="0" t="s">
        <v>2787</v>
      </c>
      <c r="D29" s="0" t="s">
        <v>2788</v>
      </c>
      <c r="E29" s="0" t="s">
        <v>2789</v>
      </c>
      <c r="F29" s="0" t="s">
        <v>2769</v>
      </c>
      <c r="G29" s="0" t="s">
        <v>1735</v>
      </c>
    </row>
    <row customHeight="1" ht="11.25">
      <c r="A30" s="486" t="s">
        <v>16</v>
      </c>
      <c r="B30" s="0" t="s">
        <v>2786</v>
      </c>
      <c r="C30" s="0" t="s">
        <v>2787</v>
      </c>
      <c r="D30" s="0" t="s">
        <v>2790</v>
      </c>
      <c r="E30" s="0" t="s">
        <v>2791</v>
      </c>
      <c r="F30" s="0" t="s">
        <v>2776</v>
      </c>
      <c r="G30" s="0" t="s">
        <v>1738</v>
      </c>
    </row>
    <row customHeight="1" ht="11.25">
      <c r="A31" s="486" t="s">
        <v>16</v>
      </c>
      <c r="B31" s="0" t="s">
        <v>2786</v>
      </c>
      <c r="C31" s="0" t="s">
        <v>2787</v>
      </c>
      <c r="D31" s="0" t="s">
        <v>2786</v>
      </c>
      <c r="E31" s="0" t="s">
        <v>2787</v>
      </c>
      <c r="F31" s="0" t="s">
        <v>2775</v>
      </c>
      <c r="G31" s="0" t="s">
        <v>1744</v>
      </c>
    </row>
    <row customHeight="1" ht="11.25">
      <c r="A32" s="486" t="s">
        <v>16</v>
      </c>
      <c r="B32" s="0" t="s">
        <v>2792</v>
      </c>
      <c r="C32" s="0" t="s">
        <v>2793</v>
      </c>
      <c r="D32" s="0" t="s">
        <v>2792</v>
      </c>
      <c r="E32" s="0" t="s">
        <v>2793</v>
      </c>
      <c r="F32" s="0" t="s">
        <v>2777</v>
      </c>
      <c r="G32" s="0" t="s">
        <v>1746</v>
      </c>
    </row>
    <row customHeight="1" ht="11.25">
      <c r="A33" s="486" t="s">
        <v>16</v>
      </c>
      <c r="B33" s="0" t="s">
        <v>2794</v>
      </c>
      <c r="C33" s="0" t="s">
        <v>2795</v>
      </c>
      <c r="D33" s="0" t="s">
        <v>2794</v>
      </c>
      <c r="E33" s="0" t="s">
        <v>2795</v>
      </c>
      <c r="F33" s="0" t="s">
        <v>2777</v>
      </c>
      <c r="G33" s="0" t="s">
        <v>1748</v>
      </c>
    </row>
    <row customHeight="1" ht="11.25">
      <c r="A34" s="486" t="s">
        <v>16</v>
      </c>
      <c r="B34" s="0" t="s">
        <v>2796</v>
      </c>
      <c r="C34" s="0" t="s">
        <v>2797</v>
      </c>
      <c r="D34" s="0" t="s">
        <v>2796</v>
      </c>
      <c r="E34" s="0" t="s">
        <v>2797</v>
      </c>
      <c r="F34" s="0" t="s">
        <v>2777</v>
      </c>
      <c r="G34" s="0" t="s">
        <v>1750</v>
      </c>
    </row>
    <row customHeight="1" ht="11.25">
      <c r="A35" s="486" t="s">
        <v>16</v>
      </c>
      <c r="B35" s="0" t="s">
        <v>142</v>
      </c>
      <c r="C35" s="0" t="s">
        <v>143</v>
      </c>
      <c r="D35" s="0" t="s">
        <v>142</v>
      </c>
      <c r="E35" s="0" t="s">
        <v>143</v>
      </c>
      <c r="F35" s="0" t="s">
        <v>2777</v>
      </c>
      <c r="G35" s="0" t="s">
        <v>141</v>
      </c>
    </row>
    <row customHeight="1" ht="11.25">
      <c r="A36" s="486" t="s">
        <v>16</v>
      </c>
      <c r="B36" s="0" t="s">
        <v>2798</v>
      </c>
      <c r="C36" s="0" t="s">
        <v>2799</v>
      </c>
      <c r="D36" s="0" t="s">
        <v>2798</v>
      </c>
      <c r="E36" s="0" t="s">
        <v>2799</v>
      </c>
      <c r="F36" s="0" t="s">
        <v>2777</v>
      </c>
      <c r="G36" s="0" t="s">
        <v>1759</v>
      </c>
    </row>
    <row customHeight="1" ht="11.25">
      <c r="A37" s="486" t="s">
        <v>16</v>
      </c>
      <c r="B37" s="0" t="s">
        <v>102</v>
      </c>
      <c r="C37" s="0" t="s">
        <v>103</v>
      </c>
      <c r="D37" s="0" t="s">
        <v>102</v>
      </c>
      <c r="E37" s="0" t="s">
        <v>103</v>
      </c>
      <c r="F37" s="0" t="s">
        <v>2762</v>
      </c>
      <c r="G37" s="0" t="s">
        <v>101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D4CCB-33F3-ADFB-967F-2435F64A4201}"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3357" width="13.8515625" customWidth="1"/>
    <col min="2" max="2" style="13357" width="10.421875" customWidth="1"/>
    <col min="3" max="3" style="13357" width="7.57421875" customWidth="1"/>
    <col min="4" max="4" style="13357" width="13.8515625" customWidth="1"/>
    <col min="5" max="5" style="13357" width="11.57421875" customWidth="1"/>
    <col min="6" max="6" style="13357" width="16.28125" customWidth="1"/>
    <col min="7" max="7" style="13357" width="16.00390625" customWidth="1"/>
    <col min="8" max="9" style="13357" width="16.140625" customWidth="1"/>
  </cols>
  <sheetData>
    <row customHeight="1" ht="11.25">
      <c r="A1" s="948" t="s">
        <v>2800</v>
      </c>
      <c r="B1" s="948" t="s">
        <v>2801</v>
      </c>
      <c r="C1" s="1272" t="s">
        <v>2802</v>
      </c>
      <c r="D1" s="948" t="s">
        <v>2803</v>
      </c>
      <c r="E1" s="948" t="s">
        <v>2804</v>
      </c>
      <c r="F1" s="1272" t="s">
        <v>2805</v>
      </c>
      <c r="G1" s="1272" t="s">
        <v>2806</v>
      </c>
      <c r="H1" s="1272" t="s">
        <v>2807</v>
      </c>
      <c r="I1" s="1272" t="s">
        <v>2808</v>
      </c>
    </row>
    <row customHeight="1" ht="11.25">
      <c r="A2" s="8006" t="s">
        <v>155</v>
      </c>
      <c r="B2" s="8006" t="s">
        <v>2809</v>
      </c>
      <c r="C2" s="8006" t="s">
        <v>28</v>
      </c>
      <c r="D2" s="8006" t="s">
        <v>2810</v>
      </c>
      <c r="E2" s="8006" t="s">
        <v>2811</v>
      </c>
      <c r="F2" s="8006" t="s">
        <v>28</v>
      </c>
      <c r="G2" s="8006" t="s">
        <v>28</v>
      </c>
      <c r="H2" s="8006" t="s">
        <v>28</v>
      </c>
      <c r="I2" s="8006" t="s">
        <v>28</v>
      </c>
    </row>
    <row customHeight="1" ht="11.25">
      <c r="A3" s="8006" t="s">
        <v>105</v>
      </c>
      <c r="B3" s="8006" t="s">
        <v>2812</v>
      </c>
      <c r="C3" s="8006" t="s">
        <v>28</v>
      </c>
      <c r="D3" s="8006" t="s">
        <v>2810</v>
      </c>
      <c r="E3" s="8006" t="s">
        <v>2813</v>
      </c>
      <c r="F3" s="8006" t="s">
        <v>28</v>
      </c>
      <c r="G3" s="8006" t="s">
        <v>28</v>
      </c>
      <c r="H3" s="8006" t="s">
        <v>28</v>
      </c>
      <c r="I3" s="8006" t="s">
        <v>28</v>
      </c>
    </row>
    <row customHeight="1" ht="11.25">
      <c r="A4" s="8006" t="s">
        <v>92</v>
      </c>
      <c r="B4" s="8006" t="s">
        <v>2814</v>
      </c>
      <c r="C4" s="8006" t="s">
        <v>28</v>
      </c>
      <c r="D4" s="8006" t="s">
        <v>2815</v>
      </c>
      <c r="E4" s="8006" t="s">
        <v>2816</v>
      </c>
      <c r="F4" s="8006" t="s">
        <v>28</v>
      </c>
      <c r="G4" s="8006" t="s">
        <v>28</v>
      </c>
      <c r="H4" s="8006" t="s">
        <v>28</v>
      </c>
      <c r="I4" s="8006" t="s">
        <v>28</v>
      </c>
    </row>
    <row customHeight="1" ht="11.25">
      <c r="A5" s="8006" t="s">
        <v>93</v>
      </c>
      <c r="B5" s="8006" t="s">
        <v>2817</v>
      </c>
      <c r="C5" s="8006" t="s">
        <v>28</v>
      </c>
      <c r="D5" s="8006" t="s">
        <v>2818</v>
      </c>
      <c r="E5" s="8006" t="s">
        <v>2819</v>
      </c>
      <c r="F5" s="8006" t="s">
        <v>28</v>
      </c>
      <c r="G5" s="8006" t="s">
        <v>28</v>
      </c>
      <c r="H5" s="8006" t="s">
        <v>28</v>
      </c>
      <c r="I5" s="8006" t="s">
        <v>28</v>
      </c>
    </row>
    <row customHeight="1" ht="11.25">
      <c r="A6" s="8006" t="s">
        <v>120</v>
      </c>
      <c r="B6" s="8006" t="s">
        <v>2820</v>
      </c>
      <c r="C6" s="8006" t="s">
        <v>28</v>
      </c>
      <c r="D6" s="8006" t="s">
        <v>2815</v>
      </c>
      <c r="E6" s="8006" t="s">
        <v>2811</v>
      </c>
      <c r="F6" s="8006" t="s">
        <v>28</v>
      </c>
      <c r="G6" s="8006" t="s">
        <v>28</v>
      </c>
      <c r="H6" s="8006" t="s">
        <v>28</v>
      </c>
      <c r="I6" s="8006" t="s">
        <v>28</v>
      </c>
    </row>
    <row customHeight="1" ht="11.25">
      <c r="A7" s="8006" t="s">
        <v>94</v>
      </c>
      <c r="B7" s="8006" t="s">
        <v>2821</v>
      </c>
      <c r="C7" s="8006" t="s">
        <v>28</v>
      </c>
      <c r="D7" s="8006" t="s">
        <v>2815</v>
      </c>
      <c r="E7" s="8006" t="s">
        <v>2822</v>
      </c>
      <c r="F7" s="8006" t="s">
        <v>28</v>
      </c>
      <c r="G7" s="8006" t="s">
        <v>28</v>
      </c>
      <c r="H7" s="8006" t="s">
        <v>28</v>
      </c>
      <c r="I7" s="8006" t="s">
        <v>28</v>
      </c>
    </row>
    <row customHeight="1" ht="11.25">
      <c r="A8" s="8006" t="s">
        <v>95</v>
      </c>
      <c r="B8" s="8006" t="s">
        <v>2823</v>
      </c>
      <c r="C8" s="8006" t="s">
        <v>28</v>
      </c>
      <c r="D8" s="8006" t="s">
        <v>2815</v>
      </c>
      <c r="E8" s="8006" t="s">
        <v>2824</v>
      </c>
      <c r="F8" s="8006" t="s">
        <v>28</v>
      </c>
      <c r="G8" s="8006" t="s">
        <v>28</v>
      </c>
      <c r="H8" s="8006" t="s">
        <v>28</v>
      </c>
      <c r="I8" s="8006" t="s">
        <v>28</v>
      </c>
    </row>
    <row customHeight="1" ht="11.25">
      <c r="A9" s="8006" t="s">
        <v>134</v>
      </c>
      <c r="B9" s="8006" t="s">
        <v>2825</v>
      </c>
      <c r="C9" s="8006" t="s">
        <v>28</v>
      </c>
      <c r="D9" s="8006" t="s">
        <v>2815</v>
      </c>
      <c r="E9" s="8006" t="s">
        <v>2824</v>
      </c>
      <c r="F9" s="8006" t="s">
        <v>28</v>
      </c>
      <c r="G9" s="8006" t="s">
        <v>28</v>
      </c>
      <c r="H9" s="8006" t="s">
        <v>28</v>
      </c>
      <c r="I9" s="8006" t="s">
        <v>28</v>
      </c>
    </row>
    <row customHeight="1" ht="11.25">
      <c r="A10" s="8006" t="s">
        <v>139</v>
      </c>
      <c r="B10" s="8006" t="s">
        <v>2826</v>
      </c>
      <c r="C10" s="8006" t="s">
        <v>28</v>
      </c>
      <c r="D10" s="8006" t="s">
        <v>2827</v>
      </c>
      <c r="E10" s="8006" t="s">
        <v>2816</v>
      </c>
      <c r="F10" s="8006" t="s">
        <v>28</v>
      </c>
      <c r="G10" s="8006" t="s">
        <v>28</v>
      </c>
      <c r="H10" s="8006" t="s">
        <v>28</v>
      </c>
      <c r="I10" s="8006" t="s">
        <v>28</v>
      </c>
    </row>
    <row customHeight="1" ht="11.25">
      <c r="A11" s="8006" t="s">
        <v>144</v>
      </c>
      <c r="B11" s="8006" t="s">
        <v>2828</v>
      </c>
      <c r="C11" s="8006" t="s">
        <v>28</v>
      </c>
      <c r="D11" s="8006" t="s">
        <v>2827</v>
      </c>
      <c r="E11" s="8006" t="s">
        <v>2816</v>
      </c>
      <c r="F11" s="8006" t="s">
        <v>28</v>
      </c>
      <c r="G11" s="8006" t="s">
        <v>28</v>
      </c>
      <c r="H11" s="8006" t="s">
        <v>28</v>
      </c>
      <c r="I11" s="8006" t="s">
        <v>28</v>
      </c>
    </row>
    <row customHeight="1" ht="11.25">
      <c r="A12" s="8006" t="s">
        <v>148</v>
      </c>
      <c r="B12" s="8006" t="s">
        <v>2829</v>
      </c>
      <c r="C12" s="8006" t="s">
        <v>28</v>
      </c>
      <c r="D12" s="8006" t="s">
        <v>2827</v>
      </c>
      <c r="E12" s="8006" t="s">
        <v>2822</v>
      </c>
      <c r="F12" s="8006" t="s">
        <v>28</v>
      </c>
      <c r="G12" s="8006" t="s">
        <v>28</v>
      </c>
      <c r="H12" s="8006" t="s">
        <v>28</v>
      </c>
      <c r="I12" s="8006" t="s">
        <v>28</v>
      </c>
    </row>
    <row customHeight="1" ht="11.25">
      <c r="A13" s="8006" t="s">
        <v>153</v>
      </c>
      <c r="B13" s="8006" t="s">
        <v>2830</v>
      </c>
      <c r="C13" s="8006" t="s">
        <v>28</v>
      </c>
      <c r="D13" s="8006" t="s">
        <v>2831</v>
      </c>
      <c r="E13" s="8006" t="s">
        <v>2832</v>
      </c>
      <c r="F13" s="8006" t="s">
        <v>28</v>
      </c>
      <c r="G13" s="8006" t="s">
        <v>28</v>
      </c>
      <c r="H13" s="8006" t="s">
        <v>28</v>
      </c>
      <c r="I13" s="8006" t="s">
        <v>28</v>
      </c>
    </row>
    <row customHeight="1" ht="11.25">
      <c r="A14" s="8006" t="s">
        <v>158</v>
      </c>
      <c r="B14" s="8006" t="s">
        <v>2833</v>
      </c>
      <c r="C14" s="8006" t="s">
        <v>28</v>
      </c>
      <c r="D14" s="8006" t="s">
        <v>2815</v>
      </c>
      <c r="E14" s="8006" t="s">
        <v>2811</v>
      </c>
      <c r="F14" s="8006" t="s">
        <v>28</v>
      </c>
      <c r="G14" s="8006" t="s">
        <v>28</v>
      </c>
      <c r="H14" s="8006" t="s">
        <v>28</v>
      </c>
      <c r="I14" s="8006" t="s">
        <v>28</v>
      </c>
    </row>
    <row customHeight="1" ht="11.25">
      <c r="A15" s="8006" t="s">
        <v>122</v>
      </c>
      <c r="B15" s="8006" t="s">
        <v>2834</v>
      </c>
      <c r="C15" s="8006" t="s">
        <v>28</v>
      </c>
      <c r="D15" s="8006" t="s">
        <v>2810</v>
      </c>
      <c r="E15" s="8006" t="s">
        <v>2822</v>
      </c>
      <c r="F15" s="8006" t="s">
        <v>28</v>
      </c>
      <c r="G15" s="8006" t="s">
        <v>28</v>
      </c>
      <c r="H15" s="8006" t="s">
        <v>28</v>
      </c>
      <c r="I15" s="8006" t="s">
        <v>28</v>
      </c>
    </row>
    <row customHeight="1" ht="11.25">
      <c r="A16" s="8006" t="s">
        <v>126</v>
      </c>
      <c r="B16" s="8006" t="s">
        <v>2835</v>
      </c>
      <c r="C16" s="8006" t="s">
        <v>28</v>
      </c>
      <c r="D16" s="8006" t="s">
        <v>2827</v>
      </c>
      <c r="E16" s="8006" t="s">
        <v>2836</v>
      </c>
      <c r="F16" s="8006" t="s">
        <v>28</v>
      </c>
      <c r="G16" s="8006" t="s">
        <v>28</v>
      </c>
      <c r="H16" s="8006" t="s">
        <v>28</v>
      </c>
      <c r="I16" s="8006" t="s">
        <v>28</v>
      </c>
    </row>
    <row customHeight="1" ht="11.25">
      <c r="A17" s="8006" t="s">
        <v>117</v>
      </c>
      <c r="B17" s="8006" t="s">
        <v>2837</v>
      </c>
      <c r="C17" s="8006" t="s">
        <v>28</v>
      </c>
      <c r="D17" s="8006" t="s">
        <v>2810</v>
      </c>
      <c r="E17" s="8006" t="s">
        <v>2822</v>
      </c>
      <c r="F17" s="8006" t="s">
        <v>28</v>
      </c>
      <c r="G17" s="8006" t="s">
        <v>28</v>
      </c>
      <c r="H17" s="8006" t="s">
        <v>28</v>
      </c>
      <c r="I17" s="8006" t="s">
        <v>28</v>
      </c>
    </row>
    <row customHeight="1" ht="11.25">
      <c r="A18" s="8006" t="s">
        <v>173</v>
      </c>
      <c r="B18" s="8006" t="s">
        <v>2838</v>
      </c>
      <c r="C18" s="8006" t="s">
        <v>28</v>
      </c>
      <c r="D18" s="8006" t="s">
        <v>2839</v>
      </c>
      <c r="E18" s="8006" t="s">
        <v>2840</v>
      </c>
      <c r="F18" s="8006" t="s">
        <v>28</v>
      </c>
      <c r="G18" s="8006" t="s">
        <v>28</v>
      </c>
      <c r="H18" s="8006" t="s">
        <v>28</v>
      </c>
      <c r="I18" s="8006" t="s">
        <v>28</v>
      </c>
    </row>
    <row customHeight="1" ht="11.25">
      <c r="A19" s="8006" t="s">
        <v>175</v>
      </c>
      <c r="B19" s="8006" t="s">
        <v>2841</v>
      </c>
      <c r="C19" s="8006" t="s">
        <v>28</v>
      </c>
      <c r="D19" s="8006" t="s">
        <v>2839</v>
      </c>
      <c r="E19" s="8006" t="s">
        <v>2836</v>
      </c>
      <c r="F19" s="8006" t="s">
        <v>28</v>
      </c>
      <c r="G19" s="8006" t="s">
        <v>28</v>
      </c>
      <c r="H19" s="8006" t="s">
        <v>28</v>
      </c>
      <c r="I19" s="8006" t="s">
        <v>28</v>
      </c>
    </row>
    <row customHeight="1" ht="11.25">
      <c r="A20" s="8006" t="s">
        <v>166</v>
      </c>
      <c r="B20" s="8006" t="s">
        <v>2842</v>
      </c>
      <c r="C20" s="8006" t="s">
        <v>28</v>
      </c>
      <c r="D20" s="8006" t="s">
        <v>2839</v>
      </c>
      <c r="E20" s="8006" t="s">
        <v>2836</v>
      </c>
      <c r="F20" s="8006" t="s">
        <v>28</v>
      </c>
      <c r="G20" s="8006" t="s">
        <v>28</v>
      </c>
      <c r="H20" s="8006" t="s">
        <v>28</v>
      </c>
      <c r="I20" s="8006" t="s">
        <v>28</v>
      </c>
    </row>
    <row customHeight="1" ht="11.25">
      <c r="A21" s="8006" t="s">
        <v>1684</v>
      </c>
      <c r="B21" s="8006" t="s">
        <v>2843</v>
      </c>
      <c r="C21" s="8006" t="s">
        <v>28</v>
      </c>
      <c r="D21" s="8006" t="s">
        <v>2839</v>
      </c>
      <c r="E21" s="8006" t="s">
        <v>2836</v>
      </c>
      <c r="F21" s="8006" t="s">
        <v>28</v>
      </c>
      <c r="G21" s="8006" t="s">
        <v>28</v>
      </c>
      <c r="H21" s="8006" t="s">
        <v>28</v>
      </c>
      <c r="I21" s="8006" t="s">
        <v>28</v>
      </c>
    </row>
    <row customHeight="1" ht="11.25">
      <c r="A22" s="8006" t="s">
        <v>108</v>
      </c>
      <c r="B22" s="8006" t="s">
        <v>2844</v>
      </c>
      <c r="C22" s="8006" t="s">
        <v>28</v>
      </c>
      <c r="D22" s="8006" t="s">
        <v>2839</v>
      </c>
      <c r="E22" s="8006" t="s">
        <v>2836</v>
      </c>
      <c r="F22" s="8006" t="s">
        <v>28</v>
      </c>
      <c r="G22" s="8006" t="s">
        <v>28</v>
      </c>
      <c r="H22" s="8006" t="s">
        <v>28</v>
      </c>
      <c r="I22" s="8006" t="s">
        <v>28</v>
      </c>
    </row>
    <row customHeight="1" ht="11.25">
      <c r="A23" s="8006" t="s">
        <v>113</v>
      </c>
      <c r="B23" s="8006" t="s">
        <v>2845</v>
      </c>
      <c r="C23" s="8006" t="s">
        <v>28</v>
      </c>
      <c r="D23" s="8006" t="s">
        <v>2839</v>
      </c>
      <c r="E23" s="8006" t="s">
        <v>2836</v>
      </c>
      <c r="F23" s="8006" t="s">
        <v>28</v>
      </c>
      <c r="G23" s="8006" t="s">
        <v>28</v>
      </c>
      <c r="H23" s="8006" t="s">
        <v>28</v>
      </c>
      <c r="I23" s="8006" t="s">
        <v>28</v>
      </c>
    </row>
    <row customHeight="1" ht="11.25">
      <c r="A24" s="8006" t="s">
        <v>170</v>
      </c>
      <c r="B24" s="8006" t="s">
        <v>2846</v>
      </c>
      <c r="C24" s="8006" t="s">
        <v>28</v>
      </c>
      <c r="D24" s="8006" t="s">
        <v>2810</v>
      </c>
      <c r="E24" s="8006" t="s">
        <v>2811</v>
      </c>
      <c r="F24" s="8006" t="s">
        <v>28</v>
      </c>
      <c r="G24" s="8006" t="s">
        <v>28</v>
      </c>
      <c r="H24" s="8006" t="s">
        <v>28</v>
      </c>
      <c r="I24" s="8006" t="s">
        <v>28</v>
      </c>
    </row>
    <row customHeight="1" ht="11.25">
      <c r="A25" s="8006" t="s">
        <v>1719</v>
      </c>
      <c r="B25" s="8006" t="s">
        <v>2847</v>
      </c>
      <c r="C25" s="8006" t="s">
        <v>28</v>
      </c>
      <c r="D25" s="8006" t="s">
        <v>2810</v>
      </c>
      <c r="E25" s="8006" t="s">
        <v>2848</v>
      </c>
      <c r="F25" s="8006" t="s">
        <v>28</v>
      </c>
      <c r="G25" s="8006" t="s">
        <v>28</v>
      </c>
      <c r="H25" s="8006" t="s">
        <v>28</v>
      </c>
      <c r="I25" s="8006" t="s">
        <v>28</v>
      </c>
    </row>
    <row customHeight="1" ht="11.25">
      <c r="A26" s="8006" t="s">
        <v>136</v>
      </c>
      <c r="B26" s="8006" t="s">
        <v>2849</v>
      </c>
      <c r="C26" s="8006" t="s">
        <v>28</v>
      </c>
      <c r="D26" s="8006" t="s">
        <v>2850</v>
      </c>
      <c r="E26" s="8006" t="s">
        <v>2822</v>
      </c>
      <c r="F26" s="8006" t="s">
        <v>28</v>
      </c>
      <c r="G26" s="8006" t="s">
        <v>28</v>
      </c>
      <c r="H26" s="8006" t="s">
        <v>28</v>
      </c>
      <c r="I26" s="8006" t="s">
        <v>28</v>
      </c>
    </row>
    <row customHeight="1" ht="11.25">
      <c r="A27" s="8006" t="s">
        <v>130</v>
      </c>
      <c r="B27" s="8006" t="s">
        <v>2851</v>
      </c>
      <c r="C27" s="8006" t="s">
        <v>28</v>
      </c>
      <c r="D27" s="8006" t="s">
        <v>2839</v>
      </c>
      <c r="E27" s="8006" t="s">
        <v>2852</v>
      </c>
      <c r="F27" s="8006" t="s">
        <v>28</v>
      </c>
      <c r="G27" s="8006" t="s">
        <v>28</v>
      </c>
      <c r="H27" s="8006" t="s">
        <v>28</v>
      </c>
      <c r="I27" s="8006" t="s">
        <v>28</v>
      </c>
    </row>
    <row customHeight="1" ht="11.25">
      <c r="A28" s="8006" t="s">
        <v>150</v>
      </c>
      <c r="B28" s="8006" t="s">
        <v>2853</v>
      </c>
      <c r="C28" s="8006" t="s">
        <v>28</v>
      </c>
      <c r="D28" s="8006" t="s">
        <v>2815</v>
      </c>
      <c r="E28" s="8006" t="s">
        <v>2811</v>
      </c>
      <c r="F28" s="8006" t="s">
        <v>28</v>
      </c>
      <c r="G28" s="8006" t="s">
        <v>28</v>
      </c>
      <c r="H28" s="8006" t="s">
        <v>28</v>
      </c>
      <c r="I28" s="8006" t="s">
        <v>28</v>
      </c>
    </row>
    <row customHeight="1" ht="11.25">
      <c r="A29" s="8006" t="s">
        <v>1735</v>
      </c>
      <c r="B29" s="8006" t="s">
        <v>2854</v>
      </c>
      <c r="C29" s="8006" t="s">
        <v>28</v>
      </c>
      <c r="D29" s="8006" t="s">
        <v>2815</v>
      </c>
      <c r="E29" s="8006" t="s">
        <v>2811</v>
      </c>
      <c r="F29" s="8006" t="s">
        <v>28</v>
      </c>
      <c r="G29" s="8006" t="s">
        <v>28</v>
      </c>
      <c r="H29" s="8006" t="s">
        <v>28</v>
      </c>
      <c r="I29" s="8006" t="s">
        <v>28</v>
      </c>
    </row>
    <row customHeight="1" ht="11.25">
      <c r="A30" s="8006" t="s">
        <v>1738</v>
      </c>
      <c r="B30" s="8006" t="s">
        <v>2855</v>
      </c>
      <c r="C30" s="8006" t="s">
        <v>28</v>
      </c>
      <c r="D30" s="8006" t="s">
        <v>2815</v>
      </c>
      <c r="E30" s="8006" t="s">
        <v>2811</v>
      </c>
      <c r="F30" s="8006" t="s">
        <v>28</v>
      </c>
      <c r="G30" s="8006" t="s">
        <v>28</v>
      </c>
      <c r="H30" s="8006" t="s">
        <v>28</v>
      </c>
      <c r="I30" s="8006" t="s">
        <v>28</v>
      </c>
    </row>
    <row customHeight="1" ht="11.25">
      <c r="A31" s="8006" t="s">
        <v>1744</v>
      </c>
      <c r="B31" s="8006" t="s">
        <v>2856</v>
      </c>
      <c r="C31" s="8006" t="s">
        <v>28</v>
      </c>
      <c r="D31" s="8006" t="s">
        <v>2815</v>
      </c>
      <c r="E31" s="8006" t="s">
        <v>2811</v>
      </c>
      <c r="F31" s="8006" t="s">
        <v>28</v>
      </c>
      <c r="G31" s="8006" t="s">
        <v>28</v>
      </c>
      <c r="H31" s="8006" t="s">
        <v>28</v>
      </c>
      <c r="I31" s="8006" t="s">
        <v>28</v>
      </c>
    </row>
    <row customHeight="1" ht="11.25">
      <c r="A32" s="8006" t="s">
        <v>1746</v>
      </c>
      <c r="B32" s="8006" t="s">
        <v>2857</v>
      </c>
      <c r="C32" s="8006" t="s">
        <v>28</v>
      </c>
      <c r="D32" s="8006" t="s">
        <v>2815</v>
      </c>
      <c r="E32" s="8006" t="s">
        <v>2822</v>
      </c>
      <c r="F32" s="8006" t="s">
        <v>28</v>
      </c>
      <c r="G32" s="8006" t="s">
        <v>28</v>
      </c>
      <c r="H32" s="8006" t="s">
        <v>28</v>
      </c>
      <c r="I32" s="8006" t="s">
        <v>28</v>
      </c>
    </row>
    <row customHeight="1" ht="11.25">
      <c r="A33" s="8006" t="s">
        <v>1748</v>
      </c>
      <c r="B33" s="8006" t="s">
        <v>2858</v>
      </c>
      <c r="C33" s="8006" t="s">
        <v>28</v>
      </c>
      <c r="D33" s="8006" t="s">
        <v>2815</v>
      </c>
      <c r="E33" s="8006" t="s">
        <v>2811</v>
      </c>
      <c r="F33" s="8006" t="s">
        <v>28</v>
      </c>
      <c r="G33" s="8006" t="s">
        <v>28</v>
      </c>
      <c r="H33" s="8006" t="s">
        <v>28</v>
      </c>
      <c r="I33" s="8006" t="s">
        <v>28</v>
      </c>
    </row>
    <row customHeight="1" ht="11.25">
      <c r="A34" s="8006" t="s">
        <v>1750</v>
      </c>
      <c r="B34" s="8006" t="s">
        <v>2859</v>
      </c>
      <c r="C34" s="8006" t="s">
        <v>28</v>
      </c>
      <c r="D34" s="8006" t="s">
        <v>2815</v>
      </c>
      <c r="E34" s="8006" t="s">
        <v>2811</v>
      </c>
      <c r="F34" s="8006" t="s">
        <v>28</v>
      </c>
      <c r="G34" s="8006" t="s">
        <v>28</v>
      </c>
      <c r="H34" s="8006" t="s">
        <v>28</v>
      </c>
      <c r="I34" s="8006" t="s">
        <v>28</v>
      </c>
    </row>
    <row customHeight="1" ht="11.25">
      <c r="A35" s="8006" t="s">
        <v>141</v>
      </c>
      <c r="B35" s="8006" t="s">
        <v>2860</v>
      </c>
      <c r="C35" s="8006" t="s">
        <v>28</v>
      </c>
      <c r="D35" s="8006" t="s">
        <v>2815</v>
      </c>
      <c r="E35" s="8006" t="s">
        <v>2813</v>
      </c>
      <c r="F35" s="8006" t="s">
        <v>28</v>
      </c>
      <c r="G35" s="8006" t="s">
        <v>28</v>
      </c>
      <c r="H35" s="8006" t="s">
        <v>28</v>
      </c>
      <c r="I35" s="8006" t="s">
        <v>28</v>
      </c>
    </row>
    <row customHeight="1" ht="11.25">
      <c r="A36" s="8006" t="s">
        <v>1759</v>
      </c>
      <c r="B36" s="8006" t="s">
        <v>2861</v>
      </c>
      <c r="C36" s="8006" t="s">
        <v>28</v>
      </c>
      <c r="D36" s="8006" t="s">
        <v>2815</v>
      </c>
      <c r="E36" s="8006" t="s">
        <v>2813</v>
      </c>
      <c r="F36" s="8006" t="s">
        <v>28</v>
      </c>
      <c r="G36" s="8006" t="s">
        <v>28</v>
      </c>
      <c r="H36" s="8006" t="s">
        <v>28</v>
      </c>
      <c r="I36" s="8006" t="s">
        <v>28</v>
      </c>
    </row>
    <row customHeight="1" ht="11.25">
      <c r="A37" s="8006" t="s">
        <v>101</v>
      </c>
      <c r="B37" s="8006" t="s">
        <v>2862</v>
      </c>
      <c r="C37" s="8006" t="s">
        <v>28</v>
      </c>
      <c r="D37" s="8006" t="s">
        <v>2815</v>
      </c>
      <c r="E37" s="8006" t="s">
        <v>2811</v>
      </c>
      <c r="F37" s="8006" t="s">
        <v>28</v>
      </c>
      <c r="G37" s="8006" t="s">
        <v>28</v>
      </c>
      <c r="H37" s="8006" t="s">
        <v>28</v>
      </c>
      <c r="I37" s="8006" t="s">
        <v>28</v>
      </c>
    </row>
    <row customHeight="1" ht="11.25">
      <c r="A38" s="8006" t="s">
        <v>1769</v>
      </c>
      <c r="B38" s="8006" t="s">
        <v>2863</v>
      </c>
      <c r="C38" s="8006" t="s">
        <v>28</v>
      </c>
      <c r="D38" s="8006" t="s">
        <v>2864</v>
      </c>
      <c r="E38" s="8006" t="s">
        <v>2824</v>
      </c>
      <c r="F38" s="8006" t="s">
        <v>28</v>
      </c>
      <c r="G38" s="8006" t="s">
        <v>28</v>
      </c>
      <c r="H38" s="8006" t="s">
        <v>28</v>
      </c>
      <c r="I38" s="8006" t="s">
        <v>28</v>
      </c>
    </row>
    <row customHeight="1" ht="11.25">
      <c r="A39" s="8006" t="s">
        <v>1775</v>
      </c>
      <c r="B39" s="8006" t="s">
        <v>2865</v>
      </c>
      <c r="C39" s="8006" t="s">
        <v>28</v>
      </c>
      <c r="D39" s="8006" t="s">
        <v>2866</v>
      </c>
      <c r="E39" s="8006" t="s">
        <v>2867</v>
      </c>
      <c r="F39" s="8006" t="s">
        <v>28</v>
      </c>
      <c r="G39" s="8006" t="s">
        <v>28</v>
      </c>
      <c r="H39" s="8006" t="s">
        <v>28</v>
      </c>
      <c r="I39" s="8006" t="s">
        <v>28</v>
      </c>
    </row>
    <row customHeight="1" ht="11.25">
      <c r="A40" s="8006" t="s">
        <v>1780</v>
      </c>
      <c r="B40" s="8006" t="s">
        <v>2868</v>
      </c>
      <c r="C40" s="8006" t="s">
        <v>28</v>
      </c>
      <c r="D40" s="8006" t="s">
        <v>2810</v>
      </c>
      <c r="E40" s="8006" t="s">
        <v>2822</v>
      </c>
      <c r="F40" s="8006" t="s">
        <v>28</v>
      </c>
      <c r="G40" s="8006" t="s">
        <v>28</v>
      </c>
      <c r="H40" s="8006" t="s">
        <v>28</v>
      </c>
      <c r="I40" s="8006" t="s">
        <v>28</v>
      </c>
    </row>
    <row customHeight="1" ht="11.25">
      <c r="A41" s="8006" t="s">
        <v>1784</v>
      </c>
      <c r="B41" s="8006" t="s">
        <v>2869</v>
      </c>
      <c r="C41" s="8006" t="s">
        <v>28</v>
      </c>
      <c r="D41" s="8006" t="s">
        <v>2810</v>
      </c>
      <c r="E41" s="8006" t="s">
        <v>2822</v>
      </c>
      <c r="F41" s="8006" t="s">
        <v>28</v>
      </c>
      <c r="G41" s="8006" t="s">
        <v>28</v>
      </c>
      <c r="H41" s="8006" t="s">
        <v>28</v>
      </c>
      <c r="I41" s="8006" t="s">
        <v>28</v>
      </c>
    </row>
    <row customHeight="1" ht="11.25">
      <c r="A42" s="8006" t="s">
        <v>1787</v>
      </c>
      <c r="B42" s="8006" t="s">
        <v>2870</v>
      </c>
      <c r="C42" s="8006" t="s">
        <v>28</v>
      </c>
      <c r="D42" s="8006" t="s">
        <v>2871</v>
      </c>
      <c r="E42" s="8006" t="s">
        <v>2872</v>
      </c>
      <c r="F42" s="8006" t="s">
        <v>28</v>
      </c>
      <c r="G42" s="8006" t="s">
        <v>28</v>
      </c>
      <c r="H42" s="8006" t="s">
        <v>28</v>
      </c>
      <c r="I42" s="8006" t="s">
        <v>28</v>
      </c>
    </row>
    <row customHeight="1" ht="11.25">
      <c r="A43" s="8006" t="s">
        <v>1794</v>
      </c>
      <c r="B43" s="8006" t="s">
        <v>2873</v>
      </c>
      <c r="C43" s="8006" t="s">
        <v>28</v>
      </c>
      <c r="D43" s="8006" t="s">
        <v>2871</v>
      </c>
      <c r="E43" s="8006" t="s">
        <v>2872</v>
      </c>
      <c r="F43" s="8006" t="s">
        <v>28</v>
      </c>
      <c r="G43" s="8006" t="s">
        <v>28</v>
      </c>
      <c r="H43" s="8006" t="s">
        <v>28</v>
      </c>
      <c r="I43" s="8006" t="s">
        <v>28</v>
      </c>
    </row>
    <row customHeight="1" ht="11.25">
      <c r="A44" s="8006" t="s">
        <v>1803</v>
      </c>
      <c r="B44" s="8006" t="s">
        <v>2874</v>
      </c>
      <c r="C44" s="8006" t="s">
        <v>28</v>
      </c>
      <c r="D44" s="8006" t="s">
        <v>2827</v>
      </c>
      <c r="E44" s="8006" t="s">
        <v>2875</v>
      </c>
      <c r="F44" s="8006" t="s">
        <v>28</v>
      </c>
      <c r="G44" s="8006" t="s">
        <v>28</v>
      </c>
      <c r="H44" s="8006" t="s">
        <v>28</v>
      </c>
      <c r="I44" s="8006" t="s">
        <v>28</v>
      </c>
    </row>
    <row customHeight="1" ht="11.25">
      <c r="A45" s="8006" t="s">
        <v>1808</v>
      </c>
      <c r="B45" s="8006" t="s">
        <v>2876</v>
      </c>
      <c r="C45" s="8006" t="s">
        <v>28</v>
      </c>
      <c r="D45" s="8006" t="s">
        <v>2877</v>
      </c>
      <c r="E45" s="8006" t="s">
        <v>2875</v>
      </c>
      <c r="F45" s="8006" t="s">
        <v>28</v>
      </c>
      <c r="G45" s="8006" t="s">
        <v>28</v>
      </c>
      <c r="H45" s="8006" t="s">
        <v>28</v>
      </c>
      <c r="I45" s="8006" t="s">
        <v>28</v>
      </c>
    </row>
    <row customHeight="1" ht="11.25">
      <c r="A46" s="8006" t="s">
        <v>1812</v>
      </c>
      <c r="B46" s="8006" t="s">
        <v>2878</v>
      </c>
      <c r="C46" s="8006" t="s">
        <v>28</v>
      </c>
      <c r="D46" s="8006" t="s">
        <v>2879</v>
      </c>
      <c r="E46" s="8006" t="s">
        <v>2811</v>
      </c>
      <c r="F46" s="8006" t="s">
        <v>28</v>
      </c>
      <c r="G46" s="8006" t="s">
        <v>28</v>
      </c>
      <c r="H46" s="8006" t="s">
        <v>28</v>
      </c>
      <c r="I46" s="8006" t="s">
        <v>28</v>
      </c>
    </row>
    <row customHeight="1" ht="11.25">
      <c r="A47" s="8006" t="s">
        <v>1818</v>
      </c>
      <c r="B47" s="8006" t="s">
        <v>2880</v>
      </c>
      <c r="C47" s="8006" t="s">
        <v>28</v>
      </c>
      <c r="D47" s="8006" t="s">
        <v>2839</v>
      </c>
      <c r="E47" s="8006" t="s">
        <v>2852</v>
      </c>
      <c r="F47" s="8006" t="s">
        <v>28</v>
      </c>
      <c r="G47" s="8006" t="s">
        <v>28</v>
      </c>
      <c r="H47" s="8006" t="s">
        <v>28</v>
      </c>
      <c r="I47" s="8006" t="s">
        <v>28</v>
      </c>
    </row>
    <row customHeight="1" ht="11.25">
      <c r="A48" s="8006" t="s">
        <v>1823</v>
      </c>
      <c r="B48" s="8006" t="s">
        <v>2881</v>
      </c>
      <c r="C48" s="8006" t="s">
        <v>28</v>
      </c>
      <c r="D48" s="8006" t="s">
        <v>2815</v>
      </c>
      <c r="E48" s="8006" t="s">
        <v>2824</v>
      </c>
      <c r="F48" s="8006" t="s">
        <v>28</v>
      </c>
      <c r="G48" s="8006" t="s">
        <v>28</v>
      </c>
      <c r="H48" s="8006" t="s">
        <v>28</v>
      </c>
      <c r="I48" s="8006" t="s">
        <v>28</v>
      </c>
    </row>
    <row customHeight="1" ht="11.25">
      <c r="A49" s="8006" t="s">
        <v>1826</v>
      </c>
      <c r="B49" s="8006" t="s">
        <v>2882</v>
      </c>
      <c r="C49" s="8006" t="s">
        <v>28</v>
      </c>
      <c r="D49" s="8006" t="s">
        <v>2827</v>
      </c>
      <c r="E49" s="8006" t="s">
        <v>2836</v>
      </c>
      <c r="F49" s="8006" t="s">
        <v>28</v>
      </c>
      <c r="G49" s="8006" t="s">
        <v>28</v>
      </c>
      <c r="H49" s="8006" t="s">
        <v>28</v>
      </c>
      <c r="I49" s="800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19A3C-2DBC-DF43-93A2-F538976E07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E3E2F-9E89-F024-4772-E36FC0582FF6}" mc:Ignorable="x14ac xr xr2 xr3">
  <sheetPr>
    <tabColor rgb="FFFFCC99"/>
  </sheetPr>
  <dimension ref="A1:B20"/>
  <sheetViews>
    <sheetView topLeftCell="A1" showGridLines="0" workbookViewId="0">
      <selection activeCell="A1" sqref="A1"/>
    </sheetView>
  </sheetViews>
  <sheetFormatPr defaultColWidth="9.140625" customHeight="1" defaultRowHeight="11.25"/>
  <cols>
    <col min="1" max="2" style="13360" width="9.140625"/>
  </cols>
  <sheetData>
    <row customHeight="1" ht="11.25">
      <c r="A1" s="296" t="s">
        <v>207</v>
      </c>
      <c r="B1" s="296" t="s">
        <v>2883</v>
      </c>
    </row>
    <row customHeight="1" ht="11.25">
      <c r="A2" s="8008" t="s">
        <v>100</v>
      </c>
      <c r="B2" s="8008" t="s">
        <v>2884</v>
      </c>
    </row>
    <row customHeight="1" ht="11.25">
      <c r="A3" s="8008" t="s">
        <v>107</v>
      </c>
      <c r="B3" s="8008" t="s">
        <v>2885</v>
      </c>
    </row>
    <row customHeight="1" ht="11.25">
      <c r="A4" s="8008" t="s">
        <v>112</v>
      </c>
      <c r="B4" s="8008" t="s">
        <v>2886</v>
      </c>
    </row>
    <row customHeight="1" ht="11.25">
      <c r="A5" s="8008" t="s">
        <v>116</v>
      </c>
      <c r="B5" s="8008" t="s">
        <v>2887</v>
      </c>
    </row>
    <row customHeight="1" ht="11.25">
      <c r="A6" s="8008" t="s">
        <v>121</v>
      </c>
      <c r="B6" s="8008" t="s">
        <v>2888</v>
      </c>
    </row>
    <row customHeight="1" ht="11.25">
      <c r="A7" s="8008" t="s">
        <v>125</v>
      </c>
      <c r="B7" s="8008" t="s">
        <v>2889</v>
      </c>
    </row>
    <row customHeight="1" ht="11.25">
      <c r="A8" s="8008" t="s">
        <v>129</v>
      </c>
      <c r="B8" s="8008" t="s">
        <v>2890</v>
      </c>
    </row>
    <row customHeight="1" ht="11.25">
      <c r="A9" s="8008" t="s">
        <v>135</v>
      </c>
      <c r="B9" s="8008" t="s">
        <v>2891</v>
      </c>
    </row>
    <row customHeight="1" ht="11.25">
      <c r="A10" s="8008" t="s">
        <v>140</v>
      </c>
      <c r="B10" s="8008" t="s">
        <v>2892</v>
      </c>
    </row>
    <row customHeight="1" ht="11.25">
      <c r="A11" s="8008" t="s">
        <v>145</v>
      </c>
      <c r="B11" s="8008" t="s">
        <v>2893</v>
      </c>
    </row>
    <row customHeight="1" ht="11.25">
      <c r="A12" s="8008" t="s">
        <v>149</v>
      </c>
      <c r="B12" s="8008" t="s">
        <v>2894</v>
      </c>
    </row>
    <row customHeight="1" ht="11.25">
      <c r="A13" s="8008" t="s">
        <v>154</v>
      </c>
      <c r="B13" s="8008" t="s">
        <v>2895</v>
      </c>
    </row>
    <row customHeight="1" ht="11.25">
      <c r="A14" s="8008" t="s">
        <v>159</v>
      </c>
      <c r="B14" s="8008" t="s">
        <v>2896</v>
      </c>
    </row>
    <row customHeight="1" ht="11.25">
      <c r="A15" s="8008" t="s">
        <v>162</v>
      </c>
      <c r="B15" s="8008" t="s">
        <v>2897</v>
      </c>
    </row>
    <row customHeight="1" ht="11.25">
      <c r="A16" s="8008" t="s">
        <v>165</v>
      </c>
      <c r="B16" s="8008" t="s">
        <v>2898</v>
      </c>
    </row>
    <row customHeight="1" ht="11.25">
      <c r="A17" s="8008" t="s">
        <v>169</v>
      </c>
      <c r="B17" s="8008" t="s">
        <v>2899</v>
      </c>
    </row>
    <row customHeight="1" ht="11.25">
      <c r="A18" s="8008" t="s">
        <v>174</v>
      </c>
      <c r="B18" s="8008" t="s">
        <v>2900</v>
      </c>
    </row>
    <row customHeight="1" ht="11.25">
      <c r="A19" s="8008" t="s">
        <v>178</v>
      </c>
      <c r="B19" s="8008" t="s">
        <v>2901</v>
      </c>
    </row>
    <row customHeight="1" ht="11.25">
      <c r="A20" s="8008" t="s">
        <v>181</v>
      </c>
      <c r="B20" s="8008" t="s">
        <v>2902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9544C-F8C9-9F1A-8C58-0F8808A62D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357" width="9.140625"/>
    <col min="2" max="2" style="13357" width="65.28125" customWidth="1"/>
  </cols>
  <sheetData>
    <row customHeight="1" ht="11.25">
      <c r="A1" s="948" t="s">
        <v>2903</v>
      </c>
      <c r="B1" s="948" t="s">
        <v>2904</v>
      </c>
    </row>
    <row customHeight="1" ht="11.25">
      <c r="A2" s="948">
        <v>4213775</v>
      </c>
      <c r="B2" s="948" t="s">
        <v>1394</v>
      </c>
    </row>
    <row customHeight="1" ht="11.25">
      <c r="A3" s="948">
        <v>4213784</v>
      </c>
      <c r="B3" s="948" t="s">
        <v>1428</v>
      </c>
    </row>
    <row customHeight="1" ht="11.25">
      <c r="A4" s="948">
        <v>4213781</v>
      </c>
      <c r="B4" s="948" t="s">
        <v>1421</v>
      </c>
    </row>
    <row customHeight="1" ht="11.25">
      <c r="A5" s="948">
        <v>4213776</v>
      </c>
      <c r="B5" s="948" t="s">
        <v>237</v>
      </c>
    </row>
    <row customHeight="1" ht="11.25">
      <c r="A6" s="948">
        <v>4213777</v>
      </c>
      <c r="B6" s="948" t="s">
        <v>243</v>
      </c>
    </row>
    <row customHeight="1" ht="11.25">
      <c r="A7" s="948">
        <v>4213778</v>
      </c>
      <c r="B7" s="948" t="s">
        <v>249</v>
      </c>
    </row>
    <row customHeight="1" ht="11.25">
      <c r="A8" s="948">
        <v>4213780</v>
      </c>
      <c r="B8" s="948" t="s">
        <v>255</v>
      </c>
    </row>
    <row customHeight="1" ht="11.25">
      <c r="A9" s="948">
        <v>4213779</v>
      </c>
      <c r="B9" s="948" t="s">
        <v>1561</v>
      </c>
    </row>
    <row customHeight="1" ht="11.25">
      <c r="A10" s="948">
        <v>4213783</v>
      </c>
      <c r="B10" s="948" t="s">
        <v>1576</v>
      </c>
    </row>
    <row customHeight="1" ht="11.25">
      <c r="A11" s="948">
        <v>4213782</v>
      </c>
      <c r="B11" s="948" t="s">
        <v>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D901C-04E5-EB9D-C808-C627E356B4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357" width="9.140625"/>
    <col min="2" max="2" style="13357" width="65.28125" customWidth="1"/>
  </cols>
  <sheetData>
    <row customHeight="1" ht="11.25">
      <c r="A1" s="948" t="s">
        <v>2903</v>
      </c>
      <c r="B1" s="948" t="s">
        <v>2905</v>
      </c>
    </row>
    <row customHeight="1" ht="11.25">
      <c r="A2" s="948" t="s">
        <v>2906</v>
      </c>
      <c r="B2" s="948" t="s">
        <v>1670</v>
      </c>
    </row>
    <row customHeight="1" ht="11.25">
      <c r="A3" s="948" t="s">
        <v>2907</v>
      </c>
      <c r="B3" s="948" t="s">
        <v>1679</v>
      </c>
    </row>
    <row customHeight="1" ht="11.25">
      <c r="A4" s="948" t="s">
        <v>2908</v>
      </c>
      <c r="B4" s="948" t="s">
        <v>1688</v>
      </c>
    </row>
    <row customHeight="1" ht="11.25">
      <c r="A5" s="948" t="s">
        <v>2909</v>
      </c>
      <c r="B5" s="948" t="s">
        <v>1697</v>
      </c>
    </row>
    <row customHeight="1" ht="11.25">
      <c r="A6" s="948" t="s">
        <v>2910</v>
      </c>
      <c r="B6" s="948" t="s">
        <v>1702</v>
      </c>
    </row>
    <row customHeight="1" ht="11.25">
      <c r="A7" s="948" t="s">
        <v>2911</v>
      </c>
      <c r="B7" s="948" t="s">
        <v>1709</v>
      </c>
    </row>
    <row customHeight="1" ht="11.25">
      <c r="A8" s="948" t="s">
        <v>2912</v>
      </c>
      <c r="B8" s="948" t="s">
        <v>1715</v>
      </c>
    </row>
    <row customHeight="1" ht="11.25">
      <c r="A9" s="948" t="s">
        <v>2913</v>
      </c>
      <c r="B9" s="948" t="s">
        <v>1721</v>
      </c>
    </row>
    <row customHeight="1" ht="11.25">
      <c r="A10" s="948" t="s">
        <v>2914</v>
      </c>
      <c r="B10" s="948" t="s">
        <v>1724</v>
      </c>
    </row>
    <row customHeight="1" ht="11.25">
      <c r="A11" s="948" t="s">
        <v>2915</v>
      </c>
      <c r="B11" s="948" t="s">
        <v>1730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12023-4FC2-0A51-35C9-92C710CDDEAB}"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486" t="s">
        <v>2755</v>
      </c>
      <c r="B1" s="486" t="s">
        <v>2756</v>
      </c>
      <c r="C1" s="486" t="s">
        <v>2757</v>
      </c>
      <c r="D1" s="486" t="s">
        <v>2758</v>
      </c>
      <c r="E1" s="0" t="s">
        <v>2759</v>
      </c>
      <c r="F1" s="0" t="s">
        <v>2760</v>
      </c>
      <c r="G1" s="0" t="s">
        <v>2761</v>
      </c>
    </row>
    <row customHeight="1" ht="11.25">
      <c r="A2" s="0" t="s">
        <v>16</v>
      </c>
      <c r="B2" s="0" t="s">
        <v>156</v>
      </c>
      <c r="C2" s="0" t="s">
        <v>157</v>
      </c>
      <c r="D2" s="0" t="s">
        <v>156</v>
      </c>
      <c r="E2" s="0" t="s">
        <v>157</v>
      </c>
      <c r="F2" s="0" t="s">
        <v>2762</v>
      </c>
      <c r="G2" s="0" t="s">
        <v>155</v>
      </c>
    </row>
    <row customHeight="1" ht="11.25">
      <c r="A3" s="0" t="s">
        <v>16</v>
      </c>
      <c r="B3" s="0" t="s">
        <v>182</v>
      </c>
      <c r="C3" s="0" t="s">
        <v>183</v>
      </c>
      <c r="D3" s="0" t="s">
        <v>182</v>
      </c>
      <c r="E3" s="0" t="s">
        <v>183</v>
      </c>
      <c r="F3" s="0" t="s">
        <v>2762</v>
      </c>
      <c r="G3" s="0" t="s">
        <v>105</v>
      </c>
    </row>
    <row customHeight="1" ht="11.25">
      <c r="A4" s="0" t="s">
        <v>16</v>
      </c>
      <c r="B4" s="0" t="s">
        <v>2763</v>
      </c>
      <c r="C4" s="0" t="s">
        <v>2764</v>
      </c>
      <c r="D4" s="0" t="s">
        <v>2763</v>
      </c>
      <c r="E4" s="0" t="s">
        <v>2764</v>
      </c>
      <c r="F4" s="0" t="s">
        <v>2762</v>
      </c>
      <c r="G4" s="0" t="s">
        <v>92</v>
      </c>
    </row>
    <row customHeight="1" ht="11.25">
      <c r="A5" s="0" t="s">
        <v>16</v>
      </c>
      <c r="B5" s="0" t="s">
        <v>146</v>
      </c>
      <c r="C5" s="0" t="s">
        <v>147</v>
      </c>
      <c r="D5" s="0" t="s">
        <v>146</v>
      </c>
      <c r="E5" s="0" t="s">
        <v>147</v>
      </c>
      <c r="F5" s="0" t="s">
        <v>2762</v>
      </c>
      <c r="G5" s="0" t="s">
        <v>93</v>
      </c>
    </row>
    <row customHeight="1" ht="11.25">
      <c r="A6" s="0" t="s">
        <v>16</v>
      </c>
      <c r="B6" s="0" t="s">
        <v>2765</v>
      </c>
      <c r="C6" s="0" t="s">
        <v>2766</v>
      </c>
      <c r="D6" s="0" t="s">
        <v>2765</v>
      </c>
      <c r="E6" s="0" t="s">
        <v>2766</v>
      </c>
      <c r="F6" s="0" t="s">
        <v>2762</v>
      </c>
      <c r="G6" s="0" t="s">
        <v>120</v>
      </c>
    </row>
    <row customHeight="1" ht="11.25">
      <c r="A7" s="0" t="s">
        <v>16</v>
      </c>
      <c r="B7" s="0" t="s">
        <v>160</v>
      </c>
      <c r="C7" s="0" t="s">
        <v>161</v>
      </c>
      <c r="D7" s="0" t="s">
        <v>2767</v>
      </c>
      <c r="E7" s="0" t="s">
        <v>2768</v>
      </c>
      <c r="F7" s="0" t="s">
        <v>2769</v>
      </c>
      <c r="G7" s="0" t="s">
        <v>94</v>
      </c>
    </row>
    <row customHeight="1" ht="11.25">
      <c r="A8" s="0" t="s">
        <v>16</v>
      </c>
      <c r="B8" s="0" t="s">
        <v>160</v>
      </c>
      <c r="C8" s="0" t="s">
        <v>161</v>
      </c>
      <c r="D8" s="0" t="s">
        <v>2770</v>
      </c>
      <c r="E8" s="0" t="s">
        <v>2771</v>
      </c>
      <c r="F8" s="0" t="s">
        <v>2772</v>
      </c>
      <c r="G8" s="0" t="s">
        <v>95</v>
      </c>
    </row>
    <row customHeight="1" ht="11.25">
      <c r="A9" s="0" t="s">
        <v>16</v>
      </c>
      <c r="B9" s="0" t="s">
        <v>160</v>
      </c>
      <c r="C9" s="0" t="s">
        <v>161</v>
      </c>
      <c r="D9" s="0" t="s">
        <v>2773</v>
      </c>
      <c r="E9" s="0" t="s">
        <v>2774</v>
      </c>
      <c r="F9" s="0" t="s">
        <v>2769</v>
      </c>
      <c r="G9" s="0" t="s">
        <v>134</v>
      </c>
    </row>
    <row customHeight="1" ht="11.25">
      <c r="A10" s="0" t="s">
        <v>16</v>
      </c>
      <c r="B10" s="0" t="s">
        <v>160</v>
      </c>
      <c r="C10" s="0" t="s">
        <v>161</v>
      </c>
      <c r="D10" s="0" t="s">
        <v>160</v>
      </c>
      <c r="E10" s="0" t="s">
        <v>161</v>
      </c>
      <c r="F10" s="0" t="s">
        <v>2775</v>
      </c>
      <c r="G10" s="0" t="s">
        <v>139</v>
      </c>
    </row>
    <row customHeight="1" ht="11.25">
      <c r="A11" s="0" t="s">
        <v>16</v>
      </c>
      <c r="B11" s="0" t="s">
        <v>160</v>
      </c>
      <c r="C11" s="0" t="s">
        <v>161</v>
      </c>
      <c r="D11" s="0" t="s">
        <v>163</v>
      </c>
      <c r="E11" s="0" t="s">
        <v>164</v>
      </c>
      <c r="F11" s="0" t="s">
        <v>2776</v>
      </c>
      <c r="G11" s="0" t="s">
        <v>144</v>
      </c>
    </row>
    <row customHeight="1" ht="11.25">
      <c r="A12" s="0" t="s">
        <v>16</v>
      </c>
      <c r="B12" s="0" t="s">
        <v>179</v>
      </c>
      <c r="C12" s="0" t="s">
        <v>180</v>
      </c>
      <c r="D12" s="0" t="s">
        <v>179</v>
      </c>
      <c r="E12" s="0" t="s">
        <v>180</v>
      </c>
      <c r="F12" s="0" t="s">
        <v>2777</v>
      </c>
      <c r="G12" s="0" t="s">
        <v>148</v>
      </c>
    </row>
    <row customHeight="1" ht="11.25">
      <c r="A13" s="0" t="s">
        <v>16</v>
      </c>
      <c r="B13" s="0" t="s">
        <v>109</v>
      </c>
      <c r="C13" s="0" t="s">
        <v>2778</v>
      </c>
      <c r="D13" s="0" t="s">
        <v>109</v>
      </c>
      <c r="E13" s="0" t="s">
        <v>2778</v>
      </c>
      <c r="F13" s="0" t="s">
        <v>2775</v>
      </c>
      <c r="G13" s="0" t="s">
        <v>153</v>
      </c>
    </row>
    <row customHeight="1" ht="11.25">
      <c r="A14" s="0" t="s">
        <v>16</v>
      </c>
      <c r="B14" s="0" t="s">
        <v>109</v>
      </c>
      <c r="C14" s="0" t="s">
        <v>2778</v>
      </c>
      <c r="D14" s="0" t="s">
        <v>2779</v>
      </c>
      <c r="E14" s="0" t="s">
        <v>2780</v>
      </c>
      <c r="F14" s="0" t="s">
        <v>2769</v>
      </c>
      <c r="G14" s="0" t="s">
        <v>158</v>
      </c>
    </row>
    <row customHeight="1" ht="11.25">
      <c r="A15" s="0" t="s">
        <v>16</v>
      </c>
      <c r="B15" s="0" t="s">
        <v>109</v>
      </c>
      <c r="C15" s="0" t="s">
        <v>2778</v>
      </c>
      <c r="D15" s="0" t="s">
        <v>123</v>
      </c>
      <c r="E15" s="0" t="s">
        <v>124</v>
      </c>
      <c r="F15" s="0" t="s">
        <v>2776</v>
      </c>
      <c r="G15" s="0" t="s">
        <v>122</v>
      </c>
    </row>
    <row customHeight="1" ht="11.25">
      <c r="A16" s="0" t="s">
        <v>16</v>
      </c>
      <c r="B16" s="0" t="s">
        <v>109</v>
      </c>
      <c r="C16" s="0" t="s">
        <v>2778</v>
      </c>
      <c r="D16" s="0" t="s">
        <v>127</v>
      </c>
      <c r="E16" s="0" t="s">
        <v>128</v>
      </c>
      <c r="F16" s="0" t="s">
        <v>2776</v>
      </c>
      <c r="G16" s="0" t="s">
        <v>126</v>
      </c>
    </row>
    <row customHeight="1" ht="11.25">
      <c r="A17" s="0" t="s">
        <v>16</v>
      </c>
      <c r="B17" s="0" t="s">
        <v>109</v>
      </c>
      <c r="C17" s="0" t="s">
        <v>2778</v>
      </c>
      <c r="D17" s="0" t="s">
        <v>118</v>
      </c>
      <c r="E17" s="0" t="s">
        <v>119</v>
      </c>
      <c r="F17" s="0" t="s">
        <v>2776</v>
      </c>
      <c r="G17" s="0" t="s">
        <v>117</v>
      </c>
    </row>
    <row customHeight="1" ht="11.25">
      <c r="A18" s="0" t="s">
        <v>16</v>
      </c>
      <c r="B18" s="0" t="s">
        <v>109</v>
      </c>
      <c r="C18" s="0" t="s">
        <v>2778</v>
      </c>
      <c r="D18" s="0" t="s">
        <v>2781</v>
      </c>
      <c r="E18" s="0" t="s">
        <v>2782</v>
      </c>
      <c r="F18" s="0" t="s">
        <v>2776</v>
      </c>
      <c r="G18" s="0" t="s">
        <v>173</v>
      </c>
    </row>
    <row customHeight="1" ht="11.25">
      <c r="A19" s="0" t="s">
        <v>16</v>
      </c>
      <c r="B19" s="0" t="s">
        <v>109</v>
      </c>
      <c r="C19" s="0" t="s">
        <v>2778</v>
      </c>
      <c r="D19" s="0" t="s">
        <v>176</v>
      </c>
      <c r="E19" s="0" t="s">
        <v>177</v>
      </c>
      <c r="F19" s="0" t="s">
        <v>2769</v>
      </c>
      <c r="G19" s="0" t="s">
        <v>175</v>
      </c>
    </row>
    <row customHeight="1" ht="11.25">
      <c r="A20" s="0" t="s">
        <v>16</v>
      </c>
      <c r="B20" s="0" t="s">
        <v>109</v>
      </c>
      <c r="C20" s="0" t="s">
        <v>2778</v>
      </c>
      <c r="D20" s="0" t="s">
        <v>167</v>
      </c>
      <c r="E20" s="0" t="s">
        <v>168</v>
      </c>
      <c r="F20" s="0" t="s">
        <v>2769</v>
      </c>
      <c r="G20" s="0" t="s">
        <v>166</v>
      </c>
    </row>
    <row customHeight="1" ht="11.25">
      <c r="A21" s="0" t="s">
        <v>16</v>
      </c>
      <c r="B21" s="0" t="s">
        <v>109</v>
      </c>
      <c r="C21" s="0" t="s">
        <v>2778</v>
      </c>
      <c r="D21" s="0" t="s">
        <v>2783</v>
      </c>
      <c r="E21" s="0" t="s">
        <v>2784</v>
      </c>
      <c r="F21" s="0" t="s">
        <v>2769</v>
      </c>
      <c r="G21" s="0" t="s">
        <v>1684</v>
      </c>
    </row>
    <row customHeight="1" ht="11.25">
      <c r="A22" s="0" t="s">
        <v>16</v>
      </c>
      <c r="B22" s="0" t="s">
        <v>109</v>
      </c>
      <c r="C22" s="0" t="s">
        <v>2778</v>
      </c>
      <c r="D22" s="0" t="s">
        <v>110</v>
      </c>
      <c r="E22" s="0" t="s">
        <v>111</v>
      </c>
      <c r="F22" s="0" t="s">
        <v>2772</v>
      </c>
      <c r="G22" s="0" t="s">
        <v>108</v>
      </c>
    </row>
    <row customHeight="1" ht="11.25">
      <c r="A23" s="0" t="s">
        <v>16</v>
      </c>
      <c r="B23" s="0" t="s">
        <v>109</v>
      </c>
      <c r="C23" s="0" t="s">
        <v>2778</v>
      </c>
      <c r="D23" s="0" t="s">
        <v>114</v>
      </c>
      <c r="E23" s="0" t="s">
        <v>115</v>
      </c>
      <c r="F23" s="0" t="s">
        <v>2776</v>
      </c>
      <c r="G23" s="0" t="s">
        <v>113</v>
      </c>
    </row>
    <row customHeight="1" ht="11.25">
      <c r="A24" s="0" t="s">
        <v>16</v>
      </c>
      <c r="B24" s="0" t="s">
        <v>109</v>
      </c>
      <c r="C24" s="0" t="s">
        <v>2778</v>
      </c>
      <c r="D24" s="0" t="s">
        <v>171</v>
      </c>
      <c r="E24" s="0" t="s">
        <v>172</v>
      </c>
      <c r="F24" s="0" t="s">
        <v>2769</v>
      </c>
      <c r="G24" s="0" t="s">
        <v>170</v>
      </c>
    </row>
    <row customHeight="1" ht="11.25">
      <c r="A25" s="0" t="s">
        <v>16</v>
      </c>
      <c r="B25" s="0" t="s">
        <v>131</v>
      </c>
      <c r="C25" s="0" t="s">
        <v>2785</v>
      </c>
      <c r="D25" s="0" t="s">
        <v>131</v>
      </c>
      <c r="E25" s="0" t="s">
        <v>2785</v>
      </c>
      <c r="F25" s="0" t="s">
        <v>2775</v>
      </c>
      <c r="G25" s="0" t="s">
        <v>1719</v>
      </c>
    </row>
    <row customHeight="1" ht="11.25">
      <c r="A26" s="0" t="s">
        <v>16</v>
      </c>
      <c r="B26" s="0" t="s">
        <v>131</v>
      </c>
      <c r="C26" s="0" t="s">
        <v>2785</v>
      </c>
      <c r="D26" s="0" t="s">
        <v>137</v>
      </c>
      <c r="E26" s="0" t="s">
        <v>138</v>
      </c>
      <c r="F26" s="0" t="s">
        <v>2776</v>
      </c>
      <c r="G26" s="0" t="s">
        <v>136</v>
      </c>
    </row>
    <row customHeight="1" ht="11.25">
      <c r="A27" s="0" t="s">
        <v>16</v>
      </c>
      <c r="B27" s="0" t="s">
        <v>131</v>
      </c>
      <c r="C27" s="0" t="s">
        <v>2785</v>
      </c>
      <c r="D27" s="0" t="s">
        <v>132</v>
      </c>
      <c r="E27" s="0" t="s">
        <v>133</v>
      </c>
      <c r="F27" s="0" t="s">
        <v>2769</v>
      </c>
      <c r="G27" s="0" t="s">
        <v>130</v>
      </c>
    </row>
    <row customHeight="1" ht="11.25">
      <c r="A28" s="0" t="s">
        <v>16</v>
      </c>
      <c r="B28" s="0" t="s">
        <v>151</v>
      </c>
      <c r="C28" s="0" t="s">
        <v>152</v>
      </c>
      <c r="D28" s="0" t="s">
        <v>151</v>
      </c>
      <c r="E28" s="0" t="s">
        <v>152</v>
      </c>
      <c r="F28" s="0" t="s">
        <v>2777</v>
      </c>
      <c r="G28" s="0" t="s">
        <v>150</v>
      </c>
    </row>
    <row customHeight="1" ht="11.25">
      <c r="A29" s="0" t="s">
        <v>16</v>
      </c>
      <c r="B29" s="0" t="s">
        <v>2786</v>
      </c>
      <c r="C29" s="0" t="s">
        <v>2787</v>
      </c>
      <c r="D29" s="0" t="s">
        <v>2788</v>
      </c>
      <c r="E29" s="0" t="s">
        <v>2789</v>
      </c>
      <c r="F29" s="0" t="s">
        <v>2769</v>
      </c>
      <c r="G29" s="0" t="s">
        <v>1735</v>
      </c>
    </row>
    <row customHeight="1" ht="11.25">
      <c r="A30" s="0" t="s">
        <v>16</v>
      </c>
      <c r="B30" s="0" t="s">
        <v>2786</v>
      </c>
      <c r="C30" s="0" t="s">
        <v>2787</v>
      </c>
      <c r="D30" s="0" t="s">
        <v>2790</v>
      </c>
      <c r="E30" s="0" t="s">
        <v>2791</v>
      </c>
      <c r="F30" s="0" t="s">
        <v>2776</v>
      </c>
      <c r="G30" s="0" t="s">
        <v>1738</v>
      </c>
    </row>
    <row customHeight="1" ht="11.25">
      <c r="A31" s="0" t="s">
        <v>16</v>
      </c>
      <c r="B31" s="0" t="s">
        <v>2786</v>
      </c>
      <c r="C31" s="0" t="s">
        <v>2787</v>
      </c>
      <c r="D31" s="0" t="s">
        <v>2786</v>
      </c>
      <c r="E31" s="0" t="s">
        <v>2787</v>
      </c>
      <c r="F31" s="0" t="s">
        <v>2775</v>
      </c>
      <c r="G31" s="0" t="s">
        <v>1744</v>
      </c>
    </row>
    <row customHeight="1" ht="11.25">
      <c r="A32" s="0" t="s">
        <v>16</v>
      </c>
      <c r="B32" s="0" t="s">
        <v>2792</v>
      </c>
      <c r="C32" s="0" t="s">
        <v>2793</v>
      </c>
      <c r="D32" s="0" t="s">
        <v>2792</v>
      </c>
      <c r="E32" s="0" t="s">
        <v>2793</v>
      </c>
      <c r="F32" s="0" t="s">
        <v>2777</v>
      </c>
      <c r="G32" s="0" t="s">
        <v>1746</v>
      </c>
    </row>
    <row customHeight="1" ht="11.25">
      <c r="A33" s="0" t="s">
        <v>16</v>
      </c>
      <c r="B33" s="0" t="s">
        <v>2794</v>
      </c>
      <c r="C33" s="0" t="s">
        <v>2795</v>
      </c>
      <c r="D33" s="0" t="s">
        <v>2794</v>
      </c>
      <c r="E33" s="0" t="s">
        <v>2795</v>
      </c>
      <c r="F33" s="0" t="s">
        <v>2777</v>
      </c>
      <c r="G33" s="0" t="s">
        <v>1748</v>
      </c>
    </row>
    <row customHeight="1" ht="11.25">
      <c r="A34" s="0" t="s">
        <v>16</v>
      </c>
      <c r="B34" s="0" t="s">
        <v>2796</v>
      </c>
      <c r="C34" s="0" t="s">
        <v>2797</v>
      </c>
      <c r="D34" s="0" t="s">
        <v>2796</v>
      </c>
      <c r="E34" s="0" t="s">
        <v>2797</v>
      </c>
      <c r="F34" s="0" t="s">
        <v>2777</v>
      </c>
      <c r="G34" s="0" t="s">
        <v>1750</v>
      </c>
    </row>
    <row customHeight="1" ht="11.25">
      <c r="A35" s="0" t="s">
        <v>16</v>
      </c>
      <c r="B35" s="0" t="s">
        <v>142</v>
      </c>
      <c r="C35" s="0" t="s">
        <v>143</v>
      </c>
      <c r="D35" s="0" t="s">
        <v>142</v>
      </c>
      <c r="E35" s="0" t="s">
        <v>143</v>
      </c>
      <c r="F35" s="0" t="s">
        <v>2777</v>
      </c>
      <c r="G35" s="0" t="s">
        <v>141</v>
      </c>
    </row>
    <row customHeight="1" ht="11.25">
      <c r="A36" s="0" t="s">
        <v>16</v>
      </c>
      <c r="B36" s="0" t="s">
        <v>2798</v>
      </c>
      <c r="C36" s="0" t="s">
        <v>2799</v>
      </c>
      <c r="D36" s="0" t="s">
        <v>2798</v>
      </c>
      <c r="E36" s="0" t="s">
        <v>2799</v>
      </c>
      <c r="F36" s="0" t="s">
        <v>2777</v>
      </c>
      <c r="G36" s="0" t="s">
        <v>1759</v>
      </c>
    </row>
    <row customHeight="1" ht="11.25">
      <c r="A37" s="0" t="s">
        <v>16</v>
      </c>
      <c r="B37" s="0" t="s">
        <v>102</v>
      </c>
      <c r="C37" s="0" t="s">
        <v>103</v>
      </c>
      <c r="D37" s="0" t="s">
        <v>102</v>
      </c>
      <c r="E37" s="0" t="s">
        <v>103</v>
      </c>
      <c r="F37" s="0" t="s">
        <v>2762</v>
      </c>
      <c r="G37" s="0"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D25D-E699-1D53-A5F1-FDC5C1A248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357" width="9.140625"/>
    <col min="2" max="2" style="13357" width="84.28125" customWidth="1"/>
    <col min="3" max="3" style="13357" width="9.140625"/>
  </cols>
  <sheetData>
    <row customHeight="1" ht="11.25">
      <c r="A1" s="948" t="s">
        <v>2916</v>
      </c>
      <c r="B1" s="948" t="s">
        <v>2917</v>
      </c>
      <c r="C1" s="948" t="s">
        <v>1341</v>
      </c>
    </row>
    <row customHeight="1" ht="11.25">
      <c r="A2" s="948">
        <v>4189678</v>
      </c>
      <c r="B2" s="948" t="s">
        <v>2918</v>
      </c>
      <c r="C2" s="948" t="s">
        <v>2919</v>
      </c>
    </row>
    <row customHeight="1" ht="11.25">
      <c r="A3" s="948">
        <v>4190415</v>
      </c>
      <c r="B3" s="948" t="s">
        <v>2920</v>
      </c>
      <c r="C3" s="948" t="s">
        <v>2919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847A5-14D3-1B22-E093-6DA6C38C47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362" width="38.421875" customWidth="1"/>
    <col min="2" max="5" style="13362" width="9.140625"/>
  </cols>
  <sheetData>
    <row customHeight="1" ht="15">
      <c r="A1" s="276" t="s">
        <v>2921</v>
      </c>
      <c r="B1" s="276" t="s">
        <v>2922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3E874-722A-EAB2-4215-0C22764A11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2923</v>
      </c>
      <c r="B1" s="0" t="b">
        <v>1</v>
      </c>
    </row>
    <row customHeight="1" ht="11.25">
      <c r="A2" s="0" t="s">
        <v>2924</v>
      </c>
      <c r="B2" s="0" t="b">
        <v>0</v>
      </c>
    </row>
    <row customHeight="1" ht="11.25">
      <c r="A3" s="0" t="s">
        <v>2925</v>
      </c>
      <c r="B3" s="0" t="b">
        <v>1</v>
      </c>
    </row>
    <row customHeight="1" ht="11.25">
      <c r="A4" s="0" t="s">
        <v>2926</v>
      </c>
      <c r="B4" s="0" t="b">
        <v>0</v>
      </c>
    </row>
    <row customHeight="1" ht="11.25">
      <c r="A5" s="0" t="s">
        <v>2927</v>
      </c>
      <c r="B5" s="0" t="b">
        <v>0</v>
      </c>
    </row>
    <row customHeight="1" ht="11.25">
      <c r="A6" s="0" t="s">
        <v>2928</v>
      </c>
      <c r="B6" s="0" t="b">
        <v>0</v>
      </c>
    </row>
    <row customHeight="1" ht="11.25">
      <c r="A7" s="0" t="s">
        <v>2929</v>
      </c>
      <c r="B7" s="0" t="b">
        <v>0</v>
      </c>
    </row>
    <row customHeight="1" ht="11.25">
      <c r="A8" s="0" t="s">
        <v>2930</v>
      </c>
      <c r="B8" s="0" t="b">
        <v>0</v>
      </c>
    </row>
    <row customHeight="1" ht="11.25">
      <c r="A9" s="0" t="s">
        <v>2931</v>
      </c>
      <c r="B9" s="0" t="b">
        <v>1</v>
      </c>
    </row>
    <row customHeight="1" ht="11.25">
      <c r="A10" s="0" t="s">
        <v>2932</v>
      </c>
      <c r="B10" s="0" t="b">
        <v>0</v>
      </c>
    </row>
    <row customHeight="1" ht="11.25">
      <c r="A11" s="0" t="s">
        <v>2933</v>
      </c>
      <c r="B11" s="0" t="b">
        <v>0</v>
      </c>
    </row>
    <row customHeight="1" ht="11.25">
      <c r="A12" s="0" t="s">
        <v>2934</v>
      </c>
      <c r="B12" s="0" t="b">
        <v>0</v>
      </c>
    </row>
    <row customHeight="1" ht="11.25">
      <c r="A13" s="0" t="s">
        <v>2935</v>
      </c>
      <c r="B13" s="0" t="b">
        <v>0</v>
      </c>
    </row>
    <row customHeight="1" ht="11.25">
      <c r="A14" s="0" t="s">
        <v>2936</v>
      </c>
      <c r="B14" s="0" t="b">
        <v>0</v>
      </c>
    </row>
    <row customHeight="1" ht="11.25">
      <c r="A15" s="0" t="s">
        <v>2937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EF9F4-B265-C497-BF54-7C6F135D5D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6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028A1-5F7F-3482-AA0C-6E34DDB7D71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52" width="36.28125" customWidth="1"/>
    <col min="2" max="2" style="8252" width="21.140625" customWidth="1"/>
  </cols>
  <sheetData>
    <row customHeight="1" ht="11.25">
      <c r="A1" s="180" t="s">
        <v>2938</v>
      </c>
      <c r="B1" s="180" t="s">
        <v>2939</v>
      </c>
    </row>
    <row customHeight="1" ht="11.25">
      <c r="A2" s="175" t="s">
        <v>2940</v>
      </c>
      <c r="B2" s="175" t="s">
        <v>2941</v>
      </c>
    </row>
    <row customHeight="1" ht="11.25">
      <c r="A3" s="175" t="s">
        <v>2942</v>
      </c>
      <c r="B3" s="175" t="s">
        <v>2943</v>
      </c>
    </row>
    <row customHeight="1" ht="11.25">
      <c r="A4" s="175" t="s">
        <v>2944</v>
      </c>
      <c r="B4" s="175" t="s">
        <v>2945</v>
      </c>
    </row>
    <row customHeight="1" ht="11.25">
      <c r="A5" s="175" t="s">
        <v>2946</v>
      </c>
      <c r="B5" s="175" t="s">
        <v>2947</v>
      </c>
    </row>
    <row customHeight="1" ht="11.25">
      <c r="A6" s="175" t="s">
        <v>2948</v>
      </c>
      <c r="B6" s="175" t="s">
        <v>2949</v>
      </c>
    </row>
    <row customHeight="1" ht="11.25">
      <c r="A7" s="175" t="s">
        <v>2950</v>
      </c>
      <c r="B7" s="175" t="s">
        <v>2951</v>
      </c>
    </row>
    <row customHeight="1" ht="11.25">
      <c r="A8" s="175" t="s">
        <v>2952</v>
      </c>
      <c r="B8" s="175" t="s">
        <v>2953</v>
      </c>
    </row>
    <row customHeight="1" ht="11.25">
      <c r="A9" s="175" t="s">
        <v>2954</v>
      </c>
      <c r="B9" s="175" t="s">
        <v>2955</v>
      </c>
    </row>
    <row customHeight="1" ht="11.25">
      <c r="A10" s="175" t="s">
        <v>2956</v>
      </c>
      <c r="B10" s="175" t="s">
        <v>2957</v>
      </c>
    </row>
    <row customHeight="1" ht="11.25">
      <c r="A11" s="175" t="s">
        <v>2958</v>
      </c>
      <c r="B11" s="175" t="s">
        <v>2959</v>
      </c>
    </row>
    <row customHeight="1" ht="11.25">
      <c r="A12" s="175" t="s">
        <v>2960</v>
      </c>
      <c r="B12" s="175" t="s">
        <v>2961</v>
      </c>
    </row>
    <row customHeight="1" ht="11.25">
      <c r="A13" s="175" t="s">
        <v>2962</v>
      </c>
      <c r="B13" s="175" t="s">
        <v>2963</v>
      </c>
    </row>
    <row customHeight="1" ht="11.25">
      <c r="A14" s="175" t="s">
        <v>2964</v>
      </c>
      <c r="B14" s="175" t="s">
        <v>2965</v>
      </c>
    </row>
    <row customHeight="1" ht="11.25">
      <c r="A15" s="175" t="s">
        <v>2966</v>
      </c>
      <c r="B15" s="175" t="s">
        <v>2967</v>
      </c>
    </row>
    <row customHeight="1" ht="11.25">
      <c r="A16" s="175" t="s">
        <v>2968</v>
      </c>
      <c r="B16" s="175" t="s">
        <v>2969</v>
      </c>
    </row>
    <row customHeight="1" ht="11.25">
      <c r="A17" s="175" t="s">
        <v>2970</v>
      </c>
      <c r="B17" s="175" t="s">
        <v>2971</v>
      </c>
    </row>
    <row customHeight="1" ht="11.25">
      <c r="A18" s="175" t="s">
        <v>2972</v>
      </c>
      <c r="B18" s="175" t="s">
        <v>2973</v>
      </c>
    </row>
    <row customHeight="1" ht="11.25">
      <c r="A19" s="175" t="s">
        <v>2974</v>
      </c>
      <c r="B19" s="175" t="s">
        <v>2975</v>
      </c>
    </row>
    <row customHeight="1" ht="11.25">
      <c r="A20" s="175" t="s">
        <v>2976</v>
      </c>
      <c r="B20" s="175" t="s">
        <v>2977</v>
      </c>
    </row>
    <row customHeight="1" ht="11.25">
      <c r="A21" s="175" t="s">
        <v>2978</v>
      </c>
      <c r="B21" s="175" t="s">
        <v>2979</v>
      </c>
    </row>
    <row customHeight="1" ht="11.25">
      <c r="A22" s="175" t="s">
        <v>2980</v>
      </c>
      <c r="B22" s="175" t="s">
        <v>2981</v>
      </c>
    </row>
    <row customHeight="1" ht="11.25">
      <c r="A23" s="175" t="s">
        <v>2982</v>
      </c>
      <c r="B23" s="175" t="s">
        <v>2983</v>
      </c>
    </row>
    <row customHeight="1" ht="11.25">
      <c r="A24" s="175" t="s">
        <v>2984</v>
      </c>
      <c r="B24" s="175" t="s">
        <v>2985</v>
      </c>
    </row>
    <row customHeight="1" ht="11.25">
      <c r="A25" s="175" t="s">
        <v>2986</v>
      </c>
      <c r="B25" s="175" t="s">
        <v>2987</v>
      </c>
    </row>
    <row customHeight="1" ht="11.25">
      <c r="A26" s="175" t="s">
        <v>2988</v>
      </c>
      <c r="B26" s="175" t="s">
        <v>2989</v>
      </c>
    </row>
    <row customHeight="1" ht="11.25">
      <c r="A27" s="175" t="s">
        <v>2990</v>
      </c>
      <c r="B27" s="175" t="s">
        <v>2991</v>
      </c>
    </row>
    <row customHeight="1" ht="11.25">
      <c r="A28" s="175" t="s">
        <v>2992</v>
      </c>
      <c r="B28" s="175" t="s">
        <v>2993</v>
      </c>
    </row>
    <row customHeight="1" ht="11.25">
      <c r="A29" s="175" t="s">
        <v>2994</v>
      </c>
      <c r="B29" s="175" t="s">
        <v>2995</v>
      </c>
    </row>
    <row customHeight="1" ht="11.25">
      <c r="A30" s="175" t="s">
        <v>2996</v>
      </c>
      <c r="B30" s="175" t="s">
        <v>2997</v>
      </c>
    </row>
    <row customHeight="1" ht="11.25">
      <c r="A31" s="175" t="s">
        <v>2998</v>
      </c>
      <c r="B31" s="175" t="s">
        <v>2999</v>
      </c>
    </row>
    <row customHeight="1" ht="11.25">
      <c r="A32" s="175" t="s">
        <v>3000</v>
      </c>
      <c r="B32" s="175" t="s">
        <v>3001</v>
      </c>
    </row>
    <row customHeight="1" ht="11.25">
      <c r="A33" s="175" t="s">
        <v>3002</v>
      </c>
      <c r="B33" s="175" t="s">
        <v>3003</v>
      </c>
    </row>
    <row customHeight="1" ht="11.25">
      <c r="A34" s="175" t="s">
        <v>3004</v>
      </c>
      <c r="B34" s="175" t="s">
        <v>3005</v>
      </c>
    </row>
    <row customHeight="1" ht="11.25">
      <c r="A35" s="175" t="s">
        <v>3006</v>
      </c>
      <c r="B35" s="175" t="s">
        <v>3007</v>
      </c>
    </row>
    <row customHeight="1" ht="11.25">
      <c r="A36" s="175" t="s">
        <v>3008</v>
      </c>
      <c r="B36" s="175" t="s">
        <v>3009</v>
      </c>
    </row>
    <row customHeight="1" ht="11.25">
      <c r="A37" s="175" t="s">
        <v>3010</v>
      </c>
      <c r="B37" s="175" t="s">
        <v>3011</v>
      </c>
    </row>
    <row customHeight="1" ht="11.25">
      <c r="A38" s="175" t="s">
        <v>3012</v>
      </c>
      <c r="B38" s="175" t="s">
        <v>3013</v>
      </c>
    </row>
    <row customHeight="1" ht="11.25">
      <c r="A39" s="175" t="s">
        <v>3014</v>
      </c>
      <c r="B39" s="175" t="s">
        <v>3015</v>
      </c>
    </row>
    <row customHeight="1" ht="11.25">
      <c r="A40" s="175" t="s">
        <v>3016</v>
      </c>
      <c r="B40" s="175" t="s">
        <v>3017</v>
      </c>
    </row>
    <row customHeight="1" ht="11.25">
      <c r="A41" s="175" t="s">
        <v>3018</v>
      </c>
      <c r="B41" s="175" t="s">
        <v>3019</v>
      </c>
    </row>
    <row customHeight="1" ht="11.25">
      <c r="A42" s="175" t="s">
        <v>3020</v>
      </c>
      <c r="B42" s="175" t="s">
        <v>3021</v>
      </c>
    </row>
    <row customHeight="1" ht="11.25">
      <c r="A43" s="175" t="s">
        <v>3022</v>
      </c>
      <c r="B43" s="175" t="s">
        <v>3023</v>
      </c>
    </row>
    <row customHeight="1" ht="11.25">
      <c r="A44" s="175" t="s">
        <v>3024</v>
      </c>
      <c r="B44" s="175" t="s">
        <v>3025</v>
      </c>
    </row>
    <row customHeight="1" ht="11.25">
      <c r="A45" s="175" t="s">
        <v>3026</v>
      </c>
      <c r="B45" s="175" t="s">
        <v>3027</v>
      </c>
    </row>
    <row customHeight="1" ht="11.25">
      <c r="A46" s="175" t="s">
        <v>3028</v>
      </c>
      <c r="B46" s="175" t="s">
        <v>3029</v>
      </c>
    </row>
    <row customHeight="1" ht="11.25">
      <c r="A47" s="175" t="s">
        <v>3030</v>
      </c>
      <c r="B47" s="175" t="s">
        <v>3031</v>
      </c>
    </row>
    <row customHeight="1" ht="11.25">
      <c r="A48" s="175" t="s">
        <v>3032</v>
      </c>
      <c r="B48" s="175" t="s">
        <v>3033</v>
      </c>
    </row>
    <row customHeight="1" ht="11.25">
      <c r="A49" s="175" t="s">
        <v>3034</v>
      </c>
      <c r="B49" s="175" t="s">
        <v>3035</v>
      </c>
    </row>
    <row customHeight="1" ht="11.25">
      <c r="A50" s="175" t="s">
        <v>3036</v>
      </c>
      <c r="B50" s="175" t="s">
        <v>3037</v>
      </c>
    </row>
    <row customHeight="1" ht="11.25">
      <c r="A51" s="175" t="s">
        <v>3038</v>
      </c>
      <c r="B51" s="175" t="s">
        <v>3039</v>
      </c>
    </row>
    <row customHeight="1" ht="11.25">
      <c r="A52" s="175" t="s">
        <v>3040</v>
      </c>
      <c r="B52" s="175" t="s">
        <v>3041</v>
      </c>
    </row>
    <row customHeight="1" ht="11.25">
      <c r="A53" s="175" t="s">
        <v>3042</v>
      </c>
      <c r="B53" s="175" t="s">
        <v>3043</v>
      </c>
    </row>
    <row customHeight="1" ht="11.25">
      <c r="A54" s="175" t="s">
        <v>3044</v>
      </c>
      <c r="B54" s="175" t="s">
        <v>3045</v>
      </c>
    </row>
    <row customHeight="1" ht="11.25">
      <c r="A55" s="175" t="s">
        <v>3046</v>
      </c>
      <c r="B55" s="175" t="s">
        <v>3047</v>
      </c>
    </row>
    <row customHeight="1" ht="11.25">
      <c r="A56" s="175" t="s">
        <v>3048</v>
      </c>
      <c r="B56" s="175" t="s">
        <v>3049</v>
      </c>
    </row>
    <row customHeight="1" ht="11.25">
      <c r="A57" s="175" t="s">
        <v>3050</v>
      </c>
      <c r="B57" s="175" t="s">
        <v>3051</v>
      </c>
    </row>
    <row customHeight="1" ht="11.25">
      <c r="A58" s="175" t="s">
        <v>3052</v>
      </c>
      <c r="B58" s="175" t="s">
        <v>3053</v>
      </c>
    </row>
    <row customHeight="1" ht="11.25">
      <c r="A59" s="175" t="s">
        <v>3054</v>
      </c>
      <c r="B59" s="175" t="s">
        <v>3055</v>
      </c>
    </row>
    <row customHeight="1" ht="11.25">
      <c r="A60" s="175" t="s">
        <v>3056</v>
      </c>
      <c r="B60" s="175" t="s">
        <v>3057</v>
      </c>
    </row>
    <row customHeight="1" ht="11.25">
      <c r="A61" s="175"/>
      <c r="B61" s="175" t="s">
        <v>3058</v>
      </c>
    </row>
    <row customHeight="1" ht="11.25">
      <c r="A62" s="175"/>
      <c r="B62" s="175" t="s">
        <v>3059</v>
      </c>
    </row>
    <row customHeight="1" ht="11.25">
      <c r="A63" s="175"/>
      <c r="B63" s="175" t="s">
        <v>3060</v>
      </c>
    </row>
    <row customHeight="1" ht="11.25">
      <c r="A64" s="175"/>
      <c r="B64" s="175" t="s">
        <v>3061</v>
      </c>
    </row>
    <row customHeight="1" ht="11.25">
      <c r="A65" s="175"/>
      <c r="B65" s="175" t="s">
        <v>3062</v>
      </c>
    </row>
    <row customHeight="1" ht="11.25">
      <c r="A66" s="175"/>
      <c r="B66" s="175" t="s">
        <v>3063</v>
      </c>
    </row>
    <row customHeight="1" ht="11.25">
      <c r="A67" s="175"/>
      <c r="B67" s="175" t="s">
        <v>3064</v>
      </c>
    </row>
    <row customHeight="1" ht="11.25">
      <c r="A68" s="175"/>
      <c r="B68" s="175" t="s">
        <v>3065</v>
      </c>
    </row>
    <row customHeight="1" ht="11.25">
      <c r="A69" s="175"/>
      <c r="B69" s="175" t="s">
        <v>3066</v>
      </c>
    </row>
    <row customHeight="1" ht="11.25">
      <c r="A70" s="175"/>
      <c r="B70" s="175" t="s">
        <v>3067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63D4A-8B19-AFAD-1EEC-3BD924C1E2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52" width="3.7109375" customWidth="1"/>
    <col min="2" max="2" style="8252" width="90.7109375" customWidth="1"/>
    <col min="3" max="4" style="8252" width="9.140625"/>
  </cols>
  <sheetData>
    <row customHeight="1" ht="11.25">
      <c r="B1" s="206" t="s">
        <v>3068</v>
      </c>
    </row>
    <row customHeight="1" ht="90">
      <c r="B2" s="207" t="s">
        <v>3069</v>
      </c>
    </row>
    <row customHeight="1" ht="67.5">
      <c r="B3" s="207" t="s">
        <v>3070</v>
      </c>
    </row>
    <row customHeight="1" ht="33.75">
      <c r="B4" s="207" t="s">
        <v>3071</v>
      </c>
    </row>
    <row customHeight="1" ht="11.25">
      <c r="B5" s="207" t="s">
        <v>3072</v>
      </c>
    </row>
    <row customHeight="1" ht="22.5">
      <c r="B6" s="207" t="s">
        <v>3073</v>
      </c>
    </row>
    <row customHeight="1" ht="22.5">
      <c r="B7" s="207" t="s">
        <v>3074</v>
      </c>
    </row>
    <row customHeight="1" ht="22.5">
      <c r="B8" s="207" t="s">
        <v>3075</v>
      </c>
    </row>
    <row customHeight="1" ht="22.5">
      <c r="B9" s="207" t="s">
        <v>3076</v>
      </c>
    </row>
    <row customHeight="1" ht="56.25">
      <c r="B10" s="207" t="s">
        <v>3077</v>
      </c>
    </row>
    <row customHeight="1" ht="12.75">
      <c r="B11" s="272" t="s">
        <v>3078</v>
      </c>
    </row>
    <row customHeight="1" ht="11.25">
      <c r="B12" s="206" t="s">
        <v>3079</v>
      </c>
    </row>
    <row customHeight="1" ht="22.5">
      <c r="B13" s="207" t="s">
        <v>3080</v>
      </c>
    </row>
    <row customHeight="1" ht="67.5">
      <c r="B14" s="207" t="s">
        <v>3081</v>
      </c>
    </row>
    <row customHeight="1" ht="22.5">
      <c r="B15" s="207" t="s">
        <v>3082</v>
      </c>
    </row>
    <row customHeight="1" ht="11.25">
      <c r="B16" s="206" t="s">
        <v>3083</v>
      </c>
      <c r="D16" s="213"/>
    </row>
    <row customHeight="1" ht="33.75">
      <c r="B17" s="207" t="s">
        <v>3084</v>
      </c>
    </row>
    <row customHeight="1" ht="33.75">
      <c r="B18" s="207" t="s">
        <v>3085</v>
      </c>
    </row>
    <row customHeight="1" ht="11.25">
      <c r="B19" s="207" t="s">
        <v>3086</v>
      </c>
    </row>
    <row customHeight="1" ht="33.75">
      <c r="B20" s="207" t="s">
        <v>3087</v>
      </c>
    </row>
    <row customHeight="1" ht="11.25">
      <c r="B21" s="206" t="s">
        <v>3088</v>
      </c>
    </row>
    <row customHeight="1" ht="11.25">
      <c r="B22" s="207" t="s">
        <v>3089</v>
      </c>
    </row>
    <row r="24" customHeight="1" ht="22.5">
      <c r="B24" s="274" t="s">
        <v>3090</v>
      </c>
    </row>
    <row r="26" customHeight="1" ht="11.25">
      <c r="B26" s="206" t="s">
        <v>3091</v>
      </c>
    </row>
    <row customHeight="1" ht="22.5">
      <c r="B27" s="273" t="s">
        <v>551</v>
      </c>
    </row>
    <row customHeight="1" ht="56.25">
      <c r="B28" s="273" t="s">
        <v>3092</v>
      </c>
    </row>
    <row customHeight="1" ht="11.25">
      <c r="B29" s="323" t="s">
        <v>3093</v>
      </c>
    </row>
    <row customHeight="1" ht="22.5">
      <c r="B30" s="273" t="s">
        <v>3094</v>
      </c>
    </row>
    <row r="32" customHeight="1" ht="11.25">
      <c r="A32" s="301"/>
      <c r="B32" s="302" t="s">
        <v>3095</v>
      </c>
    </row>
    <row customHeight="1" ht="14.25">
      <c r="A33" s="303">
        <v>1</v>
      </c>
      <c r="B33" s="304" t="s">
        <v>3096</v>
      </c>
    </row>
    <row customHeight="1" ht="14.25">
      <c r="A34" s="303">
        <v>2</v>
      </c>
      <c r="B34" s="304" t="s">
        <v>3097</v>
      </c>
    </row>
    <row customHeight="1" ht="11.25">
      <c r="B35" s="302" t="s">
        <v>3098</v>
      </c>
    </row>
    <row customHeight="1" ht="11.25">
      <c r="B36" s="304" t="s">
        <v>3099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