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Планово-экономическое управление\Экономисты\Отдел планирования\2025\Стандарты раскрытия информации\УТВЕРЖДЕНО\ТЭ\"/>
    </mc:Choice>
  </mc:AlternateContent>
  <bookViews>
    <workbookView xWindow="0" yWindow="0" windowWidth="18060" windowHeight="9015" tabRatio="852"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ТСО'!$86:$88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ТСО'!$89:$92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тарифов'!$87:$111</definedName>
    <definedName name="BLOCK_PT_HEAT">'Перечень тарифов'!$13:$85</definedName>
    <definedName name="BLOCK_PT_HEAT_NOT_R">'Перечень тарифов'!$71:$75</definedName>
    <definedName name="BLOCK_PT_HEAT_NOT_R_TMP">'Перечень тарифов'!$66:$70</definedName>
    <definedName name="BLOCK_PT_HEAT_PHEAT">'Перечень тарифов'!$31:$35</definedName>
    <definedName name="BLOCK_PT_HEAT_PHEAT_HIDDEN_FORMULAS">'Перечень тарифов'!$Z$31:$AQ$31</definedName>
    <definedName name="BLOCK_PT_HEAT_RHEAT">'Перечень тарифов'!$18:$30</definedName>
    <definedName name="BLOCK_PT_HEAT_RHEAT_HIDDEN_FORMULAS">'Перечень тарифов'!$Z$18:$AQ$18</definedName>
    <definedName name="BLOCK_PT_HOTVSNA">'Перечень тарифов'!$113:$127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Предложение!$27:$33</definedName>
    <definedName name="OFFER_TARIFF_B_2">Предложение!$94:$100</definedName>
    <definedName name="OFFER_TARIFF_B_3">Предложение!$159:$165</definedName>
    <definedName name="OFFER_TARIFF_B_4">Предложение!$224:$230</definedName>
    <definedName name="OFFER_TARIFF_B_5">Предложение!$289:$295</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Предложение!$34:$36</definedName>
    <definedName name="OFFER_TARIFF_C_2">Предложение!$101:$103</definedName>
    <definedName name="OFFER_TARIFF_C_3">Предложение!$166:$168</definedName>
    <definedName name="OFFER_TARIFF_C_4">Предложение!$231:$233</definedName>
    <definedName name="OFFER_TARIFF_C_5">Предложение!$296:$298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ТП'!$C$26:$C$51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ТП'!$A$21:$A$51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ТП'!$E$36</definedName>
    <definedName name="pIns_P_PROCEDURE_TC_2">'Порядок ТП'!$E$40</definedName>
    <definedName name="pIns_P_PROCEDURE_TC_3">'Порядок ТП'!$E$44</definedName>
    <definedName name="pIns_P_PROCEDURE_TC_4">'Порядок ТП'!$E$48</definedName>
    <definedName name="pIns_P_PROCEDURE_TC_5">'Порядок ТП'!$E$51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ТСО'!$T$85</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Предложение!$G$33</definedName>
    <definedName name="pIns_PT_VTAR_B_OFFER_2">Предложение!$G$100</definedName>
    <definedName name="pIns_PT_VTAR_B_OFFER_3">Предложение!$G$165</definedName>
    <definedName name="pIns_PT_VTAR_B_OFFER_4">Предложение!$G$230</definedName>
    <definedName name="pIns_PT_VTAR_B_OFFER_5">Предложение!$G$295</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ТСО'!$GH$39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31">'ТС. Т-ТЭ | ТСО'!$73:$82</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31">'ТС. Т-ТЭ | ТСО'!$74:$81</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ТП'!$H$52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ТСО'!$GH$86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L101" i="63"/>
  <c r="K101" i="63"/>
  <c r="N101" i="63" s="1"/>
  <c r="J101" i="63"/>
  <c r="M101" i="63" s="1"/>
  <c r="I101" i="63"/>
  <c r="N100" i="63"/>
  <c r="K100" i="63"/>
  <c r="J100" i="63"/>
  <c r="M100" i="63" s="1"/>
  <c r="F129" i="33" s="1"/>
  <c r="I100" i="63"/>
  <c r="L100" i="63" s="1"/>
  <c r="L99" i="63"/>
  <c r="K99" i="63"/>
  <c r="N99" i="63" s="1"/>
  <c r="J99" i="63"/>
  <c r="M99" i="63" s="1"/>
  <c r="F128" i="33" s="1"/>
  <c r="I99" i="63"/>
  <c r="N98" i="63"/>
  <c r="M98" i="63"/>
  <c r="L98" i="63"/>
  <c r="E127" i="33" s="1"/>
  <c r="K98" i="63"/>
  <c r="J98" i="63"/>
  <c r="I98" i="63"/>
  <c r="N97" i="63"/>
  <c r="J126" i="33" s="1"/>
  <c r="L97" i="63"/>
  <c r="K97" i="63"/>
  <c r="J97" i="63"/>
  <c r="M97" i="63" s="1"/>
  <c r="I97" i="63"/>
  <c r="N96" i="63"/>
  <c r="L96" i="63"/>
  <c r="K96" i="63"/>
  <c r="J96" i="63"/>
  <c r="M96" i="63" s="1"/>
  <c r="I96" i="63"/>
  <c r="N95" i="63"/>
  <c r="L95" i="63"/>
  <c r="K95" i="63"/>
  <c r="J95" i="63"/>
  <c r="M95" i="63" s="1"/>
  <c r="I95" i="63"/>
  <c r="N94" i="63"/>
  <c r="J117" i="33" s="1"/>
  <c r="K94" i="63"/>
  <c r="J94" i="63"/>
  <c r="M94" i="63" s="1"/>
  <c r="I94" i="63"/>
  <c r="L94" i="63" s="1"/>
  <c r="L93" i="63"/>
  <c r="K93" i="63"/>
  <c r="N93" i="63" s="1"/>
  <c r="J116" i="33" s="1"/>
  <c r="J93" i="63"/>
  <c r="M93" i="63" s="1"/>
  <c r="I93" i="63"/>
  <c r="N92" i="63"/>
  <c r="M92" i="63"/>
  <c r="F115" i="33" s="1"/>
  <c r="K92" i="63"/>
  <c r="J92" i="63"/>
  <c r="I92" i="63"/>
  <c r="L92" i="63" s="1"/>
  <c r="E115" i="33" s="1"/>
  <c r="L91" i="63"/>
  <c r="K91" i="63"/>
  <c r="N91" i="63" s="1"/>
  <c r="J91" i="63"/>
  <c r="M91" i="63" s="1"/>
  <c r="I91" i="63"/>
  <c r="N90" i="63"/>
  <c r="M90" i="63"/>
  <c r="K90" i="63"/>
  <c r="J90" i="63"/>
  <c r="I90" i="63"/>
  <c r="L90" i="63" s="1"/>
  <c r="N89" i="63"/>
  <c r="L89" i="63"/>
  <c r="K89" i="63"/>
  <c r="J89" i="63"/>
  <c r="M89" i="63" s="1"/>
  <c r="I89" i="63"/>
  <c r="N88" i="63"/>
  <c r="L88" i="63"/>
  <c r="E111" i="33" s="1"/>
  <c r="K88" i="63"/>
  <c r="J88" i="63"/>
  <c r="M88" i="63" s="1"/>
  <c r="I88" i="63"/>
  <c r="N87" i="63"/>
  <c r="L87" i="63"/>
  <c r="K87" i="63"/>
  <c r="J87" i="63"/>
  <c r="M87" i="63" s="1"/>
  <c r="I87" i="63"/>
  <c r="N86" i="63"/>
  <c r="K86" i="63"/>
  <c r="J86" i="63"/>
  <c r="M86" i="63" s="1"/>
  <c r="F109" i="33" s="1"/>
  <c r="I86" i="63"/>
  <c r="L86" i="63" s="1"/>
  <c r="L85" i="63"/>
  <c r="K85" i="63"/>
  <c r="N85" i="63" s="1"/>
  <c r="J85" i="63"/>
  <c r="M85" i="63" s="1"/>
  <c r="I85" i="63"/>
  <c r="N84" i="63"/>
  <c r="K84" i="63"/>
  <c r="J84" i="63"/>
  <c r="M84" i="63" s="1"/>
  <c r="F107" i="33" s="1"/>
  <c r="I84" i="63"/>
  <c r="L84" i="63" s="1"/>
  <c r="L83" i="63"/>
  <c r="K83" i="63"/>
  <c r="N83" i="63" s="1"/>
  <c r="J106" i="33" s="1"/>
  <c r="J83" i="63"/>
  <c r="M83" i="63" s="1"/>
  <c r="F106" i="33" s="1"/>
  <c r="I83" i="63"/>
  <c r="N82" i="63"/>
  <c r="M82" i="63"/>
  <c r="F105" i="33" s="1"/>
  <c r="L82" i="63"/>
  <c r="E105" i="33" s="1"/>
  <c r="K82" i="63"/>
  <c r="J82" i="63"/>
  <c r="I82" i="63"/>
  <c r="N81" i="63"/>
  <c r="J104" i="33" s="1"/>
  <c r="L81" i="63"/>
  <c r="K81" i="63"/>
  <c r="J81" i="63"/>
  <c r="M81" i="63" s="1"/>
  <c r="F104" i="33" s="1"/>
  <c r="I81" i="63"/>
  <c r="N80" i="63"/>
  <c r="M80" i="63"/>
  <c r="L80" i="63"/>
  <c r="E103" i="33" s="1"/>
  <c r="K80" i="63"/>
  <c r="J80" i="63"/>
  <c r="I80" i="63"/>
  <c r="N79" i="63"/>
  <c r="J102" i="33" s="1"/>
  <c r="L79" i="63"/>
  <c r="E102" i="33" s="1"/>
  <c r="K79" i="63"/>
  <c r="J79" i="63"/>
  <c r="M79" i="63" s="1"/>
  <c r="I79" i="63"/>
  <c r="N78" i="63"/>
  <c r="J99" i="33" s="1"/>
  <c r="L78" i="63"/>
  <c r="K78" i="63"/>
  <c r="J78" i="63"/>
  <c r="M78" i="63" s="1"/>
  <c r="F99" i="33" s="1"/>
  <c r="I78" i="63"/>
  <c r="L77" i="63"/>
  <c r="K77" i="63"/>
  <c r="N77" i="63" s="1"/>
  <c r="J77" i="63"/>
  <c r="M77" i="63" s="1"/>
  <c r="I77" i="63"/>
  <c r="N76" i="63"/>
  <c r="K76" i="63"/>
  <c r="J76" i="63"/>
  <c r="M76" i="63" s="1"/>
  <c r="F97" i="33" s="1"/>
  <c r="I76" i="63"/>
  <c r="L76" i="63" s="1"/>
  <c r="L75" i="63"/>
  <c r="K75" i="63"/>
  <c r="N75" i="63" s="1"/>
  <c r="J75" i="63"/>
  <c r="M75" i="63" s="1"/>
  <c r="F96" i="33" s="1"/>
  <c r="I75" i="63"/>
  <c r="N74" i="63"/>
  <c r="M74" i="63"/>
  <c r="L74" i="63"/>
  <c r="E95" i="33" s="1"/>
  <c r="K74" i="63"/>
  <c r="J74" i="63"/>
  <c r="I74" i="63"/>
  <c r="N73" i="63"/>
  <c r="J94" i="33" s="1"/>
  <c r="L73" i="63"/>
  <c r="K73" i="63"/>
  <c r="J73" i="63"/>
  <c r="M73" i="63" s="1"/>
  <c r="I73" i="63"/>
  <c r="N72" i="63"/>
  <c r="M72" i="63"/>
  <c r="L72" i="63"/>
  <c r="K72" i="63"/>
  <c r="J72" i="63"/>
  <c r="I72" i="63"/>
  <c r="N71" i="63"/>
  <c r="L71" i="63"/>
  <c r="E92" i="33" s="1"/>
  <c r="K71" i="63"/>
  <c r="J71" i="63"/>
  <c r="M71" i="63" s="1"/>
  <c r="I71" i="63"/>
  <c r="N70" i="63"/>
  <c r="L70" i="63"/>
  <c r="K70" i="63"/>
  <c r="J70" i="63"/>
  <c r="M70" i="63" s="1"/>
  <c r="I70" i="63"/>
  <c r="L69" i="63"/>
  <c r="K69" i="63"/>
  <c r="N69" i="63" s="1"/>
  <c r="J69" i="63"/>
  <c r="M69" i="63" s="1"/>
  <c r="I69" i="63"/>
  <c r="N68" i="63"/>
  <c r="K68" i="63"/>
  <c r="J68" i="63"/>
  <c r="M68" i="63" s="1"/>
  <c r="F89" i="33" s="1"/>
  <c r="I68" i="63"/>
  <c r="L68" i="63" s="1"/>
  <c r="L67" i="63"/>
  <c r="K67" i="63"/>
  <c r="N67" i="63" s="1"/>
  <c r="J67" i="63"/>
  <c r="M67" i="63" s="1"/>
  <c r="F88" i="33" s="1"/>
  <c r="I67" i="63"/>
  <c r="N66" i="63"/>
  <c r="M66" i="63"/>
  <c r="F87" i="33" s="1"/>
  <c r="L66" i="63"/>
  <c r="K66" i="63"/>
  <c r="J66" i="63"/>
  <c r="I66" i="63"/>
  <c r="N65" i="63"/>
  <c r="L65" i="63"/>
  <c r="K65" i="63"/>
  <c r="J65" i="63"/>
  <c r="M65" i="63" s="1"/>
  <c r="F86" i="33" s="1"/>
  <c r="I65" i="63"/>
  <c r="N64" i="63"/>
  <c r="M64" i="63"/>
  <c r="L64" i="63"/>
  <c r="E85" i="33" s="1"/>
  <c r="K64" i="63"/>
  <c r="J64" i="63"/>
  <c r="I64" i="63"/>
  <c r="N63" i="63"/>
  <c r="J84" i="33" s="1"/>
  <c r="L63" i="63"/>
  <c r="K63" i="63"/>
  <c r="J63" i="63"/>
  <c r="M63" i="63" s="1"/>
  <c r="I63" i="63"/>
  <c r="N62" i="63"/>
  <c r="J83" i="33" s="1"/>
  <c r="L62" i="63"/>
  <c r="K62" i="63"/>
  <c r="J62" i="63"/>
  <c r="M62" i="63" s="1"/>
  <c r="F83" i="33" s="1"/>
  <c r="I62" i="63"/>
  <c r="L61" i="63"/>
  <c r="K61" i="63"/>
  <c r="N61" i="63" s="1"/>
  <c r="J61" i="63"/>
  <c r="M61" i="63" s="1"/>
  <c r="I61" i="63"/>
  <c r="N60" i="63"/>
  <c r="K60" i="63"/>
  <c r="J60" i="63"/>
  <c r="M60" i="63" s="1"/>
  <c r="I60" i="63"/>
  <c r="L60" i="63" s="1"/>
  <c r="L59" i="63"/>
  <c r="K59" i="63"/>
  <c r="N59" i="63" s="1"/>
  <c r="J80" i="33" s="1"/>
  <c r="J59" i="63"/>
  <c r="M59" i="63" s="1"/>
  <c r="I59" i="63"/>
  <c r="T58" i="63"/>
  <c r="N58" i="63"/>
  <c r="J79" i="33" s="1"/>
  <c r="M58" i="63"/>
  <c r="F79" i="33" s="1"/>
  <c r="K58" i="63"/>
  <c r="J58" i="63"/>
  <c r="I58" i="63"/>
  <c r="L58" i="63" s="1"/>
  <c r="E79" i="33" s="1"/>
  <c r="T57" i="63"/>
  <c r="N57" i="63"/>
  <c r="M57" i="63"/>
  <c r="L57" i="63"/>
  <c r="E78" i="33" s="1"/>
  <c r="K57" i="63"/>
  <c r="J57" i="63"/>
  <c r="I57" i="63"/>
  <c r="T56" i="63"/>
  <c r="J56" i="63" s="1"/>
  <c r="M56" i="63" s="1"/>
  <c r="F77" i="33" s="1"/>
  <c r="K56" i="63"/>
  <c r="N56" i="63" s="1"/>
  <c r="I56" i="63"/>
  <c r="L56" i="63" s="1"/>
  <c r="T55" i="63"/>
  <c r="J55" i="63" s="1"/>
  <c r="M55" i="63" s="1"/>
  <c r="L55" i="63"/>
  <c r="K55" i="63"/>
  <c r="N55" i="63" s="1"/>
  <c r="I55" i="63"/>
  <c r="N54" i="63"/>
  <c r="M54" i="63"/>
  <c r="K54" i="63"/>
  <c r="J54" i="63"/>
  <c r="I54" i="63"/>
  <c r="L54" i="63" s="1"/>
  <c r="N53" i="63"/>
  <c r="L53" i="63"/>
  <c r="K53" i="63"/>
  <c r="J53" i="63"/>
  <c r="M53" i="63" s="1"/>
  <c r="I53" i="63"/>
  <c r="N52" i="63"/>
  <c r="M52" i="63"/>
  <c r="L52" i="63"/>
  <c r="K52" i="63"/>
  <c r="J52" i="63"/>
  <c r="I52" i="63"/>
  <c r="N51" i="63"/>
  <c r="L51" i="63"/>
  <c r="K51" i="63"/>
  <c r="J51" i="63"/>
  <c r="M51" i="63" s="1"/>
  <c r="I51" i="63"/>
  <c r="N50" i="63"/>
  <c r="L50" i="63"/>
  <c r="K50" i="63"/>
  <c r="J50" i="63"/>
  <c r="M50" i="63" s="1"/>
  <c r="I50" i="63"/>
  <c r="L49" i="63"/>
  <c r="E68" i="33" s="1"/>
  <c r="K68" i="33" s="1"/>
  <c r="K49" i="63"/>
  <c r="N49" i="63" s="1"/>
  <c r="J68" i="33" s="1"/>
  <c r="L68" i="33" s="1"/>
  <c r="J49" i="63"/>
  <c r="M49" i="63" s="1"/>
  <c r="I49" i="63"/>
  <c r="N48" i="63"/>
  <c r="M48" i="63"/>
  <c r="K48" i="63"/>
  <c r="J48" i="63"/>
  <c r="I48" i="63"/>
  <c r="L48" i="63" s="1"/>
  <c r="E67" i="33" s="1"/>
  <c r="K67" i="33" s="1"/>
  <c r="L47" i="63"/>
  <c r="K47" i="63"/>
  <c r="N47" i="63" s="1"/>
  <c r="J47" i="63"/>
  <c r="M47" i="63" s="1"/>
  <c r="I47" i="63"/>
  <c r="T46" i="63"/>
  <c r="N46" i="63"/>
  <c r="M46" i="63"/>
  <c r="K46" i="63"/>
  <c r="J46" i="63"/>
  <c r="I46" i="63"/>
  <c r="L46" i="63" s="1"/>
  <c r="M45" i="63"/>
  <c r="K45" i="63"/>
  <c r="N45" i="63" s="1"/>
  <c r="J45" i="63"/>
  <c r="I45" i="63"/>
  <c r="L45" i="63" s="1"/>
  <c r="K44" i="63"/>
  <c r="N44" i="63" s="1"/>
  <c r="J44" i="63"/>
  <c r="M44" i="63" s="1"/>
  <c r="F63" i="33" s="1"/>
  <c r="I44" i="63"/>
  <c r="L44" i="63" s="1"/>
  <c r="M43" i="63"/>
  <c r="L43" i="63"/>
  <c r="K43" i="63"/>
  <c r="N43" i="63" s="1"/>
  <c r="J43" i="63"/>
  <c r="I43" i="63"/>
  <c r="N42" i="63"/>
  <c r="M42" i="63"/>
  <c r="F61" i="33" s="1"/>
  <c r="K42" i="63"/>
  <c r="J42" i="63"/>
  <c r="I42" i="63"/>
  <c r="L42" i="63" s="1"/>
  <c r="M41" i="63"/>
  <c r="F60" i="33" s="1"/>
  <c r="K41" i="63"/>
  <c r="N41" i="63" s="1"/>
  <c r="J41" i="63"/>
  <c r="I41" i="63"/>
  <c r="L41" i="63" s="1"/>
  <c r="K40" i="63"/>
  <c r="N40" i="63" s="1"/>
  <c r="J40" i="63"/>
  <c r="M40" i="63" s="1"/>
  <c r="F59" i="33" s="1"/>
  <c r="I40" i="63"/>
  <c r="L40" i="63" s="1"/>
  <c r="M39" i="63"/>
  <c r="L39" i="63"/>
  <c r="E58" i="33" s="1"/>
  <c r="K39" i="63"/>
  <c r="N39" i="63" s="1"/>
  <c r="J58" i="33" s="1"/>
  <c r="J39" i="63"/>
  <c r="I39" i="63"/>
  <c r="N38" i="63"/>
  <c r="M38" i="63"/>
  <c r="F57" i="33" s="1"/>
  <c r="K38" i="63"/>
  <c r="J38" i="63"/>
  <c r="I38" i="63"/>
  <c r="L38" i="63" s="1"/>
  <c r="E57" i="33" s="1"/>
  <c r="M37" i="63"/>
  <c r="F56" i="33" s="1"/>
  <c r="K37" i="63"/>
  <c r="N37" i="63" s="1"/>
  <c r="J37" i="63"/>
  <c r="I37" i="63"/>
  <c r="L37" i="63" s="1"/>
  <c r="E56" i="33" s="1"/>
  <c r="K36" i="63"/>
  <c r="N36" i="63" s="1"/>
  <c r="J36" i="63"/>
  <c r="M36" i="63" s="1"/>
  <c r="I36" i="63"/>
  <c r="L36" i="63" s="1"/>
  <c r="T35" i="63"/>
  <c r="N35" i="63"/>
  <c r="K35" i="63"/>
  <c r="J35" i="63"/>
  <c r="M35" i="63" s="1"/>
  <c r="F54" i="33" s="1"/>
  <c r="I35" i="63"/>
  <c r="L35" i="63" s="1"/>
  <c r="E54" i="33" s="1"/>
  <c r="L34" i="63"/>
  <c r="K34" i="63"/>
  <c r="N34" i="63" s="1"/>
  <c r="J34" i="63"/>
  <c r="M34" i="63" s="1"/>
  <c r="F53" i="33" s="1"/>
  <c r="I34" i="63"/>
  <c r="T33" i="63"/>
  <c r="N33" i="63"/>
  <c r="M33" i="63"/>
  <c r="F52" i="33" s="1"/>
  <c r="K33" i="63"/>
  <c r="J33" i="63"/>
  <c r="I33" i="63"/>
  <c r="L33" i="63" s="1"/>
  <c r="T32" i="63"/>
  <c r="N32" i="63"/>
  <c r="M32" i="63"/>
  <c r="L32" i="63"/>
  <c r="K32" i="63"/>
  <c r="J32" i="63"/>
  <c r="I32" i="63"/>
  <c r="N31" i="63"/>
  <c r="L31" i="63"/>
  <c r="E50" i="33" s="1"/>
  <c r="K31" i="63"/>
  <c r="J31" i="63"/>
  <c r="M31" i="63" s="1"/>
  <c r="I31" i="63"/>
  <c r="N30" i="63"/>
  <c r="L30" i="63"/>
  <c r="K30" i="63"/>
  <c r="J30" i="63"/>
  <c r="M30" i="63" s="1"/>
  <c r="I30" i="63"/>
  <c r="T29" i="63"/>
  <c r="J29" i="63" s="1"/>
  <c r="M29" i="63"/>
  <c r="L29" i="63"/>
  <c r="K29" i="63"/>
  <c r="N29" i="63" s="1"/>
  <c r="I29" i="63"/>
  <c r="N28" i="63"/>
  <c r="M28" i="63"/>
  <c r="K28" i="63"/>
  <c r="J28" i="63"/>
  <c r="I28" i="63"/>
  <c r="L28" i="63" s="1"/>
  <c r="M27" i="63"/>
  <c r="K27" i="63"/>
  <c r="N27" i="63" s="1"/>
  <c r="J27" i="63"/>
  <c r="I27" i="63"/>
  <c r="L27" i="63" s="1"/>
  <c r="T26" i="63"/>
  <c r="L26" i="63"/>
  <c r="E45" i="33" s="1"/>
  <c r="K26" i="63"/>
  <c r="N26" i="63" s="1"/>
  <c r="J26" i="63"/>
  <c r="M26" i="63" s="1"/>
  <c r="I26" i="63"/>
  <c r="N25" i="63"/>
  <c r="M25" i="63"/>
  <c r="F44" i="33" s="1"/>
  <c r="K25" i="63"/>
  <c r="J25" i="63"/>
  <c r="I25" i="63"/>
  <c r="L25" i="63" s="1"/>
  <c r="L24" i="63"/>
  <c r="K24" i="63"/>
  <c r="N24" i="63" s="1"/>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I20" i="63"/>
  <c r="N19" i="63"/>
  <c r="L19" i="63"/>
  <c r="K19" i="63"/>
  <c r="J19" i="63"/>
  <c r="M19" i="63" s="1"/>
  <c r="I19" i="63"/>
  <c r="L18" i="63"/>
  <c r="K18" i="63"/>
  <c r="N18" i="63" s="1"/>
  <c r="J18" i="63"/>
  <c r="M18" i="63" s="1"/>
  <c r="I18" i="63"/>
  <c r="AA16" i="63"/>
  <c r="N16" i="63"/>
  <c r="N15" i="63"/>
  <c r="M15" i="63"/>
  <c r="U14" i="63"/>
  <c r="N14" i="63"/>
  <c r="M14" i="63"/>
  <c r="AA13" i="63"/>
  <c r="N13" i="63"/>
  <c r="M13" i="63"/>
  <c r="N12" i="63"/>
  <c r="M12" i="63"/>
  <c r="N11" i="63"/>
  <c r="M11" i="63"/>
  <c r="N3" i="63"/>
  <c r="C34" i="62"/>
  <c r="C32" i="62"/>
  <c r="E31" i="62"/>
  <c r="C31" i="62"/>
  <c r="C30" i="62"/>
  <c r="E29" i="62"/>
  <c r="C29" i="62"/>
  <c r="C8" i="62"/>
  <c r="C7" i="62"/>
  <c r="E6"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R10" i="55"/>
  <c r="P10" i="55" a="1"/>
  <c r="P10" i="55" s="1"/>
  <c r="L10" i="55"/>
  <c r="F10" i="55"/>
  <c r="K8" i="55"/>
  <c r="E5" i="55"/>
  <c r="R2" i="55"/>
  <c r="P2" i="55" a="1"/>
  <c r="P2" i="55" s="1"/>
  <c r="P10" i="54" a="1"/>
  <c r="P10" i="54"/>
  <c r="L10" i="54"/>
  <c r="R10" i="54" s="1"/>
  <c r="K8" i="54"/>
  <c r="J8" i="54"/>
  <c r="G8" i="54"/>
  <c r="F8" i="54"/>
  <c r="E5" i="54"/>
  <c r="R2" i="54"/>
  <c r="P2" i="54" a="1"/>
  <c r="P2" i="54" s="1"/>
  <c r="F2" i="54"/>
  <c r="N9" i="53" a="1"/>
  <c r="N9" i="53"/>
  <c r="J9" i="53"/>
  <c r="P9" i="53" s="1"/>
  <c r="E5" i="53"/>
  <c r="P2" i="53"/>
  <c r="N2" i="53" a="1"/>
  <c r="N2" i="53"/>
  <c r="G24" i="52"/>
  <c r="G12" i="52"/>
  <c r="F12" i="52"/>
  <c r="E12" i="52"/>
  <c r="D6" i="52"/>
  <c r="D5" i="52"/>
  <c r="BA115" i="51"/>
  <c r="BA114" i="51"/>
  <c r="BA113" i="51"/>
  <c r="BA102" i="51"/>
  <c r="BA100" i="51"/>
  <c r="BA99" i="51"/>
  <c r="I53" i="51"/>
  <c r="J52" i="51"/>
  <c r="J45" i="51" s="1"/>
  <c r="I52" i="51"/>
  <c r="H52" i="51"/>
  <c r="F32" i="51" s="1"/>
  <c r="G52" i="51"/>
  <c r="E32" i="51" s="1"/>
  <c r="J51" i="51"/>
  <c r="I51" i="51"/>
  <c r="H51" i="51"/>
  <c r="G51" i="51"/>
  <c r="J50" i="51"/>
  <c r="I50" i="51"/>
  <c r="G50" i="51"/>
  <c r="J49" i="51"/>
  <c r="I49" i="51"/>
  <c r="I48" i="51"/>
  <c r="J47" i="51"/>
  <c r="I47" i="51"/>
  <c r="I46" i="51"/>
  <c r="K45" i="51"/>
  <c r="I45" i="51"/>
  <c r="G44" i="51"/>
  <c r="G36" i="51"/>
  <c r="E4" i="62" s="1"/>
  <c r="F36" i="51"/>
  <c r="AA12" i="63" s="1"/>
  <c r="F29" i="51"/>
  <c r="E29" i="51"/>
  <c r="L5" i="51"/>
  <c r="L4" i="51"/>
  <c r="L3" i="51"/>
  <c r="L6" i="51" s="1"/>
  <c r="I14" i="50"/>
  <c r="G14" i="50"/>
  <c r="G11" i="50"/>
  <c r="G10" i="50"/>
  <c r="G9" i="50"/>
  <c r="D6" i="50"/>
  <c r="E13" i="49"/>
  <c r="H12" i="49"/>
  <c r="E12" i="49"/>
  <c r="E11" i="49"/>
  <c r="E10" i="49"/>
  <c r="D6" i="49"/>
  <c r="D5" i="49"/>
  <c r="F285" i="48"/>
  <c r="F264" i="48"/>
  <c r="M221" i="48"/>
  <c r="F220" i="48"/>
  <c r="F187" i="48"/>
  <c r="M156" i="48"/>
  <c r="F155" i="48"/>
  <c r="F107" i="48"/>
  <c r="M91" i="48"/>
  <c r="F88" i="48"/>
  <c r="G43" i="48"/>
  <c r="M24" i="48"/>
  <c r="F23" i="48"/>
  <c r="G17" i="48"/>
  <c r="F17" i="48"/>
  <c r="G16" i="48"/>
  <c r="F16" i="48"/>
  <c r="E14" i="48"/>
  <c r="N7" i="48"/>
  <c r="N4" i="48"/>
  <c r="N1" i="48"/>
  <c r="E53" i="47"/>
  <c r="E49" i="47"/>
  <c r="E45" i="47"/>
  <c r="E42" i="47"/>
  <c r="E41" i="47"/>
  <c r="E37"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E129" i="33"/>
  <c r="J128" i="33"/>
  <c r="E128" i="33"/>
  <c r="J127" i="33"/>
  <c r="F127" i="33"/>
  <c r="F126" i="33"/>
  <c r="E126" i="33"/>
  <c r="J123" i="33"/>
  <c r="F123" i="33"/>
  <c r="E123" i="33"/>
  <c r="E124" i="33" s="1"/>
  <c r="J120" i="33"/>
  <c r="F120" i="33"/>
  <c r="E120" i="33"/>
  <c r="E121" i="33" s="1"/>
  <c r="F117" i="33"/>
  <c r="E117" i="33"/>
  <c r="E118" i="33" s="1"/>
  <c r="F116" i="33"/>
  <c r="E116" i="33"/>
  <c r="J115" i="33"/>
  <c r="J114" i="33"/>
  <c r="F114" i="33"/>
  <c r="E114" i="33"/>
  <c r="J113" i="33"/>
  <c r="F113" i="33"/>
  <c r="E113" i="33"/>
  <c r="J112" i="33"/>
  <c r="F112" i="33"/>
  <c r="E112" i="33"/>
  <c r="J111" i="33"/>
  <c r="F111" i="33"/>
  <c r="J110" i="33"/>
  <c r="F110" i="33"/>
  <c r="E110" i="33"/>
  <c r="J109" i="33"/>
  <c r="E109" i="33"/>
  <c r="J108" i="33"/>
  <c r="F108" i="33"/>
  <c r="E108" i="33"/>
  <c r="J107" i="33"/>
  <c r="E107" i="33"/>
  <c r="E106" i="33"/>
  <c r="J105" i="33"/>
  <c r="E104" i="33"/>
  <c r="J103" i="33"/>
  <c r="F103" i="33"/>
  <c r="F102" i="33"/>
  <c r="E100" i="33"/>
  <c r="E99" i="33"/>
  <c r="J98" i="33"/>
  <c r="F98" i="33"/>
  <c r="E98" i="33"/>
  <c r="J97" i="33"/>
  <c r="E97" i="33"/>
  <c r="J96" i="33"/>
  <c r="E96" i="33"/>
  <c r="J95" i="33"/>
  <c r="F95" i="33"/>
  <c r="F94" i="33"/>
  <c r="E94" i="33"/>
  <c r="J93" i="33"/>
  <c r="F93" i="33"/>
  <c r="E93" i="33"/>
  <c r="J92" i="33"/>
  <c r="F92" i="33"/>
  <c r="J91" i="33"/>
  <c r="F91" i="33"/>
  <c r="E91" i="33"/>
  <c r="J90" i="33"/>
  <c r="F90" i="33"/>
  <c r="E90" i="33"/>
  <c r="J89" i="33"/>
  <c r="E89" i="33"/>
  <c r="J88" i="33"/>
  <c r="E88" i="33"/>
  <c r="J87" i="33"/>
  <c r="I87" i="33"/>
  <c r="H87" i="33"/>
  <c r="E87" i="33"/>
  <c r="J86" i="33"/>
  <c r="E86" i="33"/>
  <c r="J85" i="33"/>
  <c r="F85" i="33"/>
  <c r="F84" i="33"/>
  <c r="E84" i="33"/>
  <c r="E83" i="33"/>
  <c r="J82" i="33"/>
  <c r="F82" i="33"/>
  <c r="E82" i="33"/>
  <c r="J81" i="33"/>
  <c r="F81" i="33"/>
  <c r="E81" i="33"/>
  <c r="F80" i="33"/>
  <c r="E80" i="33"/>
  <c r="J78" i="33"/>
  <c r="F78" i="33"/>
  <c r="J77" i="33"/>
  <c r="E77" i="33"/>
  <c r="J76" i="33"/>
  <c r="F76" i="33"/>
  <c r="E76" i="33"/>
  <c r="J75" i="33"/>
  <c r="F75" i="33"/>
  <c r="E75" i="33"/>
  <c r="J74" i="33"/>
  <c r="F74" i="33"/>
  <c r="E74" i="33"/>
  <c r="J73" i="33"/>
  <c r="F73" i="33"/>
  <c r="E73" i="33"/>
  <c r="J72" i="33"/>
  <c r="F72" i="33"/>
  <c r="E72" i="33"/>
  <c r="J69" i="33"/>
  <c r="I69" i="33"/>
  <c r="H69" i="33"/>
  <c r="F69" i="33"/>
  <c r="E69" i="33"/>
  <c r="F68" i="33"/>
  <c r="J67" i="33"/>
  <c r="F67" i="33"/>
  <c r="K66" i="33"/>
  <c r="J66" i="33"/>
  <c r="L66" i="33" s="1"/>
  <c r="F66" i="33"/>
  <c r="E66" i="33"/>
  <c r="K65" i="33"/>
  <c r="J65" i="33"/>
  <c r="F65" i="33"/>
  <c r="E65" i="33"/>
  <c r="K64" i="33"/>
  <c r="J64" i="33"/>
  <c r="F64" i="33"/>
  <c r="E64" i="33"/>
  <c r="K63" i="33"/>
  <c r="J63" i="33"/>
  <c r="E63" i="33"/>
  <c r="K62" i="33"/>
  <c r="J62" i="33"/>
  <c r="F62" i="33"/>
  <c r="E62" i="33"/>
  <c r="K61" i="33"/>
  <c r="J61" i="33"/>
  <c r="E61" i="33"/>
  <c r="K60" i="33"/>
  <c r="J60" i="33"/>
  <c r="E60" i="33"/>
  <c r="K59" i="33"/>
  <c r="J59" i="33"/>
  <c r="E59" i="33"/>
  <c r="K58" i="33"/>
  <c r="F58" i="33"/>
  <c r="K57" i="33"/>
  <c r="J57" i="33"/>
  <c r="K56" i="33"/>
  <c r="J56" i="33"/>
  <c r="K55" i="33"/>
  <c r="J55" i="33"/>
  <c r="F55" i="33"/>
  <c r="E55" i="33"/>
  <c r="K54" i="33"/>
  <c r="J54" i="33"/>
  <c r="K53" i="33"/>
  <c r="J53" i="33"/>
  <c r="E53" i="33"/>
  <c r="K52" i="33"/>
  <c r="J52" i="33"/>
  <c r="E52" i="33"/>
  <c r="K51" i="33"/>
  <c r="J51" i="33"/>
  <c r="F51" i="33"/>
  <c r="E51" i="33"/>
  <c r="K50" i="33"/>
  <c r="J50" i="33"/>
  <c r="F50" i="33"/>
  <c r="K49" i="33"/>
  <c r="J49" i="33"/>
  <c r="F49" i="33"/>
  <c r="E49" i="33"/>
  <c r="K48" i="33"/>
  <c r="J48" i="33"/>
  <c r="F48" i="33"/>
  <c r="E48" i="33"/>
  <c r="K47" i="33"/>
  <c r="J47" i="33"/>
  <c r="F47" i="33"/>
  <c r="E47" i="33"/>
  <c r="K46" i="33"/>
  <c r="J46" i="33"/>
  <c r="F46" i="33"/>
  <c r="E46" i="33"/>
  <c r="K45" i="33"/>
  <c r="J45" i="33"/>
  <c r="F45" i="33"/>
  <c r="J44" i="33"/>
  <c r="E44" i="33"/>
  <c r="K44" i="33" s="1"/>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O41" i="31"/>
  <c r="AM41" i="31"/>
  <c r="AN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Z45" i="29"/>
  <c r="AA45" i="29" s="1"/>
  <c r="AC45" i="29" s="1"/>
  <c r="AD45" i="29" s="1"/>
  <c r="U45" i="29"/>
  <c r="V45" i="29" s="1"/>
  <c r="W45" i="29" s="1"/>
  <c r="X45" i="29" s="1"/>
  <c r="Y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W41" i="25"/>
  <c r="X41" i="25" s="1"/>
  <c r="Y41" i="25" s="1"/>
  <c r="AA41" i="25" s="1"/>
  <c r="V41" i="25"/>
  <c r="U41" i="25"/>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I40" i="22"/>
  <c r="AJ40" i="22" s="1"/>
  <c r="AK40" i="22" s="1"/>
  <c r="Y40" i="22"/>
  <c r="Z40" i="22" s="1"/>
  <c r="AB40" i="22" s="1"/>
  <c r="AC40" i="22" s="1"/>
  <c r="AD40" i="22" s="1"/>
  <c r="AE40" i="22" s="1"/>
  <c r="AF40" i="22" s="1"/>
  <c r="AG40" i="22" s="1"/>
  <c r="V40" i="22"/>
  <c r="W40" i="22" s="1"/>
  <c r="X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E40" i="21"/>
  <c r="AF40" i="21" s="1"/>
  <c r="AG40" i="21" s="1"/>
  <c r="AI40" i="21" s="1"/>
  <c r="AJ40" i="21" s="1"/>
  <c r="AK40" i="21" s="1"/>
  <c r="V40" i="21"/>
  <c r="W40" i="21" s="1"/>
  <c r="X40" i="21" s="1"/>
  <c r="Y40" i="21" s="1"/>
  <c r="Z40" i="21" s="1"/>
  <c r="AB40" i="21" s="1"/>
  <c r="AC40" i="21" s="1"/>
  <c r="AD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N44" i="20"/>
  <c r="AO44" i="20" s="1"/>
  <c r="AP44" i="20" s="1"/>
  <c r="AQ44" i="20" s="1"/>
  <c r="AS44" i="20" s="1"/>
  <c r="AT44" i="20" s="1"/>
  <c r="AU44" i="20" s="1"/>
  <c r="Y44" i="20"/>
  <c r="AA44" i="20" s="1"/>
  <c r="AB44" i="20" s="1"/>
  <c r="X44" i="20"/>
  <c r="U44" i="20"/>
  <c r="V44" i="20" s="1"/>
  <c r="W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U49" i="19"/>
  <c r="AJ48" i="19"/>
  <c r="AK48" i="19" s="1"/>
  <c r="AL48" i="19" s="1"/>
  <c r="AM48" i="19" s="1"/>
  <c r="AO48" i="19" s="1"/>
  <c r="AP48" i="19" s="1"/>
  <c r="AQ48" i="19" s="1"/>
  <c r="AG48" i="19"/>
  <c r="AB48" i="19"/>
  <c r="AC48" i="19" s="1"/>
  <c r="AD48" i="19" s="1"/>
  <c r="AF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H42" i="17"/>
  <c r="AI42" i="17" s="1"/>
  <c r="AK42" i="17" s="1"/>
  <c r="AL42" i="17" s="1"/>
  <c r="AM42" i="17" s="1"/>
  <c r="AG42" i="17"/>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L42" i="16"/>
  <c r="AM42" i="16" s="1"/>
  <c r="AH42" i="16"/>
  <c r="AI42" i="16" s="1"/>
  <c r="AK42" i="16" s="1"/>
  <c r="AG42" i="16"/>
  <c r="AF42" i="16"/>
  <c r="AC42" i="16"/>
  <c r="AD42" i="16" s="1"/>
  <c r="AA42" i="16"/>
  <c r="X42" i="16"/>
  <c r="Y42" i="16" s="1"/>
  <c r="Z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I42" i="15"/>
  <c r="AK42" i="15" s="1"/>
  <c r="AL42" i="15" s="1"/>
  <c r="AM42" i="15" s="1"/>
  <c r="AH42" i="15"/>
  <c r="AG42" i="15"/>
  <c r="AF42" i="15"/>
  <c r="AD42" i="15"/>
  <c r="X42" i="15"/>
  <c r="Y42" i="15" s="1"/>
  <c r="Z42" i="15" s="1"/>
  <c r="AA42" i="15" s="1"/>
  <c r="AC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K42" i="14"/>
  <c r="AL42" i="14" s="1"/>
  <c r="AM42" i="14" s="1"/>
  <c r="AF42" i="14"/>
  <c r="AG42" i="14" s="1"/>
  <c r="AH42" i="14" s="1"/>
  <c r="AI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I42" i="13"/>
  <c r="AK42" i="13" s="1"/>
  <c r="AL42" i="13" s="1"/>
  <c r="AM42" i="13" s="1"/>
  <c r="AH42" i="13"/>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K8" i="13" s="1"/>
  <c r="S8" i="13" s="1"/>
  <c r="AP5" i="13"/>
  <c r="AD5" i="13"/>
  <c r="S5" i="13"/>
  <c r="AP4" i="13"/>
  <c r="AD4" i="13"/>
  <c r="S4" i="13"/>
  <c r="AP3" i="13"/>
  <c r="AD3" i="13"/>
  <c r="S3" i="13"/>
  <c r="AP2" i="13"/>
  <c r="AD2" i="13"/>
  <c r="S2" i="13"/>
  <c r="GL85" i="12"/>
  <c r="GL84" i="12"/>
  <c r="GL83" i="12"/>
  <c r="GL82" i="12"/>
  <c r="GL81" i="12"/>
  <c r="GL80" i="12"/>
  <c r="GL79" i="12"/>
  <c r="GL78" i="12"/>
  <c r="GC78" i="12"/>
  <c r="FU78" i="12"/>
  <c r="FM78" i="12"/>
  <c r="FE78" i="12"/>
  <c r="EW78" i="12"/>
  <c r="EO78" i="12"/>
  <c r="EG78" i="12"/>
  <c r="DY78" i="12"/>
  <c r="DQ78" i="12"/>
  <c r="DI78" i="12"/>
  <c r="DA78" i="12"/>
  <c r="CS78" i="12"/>
  <c r="CK78" i="12"/>
  <c r="CC78" i="12"/>
  <c r="BU78" i="12"/>
  <c r="BM78" i="12"/>
  <c r="BE78" i="12"/>
  <c r="AW78" i="12"/>
  <c r="AO78" i="12"/>
  <c r="AG78" i="12"/>
  <c r="Y78" i="12"/>
  <c r="GL77" i="12"/>
  <c r="GL76" i="12"/>
  <c r="GL75" i="12"/>
  <c r="GL74" i="12"/>
  <c r="GL73" i="12"/>
  <c r="GL72" i="12"/>
  <c r="S72" i="12"/>
  <c r="GL71" i="12"/>
  <c r="GL70" i="12"/>
  <c r="GL69" i="12"/>
  <c r="GL68" i="12"/>
  <c r="GL67" i="12"/>
  <c r="GL66" i="12"/>
  <c r="GL65" i="12"/>
  <c r="GL64" i="12"/>
  <c r="GC64" i="12"/>
  <c r="FU64" i="12"/>
  <c r="FM64" i="12"/>
  <c r="FE64" i="12"/>
  <c r="EW64" i="12"/>
  <c r="EO64" i="12"/>
  <c r="EG64" i="12"/>
  <c r="DY64" i="12"/>
  <c r="DQ64" i="12"/>
  <c r="DI64" i="12"/>
  <c r="DA64" i="12"/>
  <c r="CS64" i="12"/>
  <c r="CK64" i="12"/>
  <c r="CC64" i="12"/>
  <c r="BU64" i="12"/>
  <c r="BM64" i="12"/>
  <c r="BE64" i="12"/>
  <c r="AW64" i="12"/>
  <c r="AO64" i="12"/>
  <c r="AG64" i="12"/>
  <c r="Y64" i="12"/>
  <c r="GL63" i="12"/>
  <c r="GL62" i="12"/>
  <c r="GL61" i="12"/>
  <c r="GL60" i="12"/>
  <c r="AD60" i="12"/>
  <c r="GL59" i="12"/>
  <c r="S59" i="12"/>
  <c r="GL58" i="12"/>
  <c r="GL57" i="12"/>
  <c r="GL56" i="12"/>
  <c r="GL55" i="12"/>
  <c r="GL54" i="12"/>
  <c r="GL53" i="12"/>
  <c r="GL52" i="12"/>
  <c r="GL51" i="12"/>
  <c r="GL50" i="12"/>
  <c r="GC50" i="12"/>
  <c r="FU50" i="12"/>
  <c r="FM50" i="12"/>
  <c r="FE50" i="12"/>
  <c r="EW50" i="12"/>
  <c r="EO50" i="12"/>
  <c r="EG50" i="12"/>
  <c r="DY50" i="12"/>
  <c r="DQ50" i="12"/>
  <c r="DI50" i="12"/>
  <c r="DA50" i="12"/>
  <c r="CS50" i="12"/>
  <c r="CK50" i="12"/>
  <c r="CC50" i="12"/>
  <c r="BU50" i="12"/>
  <c r="BM50" i="12"/>
  <c r="BE50" i="12"/>
  <c r="AW50" i="12"/>
  <c r="AO50" i="12"/>
  <c r="AG50" i="12"/>
  <c r="Y50" i="12"/>
  <c r="GL49" i="12"/>
  <c r="GL48" i="12"/>
  <c r="GL47" i="12"/>
  <c r="GL46" i="12"/>
  <c r="GL45" i="12"/>
  <c r="GL44" i="12"/>
  <c r="AD44" i="12"/>
  <c r="S44" i="12"/>
  <c r="GL43" i="12"/>
  <c r="GI43" i="12"/>
  <c r="AD43" i="12"/>
  <c r="S43" i="12"/>
  <c r="GB42" i="12"/>
  <c r="GC42" i="12" s="1"/>
  <c r="GD42" i="12" s="1"/>
  <c r="GE42" i="12" s="1"/>
  <c r="GG42" i="12" s="1"/>
  <c r="GH42" i="12" s="1"/>
  <c r="GI42" i="12" s="1"/>
  <c r="FZ42" i="12"/>
  <c r="FV42" i="12"/>
  <c r="FW42" i="12" s="1"/>
  <c r="FY42" i="12" s="1"/>
  <c r="FU42" i="12"/>
  <c r="FT42" i="12"/>
  <c r="FQ42" i="12"/>
  <c r="FR42" i="12" s="1"/>
  <c r="FO42" i="12"/>
  <c r="FL42" i="12"/>
  <c r="FM42" i="12" s="1"/>
  <c r="FN42" i="12" s="1"/>
  <c r="FF42" i="12"/>
  <c r="FG42" i="12" s="1"/>
  <c r="FI42" i="12" s="1"/>
  <c r="FJ42" i="12" s="1"/>
  <c r="FE42" i="12"/>
  <c r="FD42" i="12"/>
  <c r="EY42" i="12"/>
  <c r="FA42" i="12" s="1"/>
  <c r="FB42" i="12" s="1"/>
  <c r="EV42" i="12"/>
  <c r="EW42" i="12" s="1"/>
  <c r="EX42" i="12" s="1"/>
  <c r="EO42" i="12"/>
  <c r="EP42" i="12" s="1"/>
  <c r="EQ42" i="12" s="1"/>
  <c r="ES42" i="12" s="1"/>
  <c r="ET42" i="12" s="1"/>
  <c r="EN42" i="12"/>
  <c r="EF42" i="12"/>
  <c r="EG42" i="12" s="1"/>
  <c r="EH42" i="12" s="1"/>
  <c r="EI42" i="12" s="1"/>
  <c r="EK42" i="12" s="1"/>
  <c r="EL42" i="12" s="1"/>
  <c r="DY42" i="12"/>
  <c r="DZ42" i="12" s="1"/>
  <c r="EA42" i="12" s="1"/>
  <c r="EC42" i="12" s="1"/>
  <c r="ED42" i="12" s="1"/>
  <c r="DX42" i="12"/>
  <c r="DP42" i="12"/>
  <c r="DQ42" i="12" s="1"/>
  <c r="DR42" i="12" s="1"/>
  <c r="DS42" i="12" s="1"/>
  <c r="DU42" i="12" s="1"/>
  <c r="DV42" i="12" s="1"/>
  <c r="DN42" i="12"/>
  <c r="DJ42" i="12"/>
  <c r="DK42" i="12" s="1"/>
  <c r="DM42" i="12" s="1"/>
  <c r="DI42" i="12"/>
  <c r="DH42" i="12"/>
  <c r="DE42" i="12"/>
  <c r="DF42" i="12" s="1"/>
  <c r="DC42" i="12"/>
  <c r="CZ42" i="12"/>
  <c r="DA42" i="12" s="1"/>
  <c r="DB42" i="12" s="1"/>
  <c r="CT42" i="12"/>
  <c r="CU42" i="12" s="1"/>
  <c r="CW42" i="12" s="1"/>
  <c r="CX42" i="12" s="1"/>
  <c r="CS42" i="12"/>
  <c r="CR42" i="12"/>
  <c r="CM42" i="12"/>
  <c r="CO42" i="12" s="1"/>
  <c r="CP42" i="12" s="1"/>
  <c r="CJ42" i="12"/>
  <c r="CK42" i="12" s="1"/>
  <c r="CL42" i="12" s="1"/>
  <c r="CC42" i="12"/>
  <c r="CD42" i="12" s="1"/>
  <c r="CE42" i="12" s="1"/>
  <c r="CG42" i="12" s="1"/>
  <c r="CH42" i="12" s="1"/>
  <c r="CB42" i="12"/>
  <c r="BT42" i="12"/>
  <c r="BU42" i="12" s="1"/>
  <c r="BV42" i="12" s="1"/>
  <c r="BW42" i="12" s="1"/>
  <c r="BY42" i="12" s="1"/>
  <c r="BZ42" i="12" s="1"/>
  <c r="BM42" i="12"/>
  <c r="BN42" i="12" s="1"/>
  <c r="BO42" i="12" s="1"/>
  <c r="BQ42" i="12" s="1"/>
  <c r="BR42" i="12" s="1"/>
  <c r="BL42" i="12"/>
  <c r="BD42" i="12"/>
  <c r="BE42" i="12" s="1"/>
  <c r="BF42" i="12" s="1"/>
  <c r="BG42" i="12" s="1"/>
  <c r="BI42" i="12" s="1"/>
  <c r="BJ42" i="12" s="1"/>
  <c r="BB42" i="12"/>
  <c r="AX42" i="12"/>
  <c r="AY42" i="12" s="1"/>
  <c r="BA42" i="12" s="1"/>
  <c r="AW42" i="12"/>
  <c r="AV42" i="12"/>
  <c r="AS42" i="12"/>
  <c r="AT42" i="12" s="1"/>
  <c r="AQ42" i="12"/>
  <c r="AN42" i="12"/>
  <c r="AO42" i="12" s="1"/>
  <c r="AP42" i="12" s="1"/>
  <c r="AH42" i="12"/>
  <c r="AI42" i="12" s="1"/>
  <c r="AK42" i="12" s="1"/>
  <c r="AL42" i="12" s="1"/>
  <c r="AG42" i="12"/>
  <c r="AF42" i="12"/>
  <c r="AA42" i="12"/>
  <c r="AC42" i="12" s="1"/>
  <c r="AD42" i="12" s="1"/>
  <c r="X42" i="12"/>
  <c r="Y42" i="12" s="1"/>
  <c r="Z42" i="12" s="1"/>
  <c r="V42" i="12"/>
  <c r="U42" i="12"/>
  <c r="FZ35" i="12"/>
  <c r="FR35" i="12"/>
  <c r="FJ35" i="12"/>
  <c r="FB35" i="12"/>
  <c r="ET35" i="12"/>
  <c r="EL35" i="12"/>
  <c r="ED35" i="12"/>
  <c r="DV35" i="12"/>
  <c r="DN35" i="12"/>
  <c r="DF35" i="12"/>
  <c r="CX35" i="12"/>
  <c r="CP35" i="12"/>
  <c r="CH35" i="12"/>
  <c r="BZ35" i="12"/>
  <c r="BR35" i="12"/>
  <c r="BJ35" i="12"/>
  <c r="BB35" i="12"/>
  <c r="AT35" i="12"/>
  <c r="AL35" i="12"/>
  <c r="AD35" i="12"/>
  <c r="V35" i="12"/>
  <c r="FZ34" i="12"/>
  <c r="FR34" i="12"/>
  <c r="FJ34" i="12"/>
  <c r="FB34" i="12"/>
  <c r="ET34" i="12"/>
  <c r="EL34" i="12"/>
  <c r="ED34" i="12"/>
  <c r="DV34" i="12"/>
  <c r="DN34" i="12"/>
  <c r="DF34" i="12"/>
  <c r="CX34" i="12"/>
  <c r="CP34" i="12"/>
  <c r="CH34" i="12"/>
  <c r="BZ34" i="12"/>
  <c r="BR34" i="12"/>
  <c r="BJ34" i="12"/>
  <c r="BB34" i="12"/>
  <c r="AT34" i="12"/>
  <c r="AL34" i="12"/>
  <c r="AD34" i="12"/>
  <c r="V34" i="12"/>
  <c r="FZ32" i="12"/>
  <c r="FR32" i="12"/>
  <c r="FJ32" i="12"/>
  <c r="FB32" i="12"/>
  <c r="ET32" i="12"/>
  <c r="EL32" i="12"/>
  <c r="ED32" i="12"/>
  <c r="DV32" i="12"/>
  <c r="DN32" i="12"/>
  <c r="DF32" i="12"/>
  <c r="CX32" i="12"/>
  <c r="CP32" i="12"/>
  <c r="CH32" i="12"/>
  <c r="BZ32" i="12"/>
  <c r="BR32" i="12"/>
  <c r="BJ32" i="12"/>
  <c r="BB32" i="12"/>
  <c r="AT32" i="12"/>
  <c r="AL32" i="12"/>
  <c r="AD32" i="12"/>
  <c r="V32" i="12"/>
  <c r="FZ31" i="12"/>
  <c r="FR31" i="12"/>
  <c r="FJ31" i="12"/>
  <c r="FB31" i="12"/>
  <c r="ET31" i="12"/>
  <c r="EL31" i="12"/>
  <c r="ED31" i="12"/>
  <c r="DV31" i="12"/>
  <c r="DN31" i="12"/>
  <c r="DF31" i="12"/>
  <c r="CX31" i="12"/>
  <c r="CP31" i="12"/>
  <c r="CH31" i="12"/>
  <c r="BZ31" i="12"/>
  <c r="BR31" i="12"/>
  <c r="BJ31" i="12"/>
  <c r="BB31" i="12"/>
  <c r="AT31" i="12"/>
  <c r="AL31" i="12"/>
  <c r="AD31" i="12"/>
  <c r="V31" i="12"/>
  <c r="FZ30" i="12"/>
  <c r="FR30" i="12"/>
  <c r="FJ30" i="12"/>
  <c r="FB30" i="12"/>
  <c r="ET30" i="12"/>
  <c r="EL30" i="12"/>
  <c r="ED30" i="12"/>
  <c r="DV30" i="12"/>
  <c r="DN30" i="12"/>
  <c r="DF30" i="12"/>
  <c r="CX30" i="12"/>
  <c r="CP30" i="12"/>
  <c r="CH30" i="12"/>
  <c r="BZ30" i="12"/>
  <c r="BR30" i="12"/>
  <c r="BJ30" i="12"/>
  <c r="BB30" i="12"/>
  <c r="AT30" i="12"/>
  <c r="AL30" i="12"/>
  <c r="AD30" i="12"/>
  <c r="V30" i="12"/>
  <c r="FZ29" i="12"/>
  <c r="FR29" i="12"/>
  <c r="FJ29" i="12"/>
  <c r="FB29" i="12"/>
  <c r="ET29" i="12"/>
  <c r="EL29" i="12"/>
  <c r="ED29" i="12"/>
  <c r="DV29" i="12"/>
  <c r="DN29" i="12"/>
  <c r="DF29" i="12"/>
  <c r="CX29" i="12"/>
  <c r="CP29" i="12"/>
  <c r="CH29" i="12"/>
  <c r="BZ29" i="12"/>
  <c r="BR29" i="12"/>
  <c r="BJ29" i="12"/>
  <c r="BB29" i="12"/>
  <c r="AT29" i="12"/>
  <c r="AL29" i="12"/>
  <c r="AD29" i="12"/>
  <c r="V29" i="12"/>
  <c r="S27" i="12"/>
  <c r="S26" i="12"/>
  <c r="AG18" i="12"/>
  <c r="GL15" i="12"/>
  <c r="GL14" i="12"/>
  <c r="GL13" i="12"/>
  <c r="GL12" i="12"/>
  <c r="GL11" i="12"/>
  <c r="GL10" i="12"/>
  <c r="GL9" i="12"/>
  <c r="GC9" i="12"/>
  <c r="FU9" i="12"/>
  <c r="FM9" i="12"/>
  <c r="FE9" i="12"/>
  <c r="EW9" i="12"/>
  <c r="EO9" i="12"/>
  <c r="EG9" i="12"/>
  <c r="DY9" i="12"/>
  <c r="DQ9" i="12"/>
  <c r="DI9" i="12"/>
  <c r="DA9" i="12"/>
  <c r="CS9" i="12"/>
  <c r="CK9" i="12"/>
  <c r="CC9" i="12"/>
  <c r="BU9" i="12"/>
  <c r="BM9" i="12"/>
  <c r="BE9" i="12"/>
  <c r="AW9" i="12"/>
  <c r="AO9" i="12"/>
  <c r="AG9" i="12"/>
  <c r="Y9" i="12"/>
  <c r="GL8" i="12"/>
  <c r="GL7" i="12"/>
  <c r="GL6" i="12"/>
  <c r="GL5" i="12"/>
  <c r="AD5" i="12"/>
  <c r="S5" i="12"/>
  <c r="I6" i="12" s="1"/>
  <c r="GL4" i="12"/>
  <c r="AD4" i="12"/>
  <c r="S4" i="12"/>
  <c r="GL3" i="12"/>
  <c r="AD3" i="12"/>
  <c r="S3" i="12"/>
  <c r="GL2" i="12"/>
  <c r="AD2" i="12"/>
  <c r="S2" i="12"/>
  <c r="AP57" i="11"/>
  <c r="AP56" i="11"/>
  <c r="AP55" i="11"/>
  <c r="AP54" i="11"/>
  <c r="AP53" i="11"/>
  <c r="AP52" i="11"/>
  <c r="AP51" i="11"/>
  <c r="AP50" i="11"/>
  <c r="AG50" i="11"/>
  <c r="Y50" i="11"/>
  <c r="AP49" i="11"/>
  <c r="AP48" i="11"/>
  <c r="AP47" i="11"/>
  <c r="AP46" i="11"/>
  <c r="AD46" i="11"/>
  <c r="AP45" i="11"/>
  <c r="AP44" i="11"/>
  <c r="AP43" i="11"/>
  <c r="AM43" i="11"/>
  <c r="S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9" i="5"/>
  <c r="AP139" i="5"/>
  <c r="S48" i="29" s="1"/>
  <c r="K52" i="29" s="1"/>
  <c r="S52" i="29" s="1"/>
  <c r="AO139" i="5"/>
  <c r="S47" i="29" s="1"/>
  <c r="AN139" i="5"/>
  <c r="S46" i="29" s="1"/>
  <c r="AM139" i="5"/>
  <c r="AL139" i="5"/>
  <c r="AD48" i="29" s="1"/>
  <c r="AK139" i="5"/>
  <c r="AD47" i="29" s="1"/>
  <c r="AJ139" i="5"/>
  <c r="AI139" i="5"/>
  <c r="AH139" i="5"/>
  <c r="AQ134" i="5"/>
  <c r="AP134" i="5"/>
  <c r="S43" i="28" s="1"/>
  <c r="I44" i="28" s="1"/>
  <c r="AO134" i="5"/>
  <c r="S42" i="28" s="1"/>
  <c r="AN134" i="5"/>
  <c r="S41" i="28" s="1"/>
  <c r="AM134" i="5"/>
  <c r="AL134" i="5"/>
  <c r="AC43" i="28" s="1"/>
  <c r="AK134" i="5"/>
  <c r="AC42" i="28" s="1"/>
  <c r="AJ134" i="5"/>
  <c r="AI134" i="5"/>
  <c r="AH134" i="5"/>
  <c r="AQ129" i="5"/>
  <c r="AP129" i="5"/>
  <c r="S43" i="27" s="1"/>
  <c r="I44" i="27" s="1"/>
  <c r="AO129" i="5"/>
  <c r="S42" i="27" s="1"/>
  <c r="AN129" i="5"/>
  <c r="S41" i="27" s="1"/>
  <c r="AM129" i="5"/>
  <c r="AL129" i="5"/>
  <c r="AC43" i="27" s="1"/>
  <c r="AK129" i="5"/>
  <c r="AC42" i="27" s="1"/>
  <c r="AJ129" i="5"/>
  <c r="AI129" i="5"/>
  <c r="AH129" i="5"/>
  <c r="AQ123" i="5"/>
  <c r="AP123" i="5"/>
  <c r="S48" i="32" s="1"/>
  <c r="K52" i="32" s="1"/>
  <c r="S52" i="32" s="1"/>
  <c r="AO123" i="5"/>
  <c r="S47" i="32" s="1"/>
  <c r="AN123" i="5"/>
  <c r="S46" i="32" s="1"/>
  <c r="AM123" i="5"/>
  <c r="AL123" i="5"/>
  <c r="AD48" i="32" s="1"/>
  <c r="AK123" i="5"/>
  <c r="AD47" i="32" s="1"/>
  <c r="AJ123" i="5"/>
  <c r="AI123" i="5"/>
  <c r="AH123" i="5"/>
  <c r="AQ118" i="5"/>
  <c r="AP118" i="5"/>
  <c r="S44" i="31" s="1"/>
  <c r="I45" i="31" s="1"/>
  <c r="AO118" i="5"/>
  <c r="S43" i="31" s="1"/>
  <c r="AN118" i="5"/>
  <c r="S42" i="31" s="1"/>
  <c r="AM118" i="5"/>
  <c r="AL118" i="5"/>
  <c r="AG44" i="31" s="1"/>
  <c r="AK118" i="5"/>
  <c r="AG43" i="31" s="1"/>
  <c r="AJ118" i="5"/>
  <c r="AI118" i="5"/>
  <c r="AH118" i="5"/>
  <c r="AQ113" i="5"/>
  <c r="AP113" i="5"/>
  <c r="S44" i="30" s="1"/>
  <c r="I45" i="30" s="1"/>
  <c r="AO113" i="5"/>
  <c r="S43" i="30" s="1"/>
  <c r="AN113" i="5"/>
  <c r="S42" i="30" s="1"/>
  <c r="AM113" i="5"/>
  <c r="AL113" i="5"/>
  <c r="AG44" i="30" s="1"/>
  <c r="AK113" i="5"/>
  <c r="AG43" i="30" s="1"/>
  <c r="AJ113" i="5"/>
  <c r="AI113" i="5"/>
  <c r="AH113" i="5"/>
  <c r="AQ107" i="5"/>
  <c r="AP107" i="5"/>
  <c r="S48" i="26" s="1"/>
  <c r="K52" i="26" s="1"/>
  <c r="S52" i="26" s="1"/>
  <c r="AO107" i="5"/>
  <c r="S47" i="26" s="1"/>
  <c r="AN107" i="5"/>
  <c r="S46" i="26" s="1"/>
  <c r="AM107" i="5"/>
  <c r="AL107" i="5"/>
  <c r="AD48" i="26" s="1"/>
  <c r="AK107" i="5"/>
  <c r="AD47" i="26" s="1"/>
  <c r="AJ107" i="5"/>
  <c r="AI107" i="5"/>
  <c r="AH107" i="5"/>
  <c r="AQ102" i="5"/>
  <c r="AP102" i="5"/>
  <c r="S43" i="24" s="1"/>
  <c r="I44" i="24" s="1"/>
  <c r="AO102" i="5"/>
  <c r="S42" i="24" s="1"/>
  <c r="AN102" i="5"/>
  <c r="S41" i="24" s="1"/>
  <c r="AM102" i="5"/>
  <c r="AL102" i="5"/>
  <c r="AC43" i="24" s="1"/>
  <c r="AK102" i="5"/>
  <c r="AC42" i="24" s="1"/>
  <c r="AJ102" i="5"/>
  <c r="AI102" i="5"/>
  <c r="AH102" i="5"/>
  <c r="AQ97" i="5"/>
  <c r="AP97" i="5"/>
  <c r="S43" i="23" s="1"/>
  <c r="I44" i="23" s="1"/>
  <c r="AO97" i="5"/>
  <c r="S42" i="23" s="1"/>
  <c r="AN97" i="5"/>
  <c r="S41" i="23" s="1"/>
  <c r="AM97" i="5"/>
  <c r="AL97" i="5"/>
  <c r="AC43" i="23" s="1"/>
  <c r="AK97" i="5"/>
  <c r="AC42" i="23" s="1"/>
  <c r="AJ97" i="5"/>
  <c r="AI97" i="5"/>
  <c r="AH97" i="5"/>
  <c r="AQ92" i="5"/>
  <c r="AP92" i="5"/>
  <c r="S43" i="22" s="1"/>
  <c r="I44" i="22" s="1"/>
  <c r="AO92" i="5"/>
  <c r="S42" i="22" s="1"/>
  <c r="AN92" i="5"/>
  <c r="S41" i="22" s="1"/>
  <c r="AM92" i="5"/>
  <c r="AL92" i="5"/>
  <c r="AC43" i="22" s="1"/>
  <c r="AK92" i="5"/>
  <c r="AC42" i="22" s="1"/>
  <c r="AJ92" i="5"/>
  <c r="AI92" i="5"/>
  <c r="AH92" i="5"/>
  <c r="AQ87" i="5"/>
  <c r="AP87" i="5"/>
  <c r="S43" i="21" s="1"/>
  <c r="I44" i="21" s="1"/>
  <c r="AO87" i="5"/>
  <c r="S42" i="21" s="1"/>
  <c r="AN87" i="5"/>
  <c r="S41" i="21" s="1"/>
  <c r="AM87" i="5"/>
  <c r="AL87" i="5"/>
  <c r="AC43" i="21" s="1"/>
  <c r="AK87" i="5"/>
  <c r="AC42" i="21" s="1"/>
  <c r="AJ87" i="5"/>
  <c r="AI87" i="5"/>
  <c r="AH87" i="5"/>
  <c r="AQ71" i="5"/>
  <c r="AP71" i="5"/>
  <c r="S45" i="14" s="1"/>
  <c r="AO71" i="5"/>
  <c r="S44" i="14" s="1"/>
  <c r="AN71" i="5"/>
  <c r="S43" i="14" s="1"/>
  <c r="AM71" i="5"/>
  <c r="AD46" i="14" s="1"/>
  <c r="AL71" i="5"/>
  <c r="AD45" i="14" s="1"/>
  <c r="AK71" i="5"/>
  <c r="AD44" i="13" s="1"/>
  <c r="AJ71" i="5"/>
  <c r="AD43" i="13" s="1"/>
  <c r="AI71" i="5"/>
  <c r="AH71" i="5"/>
  <c r="AQ66" i="5"/>
  <c r="S45" i="25" s="1"/>
  <c r="AP66" i="5"/>
  <c r="S44" i="25" s="1"/>
  <c r="AO66" i="5"/>
  <c r="S43" i="25" s="1"/>
  <c r="AN66" i="5"/>
  <c r="S42" i="25" s="1"/>
  <c r="AM66" i="5"/>
  <c r="AC45" i="25" s="1"/>
  <c r="AL66" i="5"/>
  <c r="AC44" i="25" s="1"/>
  <c r="AK66" i="5"/>
  <c r="AC43" i="25" s="1"/>
  <c r="AJ66" i="5"/>
  <c r="AI66" i="5"/>
  <c r="AH66" i="5"/>
  <c r="AQ61" i="5"/>
  <c r="S48" i="20" s="1"/>
  <c r="AP61" i="5"/>
  <c r="S47" i="20" s="1"/>
  <c r="AO61" i="5"/>
  <c r="S46" i="20" s="1"/>
  <c r="AN61" i="5"/>
  <c r="S45" i="20" s="1"/>
  <c r="AM61" i="5"/>
  <c r="AB48" i="20" s="1"/>
  <c r="AL61" i="5"/>
  <c r="AB47" i="20" s="1"/>
  <c r="AK61" i="5"/>
  <c r="AJ61" i="5"/>
  <c r="AI61" i="5"/>
  <c r="AH61" i="5"/>
  <c r="AQ56" i="5"/>
  <c r="S46" i="15" s="1"/>
  <c r="I47" i="15" s="1"/>
  <c r="AP56" i="5"/>
  <c r="AO56" i="5"/>
  <c r="S44" i="15" s="1"/>
  <c r="AN56" i="5"/>
  <c r="S43" i="15" s="1"/>
  <c r="AM56" i="5"/>
  <c r="AD46" i="15" s="1"/>
  <c r="AL56" i="5"/>
  <c r="AD45" i="15" s="1"/>
  <c r="AK56" i="5"/>
  <c r="AD44" i="15" s="1"/>
  <c r="AJ56" i="5"/>
  <c r="AI56" i="5"/>
  <c r="AH56" i="5"/>
  <c r="AQ51" i="5"/>
  <c r="S46" i="18" s="1"/>
  <c r="AP51" i="5"/>
  <c r="S45" i="18" s="1"/>
  <c r="AO51" i="5"/>
  <c r="S44" i="18" s="1"/>
  <c r="AN51" i="5"/>
  <c r="S43" i="18" s="1"/>
  <c r="AM51" i="5"/>
  <c r="AD46" i="18" s="1"/>
  <c r="AL51" i="5"/>
  <c r="AD45" i="18" s="1"/>
  <c r="AK51" i="5"/>
  <c r="AD44" i="18" s="1"/>
  <c r="AJ51" i="5"/>
  <c r="AI51" i="5"/>
  <c r="AH51" i="5"/>
  <c r="AQ46" i="5"/>
  <c r="S46" i="17" s="1"/>
  <c r="AP46" i="5"/>
  <c r="S45" i="17" s="1"/>
  <c r="AO46" i="5"/>
  <c r="S44" i="17" s="1"/>
  <c r="AN46" i="5"/>
  <c r="S43" i="17" s="1"/>
  <c r="AM46" i="5"/>
  <c r="AD46" i="17" s="1"/>
  <c r="AL46" i="5"/>
  <c r="AD45" i="17" s="1"/>
  <c r="AK46" i="5"/>
  <c r="AD44" i="17" s="1"/>
  <c r="AJ46" i="5"/>
  <c r="AI46" i="5"/>
  <c r="AH46" i="5"/>
  <c r="AQ41" i="5"/>
  <c r="U52" i="19" s="1"/>
  <c r="I53" i="19" s="1"/>
  <c r="J54" i="19" s="1"/>
  <c r="K55" i="19" s="1"/>
  <c r="AP41" i="5"/>
  <c r="U51" i="19" s="1"/>
  <c r="AO41" i="5"/>
  <c r="AN41" i="5"/>
  <c r="AM41" i="5"/>
  <c r="AG52" i="19" s="1"/>
  <c r="AL41" i="5"/>
  <c r="AG51" i="19" s="1"/>
  <c r="AK41" i="5"/>
  <c r="AG50" i="19" s="1"/>
  <c r="AJ41" i="5"/>
  <c r="AI41" i="5"/>
  <c r="AH41" i="5"/>
  <c r="AQ36" i="5"/>
  <c r="AP36" i="5"/>
  <c r="AO36" i="5"/>
  <c r="AN36" i="5"/>
  <c r="AM36" i="5"/>
  <c r="O22" i="64" s="1"/>
  <c r="AL36" i="5"/>
  <c r="AK36" i="5"/>
  <c r="AJ36" i="5"/>
  <c r="AI36" i="5"/>
  <c r="AH36" i="5"/>
  <c r="AQ26" i="5"/>
  <c r="S74" i="12" s="1"/>
  <c r="I75" i="12" s="1"/>
  <c r="AP26" i="5"/>
  <c r="S73" i="12" s="1"/>
  <c r="AO26" i="5"/>
  <c r="AN26" i="5"/>
  <c r="S71" i="12" s="1"/>
  <c r="AM26" i="5"/>
  <c r="AD74" i="12" s="1"/>
  <c r="AL26" i="5"/>
  <c r="AD73" i="12" s="1"/>
  <c r="AK26" i="5"/>
  <c r="AD72" i="12" s="1"/>
  <c r="AJ26" i="5"/>
  <c r="AI26" i="5"/>
  <c r="AH26" i="5"/>
  <c r="AQ22" i="5"/>
  <c r="S60" i="12" s="1"/>
  <c r="I61" i="12" s="1"/>
  <c r="AP22" i="5"/>
  <c r="AO22" i="5"/>
  <c r="S58" i="12" s="1"/>
  <c r="AN22" i="5"/>
  <c r="S57" i="12" s="1"/>
  <c r="AM22" i="5"/>
  <c r="AL22" i="5"/>
  <c r="AD59" i="12" s="1"/>
  <c r="AK22" i="5"/>
  <c r="AD58" i="12" s="1"/>
  <c r="AJ22" i="5"/>
  <c r="AH22" i="5"/>
  <c r="AQ18" i="5"/>
  <c r="S46" i="12" s="1"/>
  <c r="I47" i="12" s="1"/>
  <c r="AP18" i="5"/>
  <c r="S45" i="12" s="1"/>
  <c r="AO18" i="5"/>
  <c r="AN18" i="5"/>
  <c r="AM18" i="5"/>
  <c r="AD46" i="12" s="1"/>
  <c r="AL18" i="5"/>
  <c r="AD45" i="12" s="1"/>
  <c r="AK18" i="5"/>
  <c r="AJ18" i="5"/>
  <c r="AI18" i="5"/>
  <c r="AH18" i="5"/>
  <c r="G18" i="5"/>
  <c r="AI22" i="5" s="1"/>
  <c r="AQ13" i="5"/>
  <c r="S46" i="11" s="1"/>
  <c r="I47" i="11" s="1"/>
  <c r="AP13" i="5"/>
  <c r="S45" i="11" s="1"/>
  <c r="AO13" i="5"/>
  <c r="S44" i="11" s="1"/>
  <c r="AN13" i="5"/>
  <c r="AM13" i="5"/>
  <c r="AL13" i="5"/>
  <c r="AD45" i="11" s="1"/>
  <c r="AK13" i="5"/>
  <c r="AD44" i="11" s="1"/>
  <c r="AJ13" i="5"/>
  <c r="AD43" i="11" s="1"/>
  <c r="AI13" i="5"/>
  <c r="AH13" i="5"/>
  <c r="D6" i="5"/>
  <c r="D5" i="5"/>
  <c r="R13" i="4"/>
  <c r="Q13" i="4"/>
  <c r="P13" i="4"/>
  <c r="I13" i="4"/>
  <c r="E7" i="4"/>
  <c r="D5" i="4"/>
  <c r="D4" i="4"/>
  <c r="O13" i="3"/>
  <c r="M13" i="3" a="1"/>
  <c r="M13" i="3"/>
  <c r="E13" i="3"/>
  <c r="E12" i="3"/>
  <c r="G12" i="3" s="1"/>
  <c r="E4" i="3"/>
  <c r="E59" i="2"/>
  <c r="E49" i="2"/>
  <c r="E41" i="2"/>
  <c r="E31" i="2"/>
  <c r="E27" i="2"/>
  <c r="E26" i="2"/>
  <c r="F25" i="2"/>
  <c r="E22" i="2"/>
  <c r="E21" i="2"/>
  <c r="F20" i="2"/>
  <c r="E19" i="2"/>
  <c r="I9" i="2"/>
  <c r="E5" i="2"/>
  <c r="E3" i="2"/>
  <c r="E2" i="2"/>
  <c r="B5" i="1"/>
  <c r="M2" i="55"/>
  <c r="Y25" i="64"/>
  <c r="M10" i="55"/>
  <c r="M10" i="54"/>
  <c r="AT47" i="31"/>
  <c r="AL46" i="23"/>
  <c r="AL7" i="22"/>
  <c r="AV8" i="20"/>
  <c r="AT7" i="31"/>
  <c r="AT47" i="30"/>
  <c r="AL7" i="28"/>
  <c r="AL48" i="25"/>
  <c r="AL46" i="22"/>
  <c r="AL7" i="21"/>
  <c r="AV51" i="20"/>
  <c r="AN49" i="18"/>
  <c r="AN49" i="17"/>
  <c r="AN49" i="16"/>
  <c r="AN49" i="15"/>
  <c r="AL46" i="28"/>
  <c r="AL46" i="27"/>
  <c r="AL46" i="24"/>
  <c r="AL46" i="21"/>
  <c r="AN8" i="17"/>
  <c r="GJ63" i="12"/>
  <c r="M2" i="54"/>
  <c r="AT7" i="30"/>
  <c r="AL8" i="25"/>
  <c r="AR55" i="19"/>
  <c r="AN8" i="16"/>
  <c r="AN8" i="14"/>
  <c r="AN49" i="13"/>
  <c r="AL7" i="27"/>
  <c r="AL7" i="24"/>
  <c r="AR8" i="19"/>
  <c r="AN8" i="15"/>
  <c r="AN49" i="14"/>
  <c r="AN8" i="18"/>
  <c r="GJ8" i="12"/>
  <c r="AN49" i="11"/>
  <c r="AN8" i="13"/>
  <c r="GJ77" i="12"/>
  <c r="AL7" i="23"/>
  <c r="AR56" i="19"/>
  <c r="GJ49" i="12"/>
  <c r="AN8" i="11"/>
  <c r="J13" i="3"/>
  <c r="S75" i="12" l="1"/>
  <c r="J76" i="12"/>
  <c r="K8" i="11"/>
  <c r="S8" i="11" s="1"/>
  <c r="S7" i="11"/>
  <c r="K8" i="18"/>
  <c r="S8" i="18" s="1"/>
  <c r="S7" i="18"/>
  <c r="S47" i="12"/>
  <c r="J48" i="12"/>
  <c r="S47" i="11"/>
  <c r="J48" i="11"/>
  <c r="J62" i="12"/>
  <c r="S61" i="12"/>
  <c r="I47" i="17"/>
  <c r="J48" i="17"/>
  <c r="S44" i="22"/>
  <c r="J45" i="22"/>
  <c r="S6" i="12"/>
  <c r="J7" i="12"/>
  <c r="I9" i="50"/>
  <c r="I26" i="40"/>
  <c r="M10" i="35"/>
  <c r="H14" i="34"/>
  <c r="I7" i="39"/>
  <c r="I10" i="38"/>
  <c r="H9" i="45"/>
  <c r="I10" i="37"/>
  <c r="I25" i="33"/>
  <c r="F224" i="48"/>
  <c r="F27" i="48"/>
  <c r="F289" i="48"/>
  <c r="F94" i="48"/>
  <c r="F159" i="48"/>
  <c r="G291" i="48"/>
  <c r="G96" i="48"/>
  <c r="G29" i="48"/>
  <c r="G226" i="48"/>
  <c r="G161" i="48"/>
  <c r="G231" i="48"/>
  <c r="G166" i="48"/>
  <c r="O19" i="64"/>
  <c r="G296" i="48"/>
  <c r="G101" i="48"/>
  <c r="G34" i="48"/>
  <c r="AD43" i="16"/>
  <c r="L19" i="64"/>
  <c r="S43" i="16"/>
  <c r="F299" i="48"/>
  <c r="F104" i="48"/>
  <c r="F37" i="48"/>
  <c r="F234" i="48"/>
  <c r="F169" i="48"/>
  <c r="G302" i="48"/>
  <c r="G237" i="48"/>
  <c r="G172" i="48"/>
  <c r="G107" i="48"/>
  <c r="G40" i="48"/>
  <c r="AD43" i="17"/>
  <c r="F175" i="48"/>
  <c r="F110" i="48"/>
  <c r="F43" i="48"/>
  <c r="F305" i="48"/>
  <c r="F240" i="48"/>
  <c r="G243" i="48"/>
  <c r="G178" i="48"/>
  <c r="G308" i="48"/>
  <c r="G113" i="48"/>
  <c r="G46" i="48"/>
  <c r="AD43" i="15"/>
  <c r="F311" i="48"/>
  <c r="F116" i="48"/>
  <c r="F49" i="48"/>
  <c r="F246" i="48"/>
  <c r="F181" i="48"/>
  <c r="G249" i="48"/>
  <c r="G184" i="48"/>
  <c r="G314" i="48"/>
  <c r="G119" i="48"/>
  <c r="G52" i="48"/>
  <c r="AC42" i="25"/>
  <c r="G317" i="48"/>
  <c r="G187" i="48"/>
  <c r="G252" i="48"/>
  <c r="AC41" i="21"/>
  <c r="G122" i="48"/>
  <c r="G55" i="48"/>
  <c r="F320" i="48"/>
  <c r="F255" i="48"/>
  <c r="F190" i="48"/>
  <c r="F125" i="48"/>
  <c r="F58" i="48"/>
  <c r="G323" i="48"/>
  <c r="G258" i="48"/>
  <c r="G193" i="48"/>
  <c r="G61" i="48"/>
  <c r="G128" i="48"/>
  <c r="AC41" i="23"/>
  <c r="F326" i="48"/>
  <c r="F261" i="48"/>
  <c r="F196" i="48"/>
  <c r="F64" i="48"/>
  <c r="J45" i="24"/>
  <c r="S44" i="24"/>
  <c r="G329" i="48"/>
  <c r="G134" i="48"/>
  <c r="G199" i="48"/>
  <c r="G264" i="48"/>
  <c r="F267" i="48"/>
  <c r="F332" i="48"/>
  <c r="F137" i="48"/>
  <c r="F202" i="48"/>
  <c r="F70" i="48"/>
  <c r="S45" i="30"/>
  <c r="J46" i="30"/>
  <c r="G335" i="48"/>
  <c r="G270" i="48"/>
  <c r="G205" i="48"/>
  <c r="G140" i="48"/>
  <c r="G73" i="48"/>
  <c r="AG42" i="31"/>
  <c r="F273" i="48"/>
  <c r="F143" i="48"/>
  <c r="F338" i="48"/>
  <c r="F76" i="48"/>
  <c r="F208" i="48"/>
  <c r="G341" i="48"/>
  <c r="G211" i="48"/>
  <c r="G276" i="48"/>
  <c r="AC41" i="27"/>
  <c r="G146" i="48"/>
  <c r="G79" i="48"/>
  <c r="F344" i="48"/>
  <c r="F279" i="48"/>
  <c r="F214" i="48"/>
  <c r="F149" i="48"/>
  <c r="F82" i="48"/>
  <c r="J45" i="28"/>
  <c r="S44" i="28"/>
  <c r="G347" i="48"/>
  <c r="G282" i="48"/>
  <c r="G217" i="48"/>
  <c r="G152" i="48"/>
  <c r="G85" i="48"/>
  <c r="AD46" i="29"/>
  <c r="AD45" i="13"/>
  <c r="S5" i="28"/>
  <c r="J6" i="28"/>
  <c r="I10" i="50"/>
  <c r="I11" i="38"/>
  <c r="I11" i="37"/>
  <c r="H10" i="45"/>
  <c r="M11" i="35"/>
  <c r="H15" i="34"/>
  <c r="I8" i="39"/>
  <c r="I27" i="40"/>
  <c r="I26" i="33"/>
  <c r="F221" i="48"/>
  <c r="F156" i="48"/>
  <c r="F286" i="48"/>
  <c r="F91" i="48"/>
  <c r="F24" i="48"/>
  <c r="O20" i="64"/>
  <c r="AD44" i="16"/>
  <c r="S44" i="16"/>
  <c r="L20" i="64"/>
  <c r="U55" i="19"/>
  <c r="L56" i="19"/>
  <c r="U56" i="19" s="1"/>
  <c r="I47" i="18"/>
  <c r="J48" i="18"/>
  <c r="J50" i="20"/>
  <c r="I49" i="20"/>
  <c r="S46" i="13"/>
  <c r="I47" i="13" s="1"/>
  <c r="S46" i="14"/>
  <c r="I47" i="14" s="1"/>
  <c r="S6" i="11"/>
  <c r="S6" i="13"/>
  <c r="J7" i="14"/>
  <c r="S7" i="17"/>
  <c r="K8" i="19"/>
  <c r="U7" i="19"/>
  <c r="U54" i="19"/>
  <c r="J6" i="30"/>
  <c r="S5" i="30"/>
  <c r="I11" i="50"/>
  <c r="I28" i="40"/>
  <c r="M12" i="35"/>
  <c r="I9" i="39"/>
  <c r="I12" i="38"/>
  <c r="I27" i="33"/>
  <c r="H16" i="34"/>
  <c r="I12" i="37"/>
  <c r="G224" i="48"/>
  <c r="G159" i="48"/>
  <c r="G94" i="48"/>
  <c r="G27" i="48"/>
  <c r="G289" i="48"/>
  <c r="G293" i="48"/>
  <c r="G163" i="48"/>
  <c r="G228" i="48"/>
  <c r="G98" i="48"/>
  <c r="G31" i="48"/>
  <c r="AD71" i="12"/>
  <c r="F296" i="48"/>
  <c r="F231" i="48"/>
  <c r="F166" i="48"/>
  <c r="F101" i="48"/>
  <c r="F34" i="48"/>
  <c r="O21" i="64"/>
  <c r="AD45" i="16"/>
  <c r="L21" i="64"/>
  <c r="S45" i="16"/>
  <c r="G299" i="48"/>
  <c r="G234" i="48"/>
  <c r="G37" i="48"/>
  <c r="G104" i="48"/>
  <c r="G169" i="48"/>
  <c r="AG49" i="19"/>
  <c r="F302" i="48"/>
  <c r="F237" i="48"/>
  <c r="F172" i="48"/>
  <c r="F40" i="48"/>
  <c r="G305" i="48"/>
  <c r="AD43" i="18"/>
  <c r="G110" i="48"/>
  <c r="G240" i="48"/>
  <c r="G175" i="48"/>
  <c r="F243" i="48"/>
  <c r="F113" i="48"/>
  <c r="F178" i="48"/>
  <c r="F46" i="48"/>
  <c r="G311" i="48"/>
  <c r="G246" i="48"/>
  <c r="G181" i="48"/>
  <c r="G49" i="48"/>
  <c r="G116" i="48"/>
  <c r="AB45" i="20"/>
  <c r="F249" i="48"/>
  <c r="F314" i="48"/>
  <c r="F184" i="48"/>
  <c r="F52" i="48"/>
  <c r="F119" i="48"/>
  <c r="F317" i="48"/>
  <c r="F122" i="48"/>
  <c r="F55" i="48"/>
  <c r="F252" i="48"/>
  <c r="J45" i="21"/>
  <c r="S44" i="21"/>
  <c r="G255" i="48"/>
  <c r="G190" i="48"/>
  <c r="G125" i="48"/>
  <c r="G58" i="48"/>
  <c r="AC41" i="22"/>
  <c r="G320" i="48"/>
  <c r="F128" i="48"/>
  <c r="F61" i="48"/>
  <c r="F258" i="48"/>
  <c r="F323" i="48"/>
  <c r="F193" i="48"/>
  <c r="S44" i="23"/>
  <c r="J45" i="23"/>
  <c r="G326" i="48"/>
  <c r="G261" i="48"/>
  <c r="G196" i="48"/>
  <c r="G131" i="48"/>
  <c r="G64" i="48"/>
  <c r="AC41" i="24"/>
  <c r="F199" i="48"/>
  <c r="F67" i="48"/>
  <c r="F329" i="48"/>
  <c r="F134" i="48"/>
  <c r="G267" i="48"/>
  <c r="G202" i="48"/>
  <c r="G137" i="48"/>
  <c r="G332" i="48"/>
  <c r="G70" i="48"/>
  <c r="AG42" i="30"/>
  <c r="F335" i="48"/>
  <c r="F73" i="48"/>
  <c r="F270" i="48"/>
  <c r="F205" i="48"/>
  <c r="F140" i="48"/>
  <c r="S45" i="31"/>
  <c r="J46" i="31"/>
  <c r="G273" i="48"/>
  <c r="G208" i="48"/>
  <c r="G143" i="48"/>
  <c r="G76" i="48"/>
  <c r="AD46" i="32"/>
  <c r="G338" i="48"/>
  <c r="F341" i="48"/>
  <c r="F79" i="48"/>
  <c r="F276" i="48"/>
  <c r="F211" i="48"/>
  <c r="F146" i="48"/>
  <c r="J45" i="27"/>
  <c r="S44" i="27"/>
  <c r="G279" i="48"/>
  <c r="G214" i="48"/>
  <c r="G149" i="48"/>
  <c r="G344" i="48"/>
  <c r="G82" i="48"/>
  <c r="AC41" i="28"/>
  <c r="F347" i="48"/>
  <c r="F217" i="48"/>
  <c r="F152" i="48"/>
  <c r="F85" i="48"/>
  <c r="F282" i="48"/>
  <c r="D37" i="7"/>
  <c r="D38" i="7" s="1"/>
  <c r="D39" i="7" s="1"/>
  <c r="AD57" i="12"/>
  <c r="S43" i="13"/>
  <c r="AD46" i="13"/>
  <c r="K8" i="16"/>
  <c r="S8" i="16" s="1"/>
  <c r="S7" i="16"/>
  <c r="S5" i="21"/>
  <c r="J6" i="21"/>
  <c r="J6" i="23"/>
  <c r="S5" i="23"/>
  <c r="K7" i="24"/>
  <c r="S7" i="24" s="1"/>
  <c r="S6" i="24"/>
  <c r="K7" i="27"/>
  <c r="S7" i="27" s="1"/>
  <c r="S6" i="27"/>
  <c r="K7" i="31"/>
  <c r="S7" i="31" s="1"/>
  <c r="S6" i="31"/>
  <c r="G67" i="48"/>
  <c r="F131" i="48"/>
  <c r="F308" i="48"/>
  <c r="G286" i="48"/>
  <c r="G91" i="48"/>
  <c r="G24" i="48"/>
  <c r="G221" i="48"/>
  <c r="G156" i="48"/>
  <c r="G5" i="48"/>
  <c r="L22" i="64"/>
  <c r="F23" i="64" s="1"/>
  <c r="S46" i="16"/>
  <c r="S47" i="15"/>
  <c r="J48" i="15"/>
  <c r="J47" i="25"/>
  <c r="I46" i="25"/>
  <c r="K48" i="25"/>
  <c r="S48" i="25" s="1"/>
  <c r="S7" i="13"/>
  <c r="S45" i="13"/>
  <c r="AD44" i="14"/>
  <c r="J7" i="15"/>
  <c r="S6" i="15"/>
  <c r="K51" i="20"/>
  <c r="S51" i="20" s="1"/>
  <c r="AD46" i="26"/>
  <c r="E70" i="33"/>
  <c r="K70" i="33" s="1"/>
  <c r="K69" i="33"/>
  <c r="H31" i="33" s="1"/>
  <c r="H136" i="33" s="1"/>
  <c r="I38" i="43"/>
  <c r="H39" i="43"/>
  <c r="H11" i="45"/>
  <c r="G2" i="48"/>
  <c r="J6" i="22"/>
  <c r="I36" i="43"/>
  <c r="H36" i="43" s="1"/>
  <c r="H15" i="43"/>
  <c r="K8" i="25"/>
  <c r="S8" i="25" s="1"/>
  <c r="I6" i="25"/>
  <c r="J7" i="25"/>
  <c r="H48" i="51"/>
  <c r="H47" i="51"/>
  <c r="H46" i="51"/>
  <c r="G48" i="51"/>
  <c r="H53" i="51"/>
  <c r="H50" i="51"/>
  <c r="H49" i="51"/>
  <c r="G53" i="51"/>
  <c r="G46" i="51"/>
  <c r="G47" i="51"/>
  <c r="G49" i="51"/>
  <c r="D48" i="61"/>
  <c r="D50" i="61"/>
  <c r="D49" i="61"/>
  <c r="D51" i="61"/>
  <c r="I48" i="43"/>
  <c r="H48" i="43" s="1"/>
  <c r="F10" i="54"/>
  <c r="F2" i="55"/>
  <c r="E5" i="62"/>
  <c r="U15" i="63"/>
  <c r="AA11" i="63"/>
  <c r="E24" i="52"/>
  <c r="M286" i="48"/>
  <c r="J46" i="51"/>
  <c r="E3" i="62"/>
  <c r="E30" i="62"/>
  <c r="E32" i="62"/>
  <c r="AA15" i="63"/>
  <c r="D43" i="7" l="1"/>
  <c r="D44" i="7" s="1"/>
  <c r="D45" i="7" s="1"/>
  <c r="D41" i="7"/>
  <c r="D40" i="7"/>
  <c r="S47" i="13"/>
  <c r="J48" i="13"/>
  <c r="K49" i="12"/>
  <c r="S49" i="12" s="1"/>
  <c r="S48" i="12"/>
  <c r="K8" i="15"/>
  <c r="S8" i="15" s="1"/>
  <c r="S7" i="15"/>
  <c r="K7" i="21"/>
  <c r="S7" i="21" s="1"/>
  <c r="S6" i="21"/>
  <c r="S45" i="27"/>
  <c r="K46" i="27"/>
  <c r="S46" i="27" s="1"/>
  <c r="S46" i="31"/>
  <c r="K47" i="31"/>
  <c r="S47" i="31" s="1"/>
  <c r="I31" i="33"/>
  <c r="I136" i="33" s="1"/>
  <c r="S62" i="12"/>
  <c r="K63" i="12"/>
  <c r="S63" i="12" s="1"/>
  <c r="I47" i="16"/>
  <c r="J48" i="16"/>
  <c r="K46" i="21"/>
  <c r="S46" i="21" s="1"/>
  <c r="S45" i="21"/>
  <c r="L9" i="19"/>
  <c r="U9" i="19" s="1"/>
  <c r="U8" i="19"/>
  <c r="K7" i="28"/>
  <c r="S7" i="28" s="1"/>
  <c r="S6" i="28"/>
  <c r="S7" i="12"/>
  <c r="K8" i="12"/>
  <c r="S8" i="12" s="1"/>
  <c r="S48" i="17"/>
  <c r="K49" i="17"/>
  <c r="S49" i="17" s="1"/>
  <c r="S48" i="11"/>
  <c r="K49" i="11"/>
  <c r="S49" i="11" s="1"/>
  <c r="K77" i="12"/>
  <c r="S77" i="12" s="1"/>
  <c r="S76" i="12"/>
  <c r="S48" i="15"/>
  <c r="K49" i="15"/>
  <c r="S49" i="15" s="1"/>
  <c r="S6" i="23"/>
  <c r="K7" i="23"/>
  <c r="S7" i="23" s="1"/>
  <c r="S45" i="23"/>
  <c r="K46" i="23"/>
  <c r="S46" i="23" s="1"/>
  <c r="S7" i="14"/>
  <c r="K8" i="14"/>
  <c r="S8" i="14" s="1"/>
  <c r="K46" i="28"/>
  <c r="S46" i="28" s="1"/>
  <c r="S45" i="28"/>
  <c r="K46" i="22"/>
  <c r="S46" i="22" s="1"/>
  <c r="S45" i="22"/>
  <c r="S6" i="22"/>
  <c r="K7" i="22"/>
  <c r="S7" i="22" s="1"/>
  <c r="H38" i="43"/>
  <c r="I58" i="43"/>
  <c r="H58" i="43" s="1"/>
  <c r="G24" i="64"/>
  <c r="L23" i="64"/>
  <c r="K7" i="30"/>
  <c r="S7" i="30" s="1"/>
  <c r="S6" i="30"/>
  <c r="J48" i="14"/>
  <c r="S47" i="14"/>
  <c r="S48" i="18"/>
  <c r="K49" i="18"/>
  <c r="S49" i="18" s="1"/>
  <c r="K47" i="30"/>
  <c r="S47" i="30" s="1"/>
  <c r="S46" i="30"/>
  <c r="S45" i="24"/>
  <c r="K46" i="24"/>
  <c r="S46" i="24" s="1"/>
  <c r="S48" i="16" l="1"/>
  <c r="K49" i="16"/>
  <c r="S49" i="16" s="1"/>
  <c r="H25" i="64"/>
  <c r="L25" i="64" s="1"/>
  <c r="L24" i="64"/>
  <c r="K49" i="14"/>
  <c r="S49" i="14" s="1"/>
  <c r="S48" i="14"/>
  <c r="S48" i="13"/>
  <c r="K49" i="13"/>
  <c r="S49" i="13" s="1"/>
  <c r="D51" i="7"/>
  <c r="D49" i="7"/>
  <c r="D46"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<sst xmlns="http://schemas.openxmlformats.org/spreadsheetml/2006/main" count="13453" uniqueCount="3251">
  <si>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</si>
  <si>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</si>
  <si>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</si>
  <si>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</si>
  <si>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</si>
  <si>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</si>
  <si>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</si>
  <si>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</si>
  <si>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</si>
  <si>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</si>
  <si>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</si>
  <si>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</si>
  <si>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</si>
  <si>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27030253</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</si>
  <si>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</si>
  <si>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</si>
  <si>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</si>
  <si>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</si>
  <si>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</si>
  <si>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</si>
  <si>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</si>
  <si>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</si>
  <si>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</si>
  <si>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</si>
  <si>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</si>
  <si>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</si>
  <si>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</si>
  <si>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</si>
  <si>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</si>
  <si>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</si>
  <si>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</si>
  <si>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</si>
  <si>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</si>
  <si>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</si>
  <si>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</si>
  <si>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</si>
  <si>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</si>
  <si>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</si>
  <si>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</si>
  <si>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</si>
  <si>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</si>
  <si>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39/2</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</si>
  <si>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</si>
  <si>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</si>
  <si>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</si>
  <si>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https://npa.gov-murman.ru/upload/iblock/8ff/39_2-ao-mes-2017_2027.pdf</t>
  </si>
  <si>
    <t>Открывается, если Тип отчёта "изменения в раскрытой ранее информации"</t>
  </si>
  <si>
    <t>51/110</t>
  </si>
  <si>
    <t>Наименование органа регулирования, принявшего решение об изменении тарифов</t>
  </si>
  <si>
    <t>https://npa.gov-murman.ru/bitrix/components/b1team/govmurman.element.file/download.php?ID=537820&amp;FID=814582</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</si>
  <si>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</si>
  <si>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</si>
  <si>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</si>
  <si>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</si>
  <si>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</si>
  <si>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</si>
  <si>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</si>
  <si>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</si>
  <si>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</si>
  <si>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</si>
  <si>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</si>
  <si>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</si>
  <si>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</si>
  <si>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</si>
  <si>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</si>
  <si>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</si>
  <si>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</si>
  <si>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</si>
  <si>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</si>
  <si>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</si>
  <si>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</si>
  <si>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</si>
  <si>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</si>
  <si>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</si>
  <si>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183038, г. Мурманск, ул. Свердлова, д. 39, корп.1</t>
  </si>
  <si>
    <t>Фамилия, имя, отчество руководителя</t>
  </si>
  <si>
    <t>Лыженков Алексей Германович</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</si>
  <si>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</si>
  <si>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</si>
  <si>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</si>
  <si>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</si>
  <si>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</si>
  <si>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</si>
  <si>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</si>
  <si>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</si>
  <si>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</si>
  <si>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</si>
  <si>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</si>
  <si>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</si>
  <si>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</si>
  <si>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</si>
  <si>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</si>
  <si>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</si>
  <si>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</si>
  <si>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</si>
  <si>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</si>
  <si>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</si>
  <si>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</si>
  <si>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</si>
  <si>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</si>
  <si>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</si>
  <si>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</si>
  <si>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</si>
  <si>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t>
  </si>
  <si>
    <t>ЗАТО поселок Видяево</t>
  </si>
  <si>
    <t>47735000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</si>
  <si>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</si>
  <si>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</si>
  <si>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</si>
  <si>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</si>
  <si>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</si>
  <si>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</si>
  <si>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</si>
  <si>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</si>
  <si>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</si>
  <si>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</si>
  <si>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</si>
  <si>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</si>
  <si>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</si>
  <si>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</si>
  <si>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</si>
  <si>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</si>
  <si>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</si>
  <si>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</si>
  <si>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</si>
  <si>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</si>
  <si>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</si>
  <si>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</si>
  <si>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</si>
  <si>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</si>
  <si>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</si>
  <si>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</si>
  <si>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</si>
  <si>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</si>
  <si>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</si>
  <si>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</si>
  <si>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</si>
  <si>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</si>
  <si>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</si>
  <si>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</si>
  <si>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</si>
  <si>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</si>
  <si>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</si>
  <si>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</si>
  <si>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</si>
  <si>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</si>
  <si>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</si>
  <si>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</si>
  <si>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</si>
  <si>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</si>
  <si>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</si>
  <si>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</si>
  <si>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</si>
  <si>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</si>
  <si>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</si>
  <si>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</si>
  <si>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</si>
  <si>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</si>
  <si>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</si>
  <si>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</si>
  <si>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</si>
  <si>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</si>
  <si>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</si>
  <si>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</si>
  <si>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потребителям</t>
  </si>
  <si>
    <t>Тариф установлен без НДС.</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</si>
  <si>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</si>
  <si>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</si>
  <si>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</si>
  <si>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</si>
  <si>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</si>
  <si>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</si>
  <si>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</si>
  <si>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</si>
  <si>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</si>
  <si>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</si>
  <si>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Льготные тарифы на тепловую энергию, поставляемую группе потребителей "население"</t>
  </si>
  <si>
    <t>Тарифы указываются с учетом НДС в целях реализации пункта 6 статьи 168 Налогового кодекса Российской Федерации (часть вторая).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применяются при расчетах платы населению за коммунальные услуги.</t>
  </si>
  <si>
    <t>pt_ntar_30</t>
  </si>
  <si>
    <t>pt_ter_30</t>
  </si>
  <si>
    <t>pt_cs_30</t>
  </si>
  <si>
    <t>pt_ist_te_30</t>
  </si>
  <si>
    <t>Льготные тарифы на тепловую энергию, поставляемую группе потребителей "потребители (кроме населения)"</t>
  </si>
  <si>
    <t>Тарифы установлены без НДС. Тарифы установлены в соответствии с Законом Мурманской области от 13.12.2013 № 1697-01-ЗМО "О льготных тарифах на тепловую энергию (мощность), теплоноситель в Мурманской области".                             Тарифы действуют с 01.01.2022.</t>
  </si>
  <si>
    <t>pt_ntar_301</t>
  </si>
  <si>
    <t>pt_ter_31</t>
  </si>
  <si>
    <t>pt_cs_31</t>
  </si>
  <si>
    <t>pt_ist_te_31</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</si>
  <si>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</si>
  <si>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</si>
  <si>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</si>
  <si>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</si>
  <si>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</si>
  <si>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</si>
  <si>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</si>
  <si>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</si>
  <si>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</si>
  <si>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</si>
  <si>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</si>
  <si>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</si>
  <si>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</si>
  <si>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</si>
  <si>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</si>
  <si>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</si>
  <si>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</si>
  <si>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</si>
  <si>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</si>
  <si>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</si>
  <si>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</si>
  <si>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</si>
  <si>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</si>
  <si>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</si>
  <si>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</si>
  <si>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</si>
  <si>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</si>
  <si>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</si>
  <si>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</si>
  <si>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</si>
  <si>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</si>
  <si>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</si>
  <si>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</si>
  <si>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</si>
  <si>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</si>
  <si>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</si>
  <si>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</si>
  <si>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</si>
  <si>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</si>
  <si>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</si>
  <si>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</si>
  <si>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</si>
  <si>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</si>
  <si>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</si>
  <si>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</si>
  <si>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</si>
  <si>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</si>
  <si>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</si>
  <si>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</si>
  <si>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</si>
  <si>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</si>
  <si>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</si>
  <si>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</si>
  <si>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</si>
  <si>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</si>
  <si>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</si>
  <si>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</si>
  <si>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</si>
  <si>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</si>
  <si>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</si>
  <si>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</si>
  <si>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</si>
  <si>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</si>
  <si>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</si>
  <si>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</si>
  <si>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</si>
  <si>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</si>
  <si>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</si>
  <si>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</si>
  <si>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</si>
  <si>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</si>
  <si>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</si>
  <si>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</si>
  <si>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</si>
  <si>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</si>
  <si>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</si>
  <si>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</si>
  <si>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</si>
  <si>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</si>
  <si>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</si>
  <si>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</si>
  <si>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</si>
  <si>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</si>
  <si>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</si>
  <si>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</si>
  <si>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</si>
  <si>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</si>
  <si>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</si>
  <si>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</si>
  <si>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</si>
  <si>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</si>
  <si>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</si>
  <si>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</si>
  <si>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</si>
  <si>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</si>
  <si>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</si>
  <si>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</si>
  <si>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</si>
  <si>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</si>
  <si>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</si>
  <si>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</si>
  <si>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</si>
  <si>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</si>
  <si>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</si>
  <si>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</si>
  <si>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</si>
  <si>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</si>
  <si>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</si>
  <si>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</si>
  <si>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</si>
  <si>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</si>
  <si>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</si>
  <si>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</si>
  <si>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</si>
  <si>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</si>
  <si>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</si>
  <si>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</si>
  <si>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</si>
  <si>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</si>
  <si>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</si>
  <si>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</si>
  <si>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</si>
  <si>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</si>
  <si>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</si>
  <si>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</si>
  <si>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</si>
  <si>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</si>
  <si>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</si>
  <si>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</si>
  <si>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</si>
  <si>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</si>
  <si>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</si>
  <si>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</si>
  <si>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</si>
  <si>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</si>
  <si>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</si>
  <si>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</si>
  <si>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</si>
  <si>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</si>
  <si>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</si>
  <si>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</si>
  <si>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</si>
  <si>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</si>
  <si>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</si>
  <si>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</si>
  <si>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</si>
  <si>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</si>
  <si>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</si>
  <si>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</si>
  <si>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</si>
  <si>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</si>
  <si>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</si>
  <si>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</si>
  <si>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</si>
  <si>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</si>
  <si>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</si>
  <si>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</si>
  <si>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</si>
  <si>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</si>
  <si>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</si>
  <si>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</si>
  <si>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</si>
  <si>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</si>
  <si>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</si>
  <si>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</si>
  <si>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</si>
  <si>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</si>
  <si>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</si>
  <si>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</si>
  <si>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</si>
  <si>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</si>
  <si>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</si>
  <si>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</si>
  <si>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</si>
  <si>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</si>
  <si>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</si>
  <si>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</si>
  <si>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</si>
  <si>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</si>
  <si>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</si>
  <si>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</si>
  <si>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</si>
  <si>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</si>
  <si>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</si>
  <si>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</si>
  <si>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</si>
  <si>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</si>
  <si>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</si>
  <si>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</si>
  <si>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</si>
  <si>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</si>
  <si>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</si>
  <si>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</si>
  <si>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</si>
  <si>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</si>
  <si>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</si>
  <si>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</si>
  <si>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</si>
  <si>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</si>
  <si>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</si>
  <si>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</si>
  <si>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</si>
  <si>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</si>
  <si>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</si>
  <si>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</si>
  <si>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</si>
  <si>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</si>
  <si>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</si>
  <si>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</si>
  <si>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</si>
  <si>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</si>
  <si>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</si>
  <si>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</si>
  <si>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</si>
  <si>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</si>
  <si>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</si>
  <si>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</si>
  <si>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</si>
  <si>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</si>
  <si>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</si>
  <si>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</si>
  <si>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</si>
  <si>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</si>
  <si>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</si>
  <si>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</si>
  <si>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</si>
  <si>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</si>
  <si>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</si>
  <si>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</si>
  <si>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</si>
  <si>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</si>
  <si>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</si>
  <si>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</si>
  <si>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</si>
  <si>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</si>
  <si>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</si>
  <si>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</si>
  <si>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</si>
  <si>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</si>
  <si>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</si>
  <si>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</si>
  <si>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</si>
  <si>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</si>
  <si>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</si>
  <si>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</si>
  <si>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</si>
  <si>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</si>
  <si>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</si>
  <si>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</si>
  <si>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</si>
  <si>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</si>
  <si>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</si>
  <si>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</si>
  <si>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</si>
  <si>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</si>
  <si>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</si>
  <si>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</si>
  <si>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</si>
  <si>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</si>
  <si>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</si>
  <si>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</si>
  <si>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</si>
  <si>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</si>
  <si>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</si>
  <si>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</si>
  <si>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</si>
  <si>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</si>
  <si>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</si>
  <si>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</si>
  <si>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</si>
  <si>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</si>
  <si>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</si>
  <si>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</si>
  <si>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</si>
  <si>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</si>
  <si>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</si>
  <si>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</si>
  <si>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</si>
  <si>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</si>
  <si>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</si>
  <si>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</si>
  <si>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</si>
  <si>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</si>
  <si>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</si>
  <si>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</si>
  <si>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</si>
  <si>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</si>
  <si>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</si>
  <si>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</si>
  <si>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</si>
  <si>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</si>
  <si>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</si>
  <si>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</si>
  <si>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</si>
  <si>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</si>
  <si>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</si>
  <si>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</si>
  <si>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</si>
  <si>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</si>
  <si>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</si>
  <si>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</si>
  <si>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</si>
  <si>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</si>
  <si>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</si>
  <si>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</si>
  <si>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</si>
  <si>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</si>
  <si>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</si>
  <si>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</si>
  <si>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</si>
  <si>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</si>
  <si>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</si>
  <si>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</si>
  <si>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</si>
  <si>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</si>
  <si>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</si>
  <si>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</si>
  <si>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</si>
  <si>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</si>
  <si>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</si>
  <si>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</si>
  <si>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</si>
  <si>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</si>
  <si>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</si>
  <si>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</si>
  <si>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</si>
  <si>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</si>
  <si>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</si>
  <si>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</si>
  <si>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</si>
  <si>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</si>
  <si>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</si>
  <si>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</si>
  <si>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</si>
  <si>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</si>
  <si>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</si>
  <si>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</si>
  <si>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</si>
  <si>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</si>
  <si>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</si>
  <si>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</si>
  <si>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</si>
  <si>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</si>
  <si>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</si>
  <si>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</si>
  <si>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</si>
  <si>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</si>
  <si>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</si>
  <si>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</si>
  <si>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</si>
  <si>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</si>
  <si>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</si>
  <si>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</si>
  <si>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</si>
  <si>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</si>
  <si>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</si>
  <si>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</si>
  <si>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</si>
  <si>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</si>
  <si>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</si>
  <si>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</si>
  <si>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</si>
  <si>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</si>
  <si>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</si>
  <si>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</si>
  <si>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</si>
  <si>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</si>
  <si>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</si>
  <si>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</si>
  <si>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</si>
  <si>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</si>
  <si>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</si>
  <si>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</si>
  <si>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</si>
  <si>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</si>
  <si>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</si>
  <si>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</si>
  <si>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</si>
  <si>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</si>
  <si>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</si>
  <si>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</si>
  <si>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</si>
  <si>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</si>
  <si>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</si>
  <si>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</si>
  <si>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</si>
  <si>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</si>
  <si>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</si>
  <si>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</si>
  <si>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</si>
  <si>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</si>
  <si>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</si>
  <si>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</si>
  <si>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</si>
  <si>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</si>
  <si>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</si>
  <si>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</si>
  <si>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</si>
  <si>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</si>
  <si>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</si>
  <si>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</si>
  <si>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</si>
  <si>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</si>
  <si>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</si>
  <si>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</si>
  <si>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</si>
  <si>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</si>
  <si>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</si>
  <si>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</si>
  <si>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</si>
  <si>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</si>
  <si>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</si>
  <si>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</si>
  <si>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</si>
  <si>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</si>
  <si>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</si>
  <si>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</si>
  <si>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</si>
  <si>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</si>
  <si>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</si>
  <si>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</si>
  <si>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</si>
  <si>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</si>
  <si>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</si>
  <si>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</si>
  <si>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</si>
  <si>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</si>
  <si>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</si>
  <si>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</si>
  <si>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</si>
  <si>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</si>
  <si>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</si>
  <si>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</si>
  <si>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</si>
  <si>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</si>
  <si>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</si>
  <si>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</si>
  <si>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</si>
  <si>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</si>
  <si>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</si>
  <si>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</si>
  <si>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</si>
  <si>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</si>
  <si>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</si>
  <si>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</si>
  <si>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</si>
  <si>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</si>
  <si>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</si>
  <si>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</si>
  <si>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</si>
  <si>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</si>
  <si>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</si>
  <si>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</si>
  <si>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</si>
  <si>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</si>
  <si>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</si>
  <si>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</si>
  <si>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</si>
  <si>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</si>
  <si>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</si>
  <si>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</si>
  <si>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</si>
  <si>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</si>
  <si>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</si>
  <si>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</si>
  <si>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</si>
  <si>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</si>
  <si>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</si>
  <si>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</si>
  <si>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</si>
  <si>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</si>
  <si>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</si>
  <si>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</si>
  <si>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</si>
  <si>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</si>
  <si>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</si>
  <si>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</si>
  <si>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</si>
  <si>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</si>
  <si>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</si>
  <si>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</si>
  <si>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</si>
  <si>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</si>
  <si>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</si>
  <si>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</si>
  <si>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</si>
  <si>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</si>
  <si>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</si>
  <si>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</si>
  <si>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</si>
  <si>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</si>
  <si>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</si>
  <si>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</si>
  <si>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</si>
  <si>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</si>
  <si>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</si>
  <si>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</si>
  <si>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</si>
  <si>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</si>
  <si>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</si>
  <si>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</si>
  <si>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</si>
  <si>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</si>
  <si>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</si>
  <si>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</si>
  <si>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</si>
  <si>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</si>
  <si>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</si>
  <si>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</si>
  <si>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</si>
  <si>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</si>
  <si>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</si>
  <si>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</si>
  <si>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</si>
  <si>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</si>
  <si>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</si>
  <si>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</si>
  <si>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</si>
  <si>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</si>
  <si>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</si>
  <si>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</si>
  <si>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</si>
  <si>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</si>
  <si>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</si>
  <si>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</si>
  <si>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</si>
  <si>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</si>
  <si>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</si>
  <si>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</si>
  <si>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</si>
  <si>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</si>
  <si>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</si>
  <si>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</si>
  <si>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</si>
  <si>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</si>
  <si>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</si>
  <si>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</si>
  <si>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</si>
  <si>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</si>
  <si>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</si>
  <si>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</si>
  <si>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</si>
  <si>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</si>
  <si>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</si>
  <si>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</si>
  <si>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</si>
  <si>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</si>
  <si>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</si>
  <si>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</si>
  <si>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</si>
  <si>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</si>
  <si>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</si>
  <si>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</si>
  <si>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</si>
  <si>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</si>
  <si>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</si>
  <si>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</si>
  <si>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</si>
  <si>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</si>
  <si>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</si>
  <si>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</si>
  <si>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</si>
  <si>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</si>
  <si>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</si>
  <si>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</si>
  <si>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</si>
  <si>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</si>
  <si>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</si>
  <si>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</si>
  <si>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</si>
  <si>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</si>
  <si>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</si>
  <si>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</si>
  <si>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</si>
  <si>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</si>
  <si>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</si>
  <si>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</si>
  <si>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</si>
  <si>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</si>
  <si>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</si>
  <si>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</si>
  <si>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</si>
  <si>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</si>
  <si>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</si>
  <si>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</si>
  <si>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</si>
  <si>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</si>
  <si>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</si>
  <si>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</si>
  <si>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</si>
  <si>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</si>
  <si>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</si>
  <si>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</si>
  <si>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</si>
  <si>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</si>
  <si>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</si>
  <si>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</si>
  <si>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</si>
  <si>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</si>
  <si>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</si>
  <si>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</si>
  <si>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</si>
  <si>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</si>
  <si>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</si>
  <si>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</si>
  <si>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</si>
  <si>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</si>
  <si>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</si>
  <si>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</si>
  <si>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</si>
  <si>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</si>
  <si>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</si>
  <si>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</si>
  <si>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</si>
  <si>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</si>
  <si>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</si>
  <si>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</si>
  <si>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</si>
  <si>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</si>
  <si>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</si>
  <si>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</si>
  <si>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</si>
  <si>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</si>
  <si>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</si>
  <si>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</si>
  <si>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</si>
  <si>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</si>
  <si>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</si>
  <si>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</si>
  <si>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</si>
  <si>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</si>
  <si>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</si>
  <si>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</si>
  <si>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</si>
  <si>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</si>
  <si>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</si>
  <si>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</si>
  <si>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</si>
  <si>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</si>
  <si>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</si>
  <si>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</si>
  <si>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</si>
  <si>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</si>
  <si>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</si>
  <si>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</si>
  <si>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</si>
  <si>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</si>
  <si>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</si>
  <si>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</si>
  <si>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</si>
  <si>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</si>
  <si>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</si>
  <si>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</si>
  <si>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</si>
  <si>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</si>
  <si>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</si>
  <si>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</si>
  <si>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</si>
  <si>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</si>
  <si>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</si>
  <si>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</si>
  <si>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</si>
  <si>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</si>
  <si>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</si>
  <si>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</si>
  <si>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</si>
  <si>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</si>
  <si>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</si>
  <si>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</si>
  <si>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</si>
  <si>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</si>
  <si>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</si>
  <si>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</si>
  <si>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</si>
  <si>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</si>
  <si>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</si>
  <si>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</si>
  <si>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</si>
  <si>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</si>
  <si>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</si>
  <si>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</si>
  <si>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</si>
  <si>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</si>
  <si>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</si>
  <si>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</si>
  <si>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</si>
  <si>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</si>
  <si>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</si>
  <si>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</si>
  <si>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</si>
  <si>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</si>
  <si>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</si>
  <si>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</si>
  <si>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</si>
  <si>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</si>
  <si>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</si>
  <si>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</si>
  <si>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</si>
  <si>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</si>
  <si>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</si>
  <si>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</si>
  <si>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</si>
  <si>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</si>
  <si>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</si>
  <si>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</si>
  <si>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</si>
  <si>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</si>
  <si>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</si>
  <si>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</si>
  <si>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</si>
  <si>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</si>
  <si>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</si>
  <si>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</si>
  <si>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</si>
  <si>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</si>
  <si>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</si>
  <si>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</si>
  <si>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</si>
  <si>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</si>
  <si>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</si>
  <si>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</si>
  <si>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</si>
  <si>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</si>
  <si>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</si>
  <si>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</si>
  <si>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</si>
  <si>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</si>
  <si>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</si>
  <si>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</si>
  <si>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</si>
  <si>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</si>
  <si>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</si>
  <si>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</si>
  <si>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</si>
  <si>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</si>
  <si>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</si>
  <si>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</si>
  <si>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</si>
  <si>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</si>
  <si>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</si>
  <si>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</si>
  <si>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</si>
  <si>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</si>
  <si>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</si>
  <si>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</si>
  <si>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</si>
  <si>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</si>
  <si>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</si>
  <si>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</si>
  <si>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</si>
  <si>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</si>
  <si>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</si>
  <si>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</si>
  <si>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</si>
  <si>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</si>
  <si>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</si>
  <si>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</si>
  <si>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</si>
  <si>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</si>
  <si>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</si>
  <si>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</si>
  <si>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</si>
  <si>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</si>
  <si>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</si>
  <si>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</si>
  <si>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</si>
  <si>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</si>
  <si>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</si>
  <si>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</si>
  <si>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</si>
  <si>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</si>
  <si>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</si>
  <si>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</si>
  <si>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</si>
  <si>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</si>
  <si>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</si>
  <si>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</si>
  <si>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</si>
  <si>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</si>
  <si>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</si>
  <si>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</si>
  <si>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</si>
  <si>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</si>
  <si>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</si>
  <si>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</si>
  <si>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</si>
  <si>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</si>
  <si>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</si>
  <si>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</si>
  <si>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</si>
  <si>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</si>
  <si>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</si>
  <si>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</si>
  <si>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</si>
  <si>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</si>
  <si>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</si>
  <si>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</si>
  <si>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</si>
  <si>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</si>
  <si>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</si>
  <si>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</si>
  <si>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</si>
  <si>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</si>
  <si>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</si>
  <si>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</si>
  <si>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</si>
  <si>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</si>
  <si>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</si>
  <si>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</si>
  <si>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</si>
  <si>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</si>
  <si>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</si>
  <si>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</si>
  <si>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</si>
  <si>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</si>
  <si>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</si>
  <si>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</si>
  <si>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</si>
  <si>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</si>
  <si>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</si>
  <si>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</si>
  <si>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</si>
  <si>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</si>
  <si>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</si>
  <si>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</si>
  <si>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</si>
  <si>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</si>
  <si>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</si>
  <si>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</si>
  <si>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</si>
  <si>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</si>
  <si>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</si>
  <si>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</si>
  <si>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</si>
  <si>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</si>
  <si>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</si>
  <si>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</si>
  <si>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</si>
  <si>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</si>
  <si>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</si>
  <si>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</si>
  <si>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</si>
  <si>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</si>
  <si>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</si>
  <si>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</si>
  <si>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</si>
  <si>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</si>
  <si>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</si>
  <si>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</si>
  <si>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</si>
  <si>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</si>
  <si>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</si>
  <si>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</si>
  <si>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</si>
  <si>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</si>
  <si>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</si>
  <si>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</si>
  <si>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</si>
  <si>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</si>
  <si>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</si>
  <si>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</si>
  <si>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</si>
  <si>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</si>
  <si>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</si>
  <si>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</si>
  <si>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</si>
  <si>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</si>
  <si>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</si>
  <si>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</si>
  <si>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</si>
  <si>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</si>
  <si>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</si>
  <si>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</si>
  <si>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</si>
  <si>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</si>
  <si>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</si>
  <si>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</si>
  <si>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</si>
  <si>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</si>
  <si>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</si>
  <si>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</si>
  <si>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</si>
  <si>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</si>
  <si>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</si>
  <si>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</si>
  <si>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</si>
  <si>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</si>
  <si>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</si>
  <si>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</si>
  <si>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</si>
  <si>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</si>
  <si>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</si>
  <si>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</si>
  <si>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</si>
  <si>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</si>
  <si>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</si>
  <si>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</si>
  <si>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</si>
  <si>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</si>
  <si>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</si>
  <si>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</si>
  <si>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</si>
  <si>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</si>
  <si>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</si>
  <si>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</si>
  <si>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</si>
  <si>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</si>
  <si>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</si>
  <si>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</si>
  <si>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</si>
  <si>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</si>
  <si>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</si>
  <si>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</si>
  <si>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</si>
  <si>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</si>
  <si>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</si>
  <si>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</si>
  <si>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</si>
  <si>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</si>
  <si>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</si>
  <si>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</si>
  <si>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</si>
  <si>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</si>
  <si>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</si>
  <si>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</si>
  <si>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</si>
  <si>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</si>
  <si>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</si>
  <si>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</si>
  <si>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</si>
  <si>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</si>
  <si>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</si>
  <si>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</si>
  <si>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</si>
  <si>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</si>
  <si>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</si>
  <si>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</si>
  <si>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</si>
  <si>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</si>
  <si>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</si>
  <si>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</si>
  <si>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</si>
  <si>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</si>
  <si>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</si>
  <si>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</si>
  <si>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</si>
  <si>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</si>
  <si>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</si>
  <si>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</si>
  <si>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</si>
  <si>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</si>
  <si>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</si>
  <si>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</si>
  <si>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</si>
  <si>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</si>
  <si>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</si>
  <si>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</si>
  <si>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</si>
  <si>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</si>
  <si>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</si>
  <si>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</si>
  <si>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</si>
  <si>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</si>
  <si>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</si>
  <si>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</si>
  <si>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</si>
  <si>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</si>
  <si>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</si>
  <si>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</si>
  <si>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https://portal.eias.ru/Portal/DownloadPage.aspx?type=12&amp;guid=ca1dfc22-ac66-4dfc-8d6b-e4675d2519b2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</si>
  <si>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</si>
  <si>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https://portal.eias.ru/Portal/DownloadPage.aspx?type=12&amp;guid=5081c4e0-019d-43c4-8f2a-87592ccedaef</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</si>
  <si>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 с датой выдачи не ранее 30 дней), заверенные заявителем"</t>
  </si>
  <si>
    <t>https://portal.eias.ru/Portal/DownloadPage.aspx?type=12&amp;guid=ff220950-82d1-4d1f-8a71-986a6f24acd5</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</si>
  <si>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</si>
  <si>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</si>
  <si>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</si>
  <si>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копии документов, подтверждающих полномочия лица, действующего от имени заявителя (в случае если заявка подается представителем заявителя), заверенные заявителем</t>
  </si>
  <si>
    <t>для юридических лиц - копии учредительных документов, действующие банковские реквизиты, заверенные заявителем, для индивидуальных предпринимателей - копии основного государственного регистрационного номера индивидуального предпринимателя и идентификационного номера налогоплательщика, заверенные заявителем, действующие банковские реквизиты, для физических лиц - копии паспорта или иного удостоверяющего личность документа и идентификационного номера налогоплательщика, заверенные заявителем</t>
  </si>
  <si>
    <t>"при наличии утвержденная комплексная схема инженерного обеспечения территории, утвержденный проект планировки территории и (или) разрешение на строительство"</t>
  </si>
  <si>
    <t>в случае строительства объектов федерального значения, объектов регионального значения, объектов местного значения вместо 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могут прилагаться следующие документы (при этом договор о подключении должен содержать обязательства заявителя по представлению исполнителю копий правоустанавливающих документов на земельный участок, заверенных заявителем, в срок, установленный договором о подключении):</t>
  </si>
  <si>
    <t>3.8</t>
  </si>
  <si>
    <t>"решение о предварительном согласовании предоставления земельного участка в целях строительства объектов капитального строительства; копия утвержденного проекта межевания территории и (или) градостроительного плана земельного участка, заверенная заявителем; схема расположения земельного участка (земельных участков) на кадастровом плане территории; документ о характерных точках границ земельного участка в системе координат, установленной для ведения Единого государственного реестра недвижимости в соответствии с Федеральным законом ""О государственной регистрации недвижимости"", на котором планируется осуществить строительство (реконструкцию, модернизацию) подключаемого объекта;"</t>
  </si>
  <si>
    <t>3.9</t>
  </si>
  <si>
    <t>"в случае подключения к системам теплоснабжения объекта при уступке права на использование тепловой мощности к заявке дополнительно прилагаются: документ о проведении энергетического обследования объекта капитального строительства (в случае, если уступка осуществляется в отношении части тепловой нагрузки объекта капитального строительства); документ о согласии иных собственников или владельцев помещений в объекте теплопотребления; документ о подтверждении теплоснабжающей или теплосетевой организацией соблюдения безопасного гидравлического и температурного режимов системы теплоснабжения; согласие в письменной форме теплоснабжающей или теплосетевой организации на переуступку права на использование мощности; копии акта о подключении или иных документов, подтверждающих параметры подключения; заверенная сторонами копия соглашения об уступке права на использование мощности;"</t>
  </si>
  <si>
    <t>3.10</t>
  </si>
  <si>
    <t>документы, удостоверяющие размер снижения тепловой нагрузки и подтверждающие соблюдение требований положений законодательства Российской Федерации об установлении, изменении (пересмотре) тепловых нагрузок, а также требований к безопасной эксплуатации зданий и сооружений.</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</si>
  <si>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</si>
  <si>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</si>
  <si>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</si>
  <si>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</si>
  <si>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</si>
  <si>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</si>
  <si>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</si>
  <si>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183038,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</si>
  <si>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</si>
  <si>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</si>
  <si>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183038,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</si>
  <si>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</si>
  <si>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</si>
  <si>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</si>
  <si>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</si>
  <si>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</si>
  <si>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</si>
  <si>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</si>
  <si>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</si>
  <si>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</si>
  <si>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</si>
  <si>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</si>
  <si>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</si>
  <si>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</si>
  <si>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</si>
  <si>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</si>
  <si>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</si>
  <si>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</si>
  <si>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</si>
  <si>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</si>
  <si>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</si>
  <si>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</si>
  <si>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</si>
  <si>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</si>
  <si>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</si>
  <si>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</si>
  <si>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</si>
  <si>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</si>
  <si>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</si>
  <si>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</si>
  <si>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</si>
  <si>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</si>
  <si>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</si>
  <si>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</si>
  <si>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</si>
  <si>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</si>
  <si>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</si>
  <si>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</si>
  <si>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</si>
  <si>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</si>
  <si>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</si>
  <si>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</si>
  <si>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</si>
  <si>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</si>
  <si>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</si>
  <si>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</si>
  <si>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</si>
  <si>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</si>
  <si>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</si>
  <si>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</si>
  <si>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</si>
  <si>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</si>
  <si>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</si>
  <si>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</si>
  <si>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</si>
  <si>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</si>
  <si>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</si>
  <si>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</si>
  <si>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</si>
  <si>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</si>
  <si>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</si>
  <si>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</si>
  <si>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</si>
  <si>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</si>
  <si>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</si>
  <si>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</si>
  <si>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</si>
  <si>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</si>
  <si>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</si>
  <si>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</si>
  <si>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</si>
  <si>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</si>
  <si>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</si>
  <si>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</si>
  <si>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</si>
  <si>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</si>
  <si>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</si>
  <si>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</si>
  <si>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</si>
  <si>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</si>
  <si>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</si>
  <si>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</si>
  <si>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</si>
  <si>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</si>
  <si>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</si>
  <si>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</si>
  <si>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</si>
  <si>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</si>
  <si>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</si>
  <si>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</si>
  <si>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</si>
  <si>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</si>
  <si>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</si>
  <si>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</si>
  <si>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</si>
  <si>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</si>
  <si>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</si>
  <si>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</si>
  <si>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</si>
  <si>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</si>
  <si>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</si>
  <si>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</si>
  <si>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</si>
  <si>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</si>
  <si>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</si>
  <si>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</si>
  <si>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</si>
  <si>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</si>
  <si>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</si>
  <si>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</si>
  <si>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</si>
  <si>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</si>
  <si>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</si>
  <si>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</si>
  <si>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</si>
  <si>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</si>
  <si>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</si>
  <si>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</si>
  <si>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</si>
  <si>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</si>
  <si>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</si>
  <si>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</si>
  <si>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</si>
  <si>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</si>
  <si>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</si>
  <si>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</si>
  <si>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</si>
  <si>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</si>
  <si>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</si>
  <si>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</si>
  <si>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</si>
  <si>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</si>
  <si>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</si>
  <si>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</si>
  <si>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</si>
  <si>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</si>
  <si>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</si>
  <si>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</si>
  <si>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</si>
  <si>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</si>
  <si>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</si>
  <si>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</si>
  <si>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</si>
  <si>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</si>
  <si>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</si>
  <si>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</si>
  <si>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</si>
  <si>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</si>
  <si>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</si>
  <si>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</si>
  <si>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</si>
  <si>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</si>
  <si>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</si>
  <si>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</si>
  <si>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</si>
  <si>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</si>
  <si>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</si>
  <si>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</si>
  <si>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</si>
  <si>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</si>
  <si>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</si>
  <si>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</si>
  <si>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</si>
  <si>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</si>
  <si>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</si>
  <si>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</si>
  <si>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</si>
  <si>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</si>
  <si>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</si>
  <si>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</si>
  <si>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</si>
  <si>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</si>
  <si>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</si>
  <si>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</si>
  <si>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</si>
  <si>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</si>
  <si>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</si>
  <si>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</si>
  <si>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</si>
  <si>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</si>
  <si>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</si>
  <si>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</si>
  <si>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</si>
  <si>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</si>
  <si>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</si>
  <si>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</si>
  <si>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</si>
  <si>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</si>
  <si>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</si>
  <si>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</si>
  <si>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</si>
  <si>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</si>
  <si>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</si>
  <si>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</si>
  <si>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</si>
  <si>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</si>
  <si>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</si>
  <si>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</si>
  <si>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</si>
  <si>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</si>
  <si>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</si>
  <si>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</si>
  <si>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</si>
  <si>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</si>
  <si>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</si>
  <si>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</si>
  <si>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</si>
  <si>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</si>
  <si>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</si>
  <si>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</si>
  <si>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</si>
  <si>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</si>
  <si>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</si>
  <si>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</si>
  <si>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</si>
  <si>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</si>
  <si>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</si>
  <si>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</si>
  <si>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</si>
  <si>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</si>
  <si>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</si>
  <si>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</si>
  <si>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</si>
  <si>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</si>
  <si>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</si>
  <si>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</si>
  <si>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</si>
  <si>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</si>
  <si>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</si>
  <si>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</si>
  <si>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</si>
  <si>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</si>
  <si>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</si>
  <si>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</si>
  <si>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</si>
  <si>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</si>
  <si>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</si>
  <si>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</si>
  <si>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</si>
  <si>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</si>
  <si>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</si>
  <si>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</si>
  <si>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</si>
  <si>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</si>
  <si>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</si>
  <si>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</si>
  <si>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</si>
  <si>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</si>
  <si>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</si>
  <si>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</si>
  <si>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</si>
  <si>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</si>
  <si>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</si>
  <si>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</si>
  <si>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</si>
  <si>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</si>
  <si>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</si>
  <si>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</si>
  <si>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</si>
  <si>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</si>
  <si>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</si>
  <si>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</si>
  <si>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</si>
  <si>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</si>
  <si>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</si>
  <si>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</si>
  <si>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</si>
  <si>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</si>
  <si>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</si>
  <si>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</si>
  <si>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</si>
  <si>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</si>
  <si>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</si>
  <si>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</si>
  <si>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</si>
  <si>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</si>
  <si>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</si>
  <si>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</si>
  <si>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</si>
  <si>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</si>
  <si>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</si>
  <si>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</si>
  <si>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</si>
  <si>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</si>
  <si>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</si>
  <si>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</si>
  <si>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</si>
  <si>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</si>
  <si>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</si>
  <si>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</si>
  <si>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</si>
  <si>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</si>
  <si>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</si>
  <si>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</si>
  <si>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</si>
  <si>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</si>
  <si>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</si>
  <si>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</si>
  <si>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</si>
  <si>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</si>
  <si>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</si>
  <si>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</si>
  <si>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</si>
  <si>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</si>
  <si>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</si>
  <si>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</si>
  <si>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</si>
  <si>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</si>
  <si>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</si>
  <si>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</si>
  <si>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</si>
  <si>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</si>
  <si>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</si>
  <si>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</si>
  <si>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</si>
  <si>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</si>
  <si>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</si>
  <si>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</si>
  <si>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</si>
  <si>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</si>
  <si>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</si>
  <si>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</si>
  <si>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</si>
  <si>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</si>
  <si>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</si>
  <si>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</si>
  <si>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</si>
  <si>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</si>
  <si>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</si>
  <si>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</si>
  <si>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</si>
  <si>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</si>
  <si>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</si>
  <si>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</si>
  <si>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</si>
  <si>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</si>
  <si>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</si>
  <si>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</si>
  <si>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</si>
  <si>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</si>
  <si>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</si>
  <si>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</si>
  <si>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</si>
  <si>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</si>
  <si>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</si>
  <si>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</si>
  <si>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</si>
  <si>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</si>
  <si>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</si>
  <si>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</si>
  <si>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</si>
  <si>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</si>
  <si>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</si>
  <si>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</si>
  <si>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</si>
  <si>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</si>
  <si>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</si>
  <si>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</si>
  <si>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</si>
  <si>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</si>
  <si>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</si>
  <si>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</si>
  <si>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</si>
  <si>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</si>
  <si>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</si>
  <si>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</si>
  <si>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</si>
  <si>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</si>
  <si>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</si>
  <si>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</si>
  <si>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</si>
  <si>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</si>
  <si>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</si>
  <si>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</si>
  <si>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</si>
  <si>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</si>
  <si>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</si>
  <si>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</si>
  <si>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</si>
  <si>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</si>
  <si>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</si>
  <si>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</si>
  <si>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</si>
  <si>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</si>
  <si>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</si>
  <si>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</si>
  <si>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</si>
  <si>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</si>
  <si>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</si>
  <si>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</si>
  <si>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</si>
  <si>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</si>
  <si>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</si>
  <si>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</si>
  <si>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</si>
  <si>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</si>
  <si>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</si>
  <si>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</si>
  <si>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</si>
  <si>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</si>
  <si>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</si>
  <si>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</si>
  <si>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</si>
  <si>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</si>
  <si>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</si>
  <si>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</si>
  <si>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</si>
  <si>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</si>
  <si>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</si>
  <si>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</si>
  <si>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</si>
  <si>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</si>
  <si>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</si>
  <si>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</si>
  <si>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</si>
  <si>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</si>
  <si>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</si>
  <si>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</si>
  <si>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</si>
  <si>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</si>
  <si>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</si>
  <si>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</si>
  <si>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</si>
  <si>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</si>
  <si>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</si>
  <si>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</si>
  <si>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</si>
  <si>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</si>
  <si>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</si>
  <si>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</si>
  <si>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</si>
  <si>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</si>
  <si>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</si>
  <si>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</si>
  <si>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</si>
  <si>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</si>
  <si>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</si>
  <si>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</si>
  <si>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</si>
  <si>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</si>
  <si>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</si>
  <si>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</si>
  <si>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</si>
  <si>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</si>
  <si>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</si>
  <si>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</si>
  <si>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</si>
  <si>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</si>
  <si>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</si>
  <si>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</si>
  <si>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</si>
  <si>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</si>
  <si>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</si>
  <si>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</si>
  <si>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</si>
  <si>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</si>
  <si>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</si>
  <si>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</si>
  <si>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</si>
  <si>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</si>
  <si>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</si>
  <si>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</si>
  <si>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</si>
  <si>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</si>
  <si>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</si>
  <si>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</si>
  <si>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</si>
  <si>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</si>
  <si>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</si>
  <si>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</si>
  <si>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</si>
  <si>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</si>
  <si>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</si>
  <si>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</si>
  <si>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</si>
  <si>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</si>
  <si>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</si>
  <si>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</si>
  <si>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</si>
  <si>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</si>
  <si>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</si>
  <si>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</si>
  <si>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</si>
  <si>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</si>
  <si>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</si>
  <si>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</si>
  <si>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</si>
  <si>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</si>
  <si>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</si>
  <si>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</si>
  <si>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</si>
  <si>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</si>
  <si>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</si>
  <si>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</si>
  <si>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</si>
  <si>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</si>
  <si>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</si>
  <si>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</si>
  <si>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</si>
  <si>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</si>
  <si>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</si>
  <si>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</si>
  <si>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</si>
  <si>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</si>
  <si>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</si>
  <si>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</si>
  <si>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</si>
  <si>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</si>
  <si>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</si>
  <si>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</si>
  <si>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</si>
  <si>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</si>
  <si>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</si>
  <si>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</si>
  <si>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</si>
  <si>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</si>
  <si>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</si>
  <si>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</si>
  <si>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</si>
  <si>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</si>
  <si>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</si>
  <si>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</si>
  <si>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</si>
  <si>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</si>
  <si>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</si>
  <si>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</si>
  <si>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</si>
  <si>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</si>
  <si>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</si>
  <si>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</si>
  <si>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</si>
  <si>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</si>
  <si>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</si>
  <si>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</si>
  <si>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</si>
  <si>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</si>
  <si>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</si>
  <si>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</si>
  <si>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</si>
  <si>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</si>
  <si>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</si>
  <si>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</si>
  <si>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</si>
  <si>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</si>
  <si>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</si>
  <si>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</si>
  <si>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</si>
  <si>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</si>
  <si>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</si>
  <si>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</si>
  <si>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</si>
  <si>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</si>
  <si>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</si>
  <si>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</si>
  <si>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</si>
  <si>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</si>
  <si>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</si>
  <si>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</si>
  <si>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</si>
  <si>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</si>
  <si>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</si>
  <si>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</si>
  <si>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</si>
  <si>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</si>
  <si>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</si>
  <si>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</si>
  <si>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</si>
  <si>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</si>
  <si>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</si>
  <si>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</si>
  <si>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</si>
  <si>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</si>
  <si>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</si>
  <si>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</si>
  <si>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</si>
  <si>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</si>
  <si>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</si>
  <si>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</si>
  <si>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</si>
  <si>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</si>
  <si>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</si>
  <si>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</si>
  <si>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</si>
  <si>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</si>
  <si>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</si>
  <si>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</si>
  <si>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</si>
  <si>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</si>
  <si>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</si>
  <si>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</si>
  <si>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</si>
  <si>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</si>
  <si>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</si>
  <si>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</si>
  <si>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</si>
  <si>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</si>
  <si>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</si>
  <si>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</si>
  <si>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</si>
  <si>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</si>
  <si>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</si>
  <si>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</si>
  <si>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</si>
  <si>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</si>
  <si>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</si>
  <si>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</si>
  <si>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</si>
  <si>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</si>
  <si>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</si>
  <si>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</si>
  <si>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</si>
  <si>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</si>
  <si>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</si>
  <si>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</si>
  <si>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</si>
  <si>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</si>
  <si>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</si>
  <si>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</si>
  <si>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</si>
  <si>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</si>
  <si>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</si>
  <si>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</si>
  <si>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</si>
  <si>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</si>
  <si>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</si>
  <si>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</si>
  <si>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</si>
  <si>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</si>
  <si>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</si>
  <si>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</si>
  <si>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</si>
  <si>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</si>
  <si>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</si>
  <si>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</si>
  <si>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</si>
  <si>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</si>
  <si>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</si>
  <si>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</si>
  <si>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</si>
  <si>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</si>
  <si>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</si>
  <si>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</si>
  <si>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</si>
  <si>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</si>
  <si>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</si>
  <si>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</si>
  <si>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</si>
  <si>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</si>
  <si>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</si>
  <si>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</si>
  <si>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</si>
  <si>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</si>
  <si>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</si>
  <si>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</si>
  <si>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</si>
  <si>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</si>
  <si>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</si>
  <si>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</si>
  <si>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</si>
  <si>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</si>
  <si>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</si>
  <si>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</si>
  <si>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</si>
  <si>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</si>
  <si>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</si>
  <si>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</si>
  <si>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</si>
  <si>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</si>
  <si>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</si>
  <si>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</si>
  <si>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</si>
  <si>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</si>
  <si>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</si>
  <si>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</si>
  <si>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</si>
  <si>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</si>
  <si>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</si>
  <si>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</si>
  <si>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</si>
  <si>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</si>
  <si>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</si>
  <si>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</si>
  <si>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</si>
  <si>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</si>
  <si>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</si>
  <si>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</si>
  <si>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</si>
  <si>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</si>
  <si>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</si>
  <si>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</si>
  <si>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</si>
  <si>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</si>
  <si>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</si>
  <si>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</si>
  <si>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</si>
  <si>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</si>
  <si>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</si>
  <si>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</si>
  <si>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</si>
  <si>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</si>
  <si>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</si>
  <si>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</si>
  <si>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</si>
  <si>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</si>
  <si>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</si>
  <si>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</si>
  <si>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</si>
  <si>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</si>
  <si>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</si>
  <si>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</si>
  <si>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</si>
  <si>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</si>
  <si>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</si>
  <si>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</si>
  <si>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</si>
  <si>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</si>
  <si>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</si>
  <si>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</si>
  <si>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</si>
  <si>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</si>
  <si>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</si>
  <si>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</si>
  <si>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</si>
  <si>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</si>
  <si>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</si>
  <si>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</si>
  <si>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</si>
  <si>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</si>
  <si>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</si>
  <si>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</si>
  <si>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</si>
  <si>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</si>
  <si>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</si>
  <si>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</si>
  <si>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</si>
  <si>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</si>
  <si>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</si>
  <si>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</si>
  <si>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</si>
  <si>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</si>
  <si>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</si>
  <si>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</si>
  <si>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</si>
  <si>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</si>
  <si>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</si>
  <si>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</si>
  <si>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</si>
  <si>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</si>
  <si>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</si>
  <si>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</si>
  <si>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</si>
  <si>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</si>
  <si>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20.12.2024 № 51/110 "О внесении изменений в постановление Комитета по тарифному регулированию Мурманской области от 12.09.2017 № 39/2 в связи с корректировкой тарифов, ранее установленных АО "МЭС" на 2025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</si>
  <si>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</si>
  <si>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</si>
  <si>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</si>
  <si>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</si>
  <si>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</si>
  <si>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</si>
  <si>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</si>
  <si>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</si>
  <si>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</si>
  <si>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</si>
  <si>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</si>
  <si>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</si>
  <si>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</si>
  <si>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</si>
  <si>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</si>
  <si>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</si>
  <si>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</si>
  <si>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</si>
  <si>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</si>
  <si>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</si>
  <si>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</si>
  <si>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</si>
  <si>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</si>
  <si>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</si>
  <si>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</si>
  <si>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</si>
  <si>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</si>
  <si>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</si>
  <si>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</si>
  <si>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</si>
  <si>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</si>
  <si>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</si>
  <si>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</si>
  <si>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</si>
  <si>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</si>
  <si>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</si>
  <si>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</si>
  <si>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</si>
  <si>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</si>
  <si>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</si>
  <si>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</si>
  <si>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</si>
  <si>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</si>
  <si>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</si>
  <si>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</si>
  <si>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</si>
  <si>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</si>
  <si>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</si>
  <si>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</si>
  <si>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</si>
  <si>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</si>
  <si>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</si>
  <si>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</si>
  <si>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</si>
  <si>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</si>
  <si>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</si>
  <si>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</si>
  <si>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</si>
  <si>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</si>
  <si>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</si>
  <si>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</si>
  <si>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</si>
  <si>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</si>
  <si>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</si>
  <si>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</si>
  <si>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</si>
  <si>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</si>
  <si>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</si>
  <si>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</si>
  <si>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</si>
  <si>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</si>
  <si>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</si>
  <si>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</si>
  <si>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</si>
  <si>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</si>
  <si>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</si>
  <si>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</si>
  <si>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</si>
  <si>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</si>
  <si>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</si>
  <si>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</si>
  <si>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</si>
  <si>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</si>
  <si>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</si>
  <si>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</si>
  <si>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</si>
  <si>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</si>
  <si>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</si>
  <si>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</si>
  <si>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</si>
  <si>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</si>
  <si>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</si>
  <si>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</si>
  <si>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</si>
  <si>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</si>
  <si>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</si>
  <si>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</si>
  <si>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</si>
  <si>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</si>
  <si>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</si>
  <si>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</si>
  <si>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</si>
  <si>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</si>
  <si>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</si>
  <si>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</si>
  <si>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</si>
  <si>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</si>
  <si>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</si>
  <si>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</si>
  <si>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</si>
  <si>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</si>
  <si>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</si>
  <si>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</si>
  <si>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</si>
  <si>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</si>
  <si>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</si>
  <si>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</si>
  <si>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</si>
  <si>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</si>
  <si>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</si>
  <si>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</si>
  <si>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</si>
  <si>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</si>
  <si>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</si>
  <si>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</si>
  <si>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</si>
  <si>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</si>
  <si>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</si>
  <si>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</si>
  <si>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</si>
  <si>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</si>
  <si>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</si>
  <si>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</si>
  <si>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</si>
  <si>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</si>
  <si>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</si>
  <si>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</si>
  <si>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</si>
  <si>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</si>
  <si>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</si>
  <si>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</si>
  <si>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</si>
  <si>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</si>
  <si>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</si>
  <si>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</si>
  <si>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</si>
  <si>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</si>
  <si>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</si>
  <si>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</si>
  <si>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</si>
  <si>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</si>
  <si>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</si>
  <si>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</si>
  <si>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</si>
  <si>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</si>
  <si>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</si>
  <si>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</si>
  <si>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</si>
  <si>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</si>
  <si>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</si>
  <si>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</si>
  <si>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</si>
  <si>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</si>
  <si>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</si>
  <si>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</si>
  <si>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</si>
  <si>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</si>
  <si>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</si>
  <si>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</si>
  <si>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</si>
  <si>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</si>
  <si>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</si>
  <si>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</si>
  <si>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</si>
  <si>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</si>
  <si>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</si>
  <si>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</si>
  <si>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</si>
  <si>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</si>
  <si>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</si>
  <si>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</si>
  <si>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</si>
  <si>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</si>
  <si>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</si>
  <si>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</si>
  <si>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</si>
  <si>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</si>
  <si>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</si>
  <si>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</si>
  <si>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</si>
  <si>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</si>
  <si>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</si>
  <si>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</si>
  <si>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</si>
  <si>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</si>
  <si>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</si>
  <si>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</si>
  <si>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</si>
  <si>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</si>
  <si>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</si>
  <si>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</si>
  <si>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</si>
  <si>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</si>
  <si>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</si>
  <si>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</si>
  <si>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</si>
  <si>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</si>
  <si>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</si>
  <si>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</si>
  <si>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</si>
  <si>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</si>
  <si>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</si>
  <si>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</si>
  <si>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</si>
  <si>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</si>
  <si>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</si>
  <si>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</si>
  <si>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</si>
  <si>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</si>
  <si>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</si>
  <si>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</si>
  <si>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</si>
  <si>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</si>
  <si>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</si>
  <si>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</si>
  <si>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</si>
  <si>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</si>
  <si>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</si>
  <si>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</si>
  <si>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</si>
  <si>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</si>
  <si>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</si>
  <si>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</si>
  <si>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</si>
  <si>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</si>
  <si>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</si>
  <si>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</si>
  <si>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</si>
  <si>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</si>
  <si>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</si>
  <si>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</si>
  <si>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</si>
  <si>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</si>
  <si>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</si>
  <si>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</si>
  <si>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</si>
  <si>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</si>
  <si>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</si>
  <si>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</si>
  <si>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</si>
  <si>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</si>
  <si>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</si>
  <si>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</si>
  <si>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</si>
  <si>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</si>
  <si>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</si>
  <si>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</si>
  <si>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</si>
  <si>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</si>
  <si>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</si>
  <si>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</si>
  <si>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</si>
  <si>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</si>
  <si>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</si>
  <si>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</si>
  <si>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</si>
  <si>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</si>
  <si>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</si>
  <si>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</si>
  <si>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</si>
  <si>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</si>
  <si>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</si>
  <si>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</si>
  <si>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</si>
  <si>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</si>
  <si>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</si>
  <si>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</si>
  <si>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</si>
  <si>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</si>
  <si>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</si>
  <si>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</si>
  <si>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</si>
  <si>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</si>
  <si>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</si>
  <si>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</si>
  <si>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</si>
  <si>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</si>
  <si>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</si>
  <si>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</si>
  <si>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</si>
  <si>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</si>
  <si>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</si>
  <si>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</si>
  <si>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</si>
  <si>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</si>
  <si>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</si>
  <si>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</si>
  <si>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</si>
  <si>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</si>
  <si>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</si>
  <si>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</si>
  <si>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</si>
  <si>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</si>
  <si>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</si>
  <si>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</si>
  <si>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</si>
  <si>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</si>
  <si>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</si>
  <si>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</si>
  <si>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</si>
  <si>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</si>
  <si>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</si>
  <si>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</si>
  <si>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</si>
  <si>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</si>
  <si>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</si>
  <si>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</si>
  <si>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</si>
  <si>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</si>
  <si>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</si>
  <si>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</si>
  <si>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</si>
  <si>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</si>
  <si>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</si>
  <si>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</si>
  <si>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</si>
  <si>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</si>
  <si>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</si>
  <si>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</si>
  <si>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</si>
  <si>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</si>
  <si>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</si>
  <si>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</si>
  <si>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</si>
  <si>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</si>
  <si>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</si>
  <si>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</si>
  <si>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</si>
  <si>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</si>
  <si>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</si>
  <si>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</si>
  <si>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</si>
  <si>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</si>
  <si>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</si>
  <si>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</si>
  <si>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</si>
  <si>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</si>
  <si>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</si>
  <si>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</si>
  <si>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</si>
  <si>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</si>
  <si>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</si>
  <si>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</si>
  <si>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</si>
  <si>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</si>
  <si>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</si>
  <si>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</si>
  <si>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</si>
  <si>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</si>
  <si>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</si>
  <si>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</si>
  <si>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</si>
  <si>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</si>
  <si>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</si>
  <si>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</si>
  <si>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</si>
  <si>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</si>
  <si>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</si>
  <si>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</si>
  <si>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</si>
  <si>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</si>
  <si>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</si>
  <si>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</si>
  <si>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</si>
  <si>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</si>
  <si>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</si>
  <si>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</si>
  <si>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</si>
  <si>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</si>
  <si>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</si>
  <si>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</si>
  <si>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</si>
  <si>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</si>
  <si>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</si>
  <si>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</si>
  <si>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</si>
  <si>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</si>
  <si>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</si>
  <si>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</si>
  <si>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</si>
  <si>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</si>
  <si>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</si>
  <si>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</si>
  <si>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</si>
  <si>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</si>
  <si>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</si>
  <si>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</si>
  <si>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</si>
  <si>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</si>
  <si>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</si>
  <si>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</si>
  <si>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</si>
  <si>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</si>
  <si>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</si>
  <si>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</si>
  <si>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</si>
  <si>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</si>
  <si>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</si>
  <si>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</si>
  <si>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</si>
  <si>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</si>
  <si>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</si>
  <si>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</si>
  <si>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</si>
  <si>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</si>
  <si>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</si>
  <si>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</si>
  <si>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</si>
  <si>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</si>
  <si>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</si>
  <si>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</si>
  <si>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</si>
  <si>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</si>
  <si>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26467239</t>
  </si>
  <si>
    <t>ГОУТП "ТЭКОС" г. Мурманск</t>
  </si>
  <si>
    <t>5192110028</t>
  </si>
  <si>
    <t>06-12-2017 00:00:00</t>
  </si>
  <si>
    <t>30929355</t>
  </si>
  <si>
    <t>ЖКС № 9 ФГБУ "ЦЖКУ" МО РФ (по ВМФ)</t>
  </si>
  <si>
    <t>7729314745</t>
  </si>
  <si>
    <t>519045002</t>
  </si>
  <si>
    <t>26373348</t>
  </si>
  <si>
    <t>ЗАО "Беломорская нефтебаза"</t>
  </si>
  <si>
    <t>5102020534</t>
  </si>
  <si>
    <t>510201001</t>
  </si>
  <si>
    <t>13-08-1998 00:00:00</t>
  </si>
  <si>
    <t>26-07-2021 00:00:00</t>
  </si>
  <si>
    <t>КОМИТЕТ ПО ТАРИФНОМУ РЕГУЛИРОВАНИЮ МУРМАНСКОЙ ОБЛАСТИ</t>
  </si>
  <si>
    <t>5190127403</t>
  </si>
  <si>
    <t>26631728</t>
  </si>
  <si>
    <t>Кольское ГОУ ДРСП</t>
  </si>
  <si>
    <t>5105020148</t>
  </si>
  <si>
    <t>23-11-2022 00:00:00</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</si>
  <si>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</si>
  <si>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</si>
  <si>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</si>
  <si>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</si>
  <si>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</si>
  <si>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</si>
  <si>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</si>
  <si>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</si>
  <si>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</si>
  <si>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</si>
  <si>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</si>
  <si>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</si>
  <si>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</si>
  <si>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</si>
  <si>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</si>
  <si>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</si>
  <si>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</si>
  <si>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</si>
  <si>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</si>
  <si>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</si>
  <si>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</si>
  <si>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</si>
  <si>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</si>
  <si>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</si>
  <si>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</si>
  <si>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</si>
  <si>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</si>
  <si>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</si>
  <si>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</si>
  <si>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</si>
  <si>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</si>
  <si>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</si>
  <si>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</si>
  <si>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</si>
  <si>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27979479</t>
  </si>
  <si>
    <t>МУП "ЖКХ Ура-Губа"</t>
  </si>
  <si>
    <t>5105032175</t>
  </si>
  <si>
    <t>24-12-2019 00:00:00</t>
  </si>
  <si>
    <t>28459754</t>
  </si>
  <si>
    <t>МУП "Кильдинстрой"</t>
  </si>
  <si>
    <t>5105032707</t>
  </si>
  <si>
    <t>26319744</t>
  </si>
  <si>
    <t>МУП "Кировская городская электрическая сеть"</t>
  </si>
  <si>
    <t>5103021241</t>
  </si>
  <si>
    <t>01-10-2024 00:00:00</t>
  </si>
  <si>
    <t>26631469</t>
  </si>
  <si>
    <t>МУП "Кола-Мастер"</t>
  </si>
  <si>
    <t>5105031781</t>
  </si>
  <si>
    <t>10-03-2005 00:00:00</t>
  </si>
  <si>
    <t>27-01-2017 00:00:00</t>
  </si>
  <si>
    <t>28875370</t>
  </si>
  <si>
    <t>МУП "Лавна"</t>
  </si>
  <si>
    <t>5105032753</t>
  </si>
  <si>
    <t>29-10-2024 00:00:00</t>
  </si>
  <si>
    <t>27579061</t>
  </si>
  <si>
    <t>МУП "МУК"</t>
  </si>
  <si>
    <t>5190932618</t>
  </si>
  <si>
    <t>26467391</t>
  </si>
  <si>
    <t>МУП "Наш дом"</t>
  </si>
  <si>
    <t>5105032288</t>
  </si>
  <si>
    <t>01-04-2008 00:00:00</t>
  </si>
  <si>
    <t>21-06-2019 00:00:00</t>
  </si>
  <si>
    <t>26467328</t>
  </si>
  <si>
    <t>МУП "Недвижимость Кандалакши"</t>
  </si>
  <si>
    <t>5102002253</t>
  </si>
  <si>
    <t>28007575</t>
  </si>
  <si>
    <t>МУП "ОТС"</t>
  </si>
  <si>
    <t>5108900550</t>
  </si>
  <si>
    <t>30-09-2020 00:00:00</t>
  </si>
  <si>
    <t>30866806</t>
  </si>
  <si>
    <t>МУП "Ресурс"</t>
  </si>
  <si>
    <t>5102003507</t>
  </si>
  <si>
    <t>08-12-2016 00:00:00</t>
  </si>
  <si>
    <t>26526674</t>
  </si>
  <si>
    <t>МУП "Сервис"</t>
  </si>
  <si>
    <t>5111002718</t>
  </si>
  <si>
    <t>511101001</t>
  </si>
  <si>
    <t>27556184</t>
  </si>
  <si>
    <t>МУП "ТУЖКК"</t>
  </si>
  <si>
    <t>5105032418</t>
  </si>
  <si>
    <t>18-07-2022 00:00:00</t>
  </si>
  <si>
    <t>28877344</t>
  </si>
  <si>
    <t>МУП "ТеплоЭнергоРесурс" п. Пушной</t>
  </si>
  <si>
    <t>5105096997</t>
  </si>
  <si>
    <t>19-01-2018 00:00:00</t>
  </si>
  <si>
    <t>27061909</t>
  </si>
  <si>
    <t>МУП "Тепловые сети МО г. Заполярный"</t>
  </si>
  <si>
    <t>5109004718</t>
  </si>
  <si>
    <t>26646677</t>
  </si>
  <si>
    <t>МУП "УМС-СЕЗ  г.п. Молочный"</t>
  </si>
  <si>
    <t>5105030940</t>
  </si>
  <si>
    <t>26792466</t>
  </si>
  <si>
    <t>МУП "Услуги ЖКХ"</t>
  </si>
  <si>
    <t>5102050867</t>
  </si>
  <si>
    <t>03-11-2017 00:00:00</t>
  </si>
  <si>
    <t>30918265</t>
  </si>
  <si>
    <t>МУП "Хибины"</t>
  </si>
  <si>
    <t>5103301030</t>
  </si>
  <si>
    <t>29649087</t>
  </si>
  <si>
    <t>МУП "Энергия"</t>
  </si>
  <si>
    <t>5117000065</t>
  </si>
  <si>
    <t>511701001</t>
  </si>
  <si>
    <t>26467461</t>
  </si>
  <si>
    <t>МУП "Энергоцех"</t>
  </si>
  <si>
    <t>5109004002</t>
  </si>
  <si>
    <t>18-07-2018 00:00:00</t>
  </si>
  <si>
    <t>31432376</t>
  </si>
  <si>
    <t>МУП «РККР»</t>
  </si>
  <si>
    <t>5105013486</t>
  </si>
  <si>
    <t>29-05-2020 00:00:00</t>
  </si>
  <si>
    <t>30866847</t>
  </si>
  <si>
    <t>МУП ЖКХ "Вымпел"</t>
  </si>
  <si>
    <t>5102000619</t>
  </si>
  <si>
    <t>11-11-2015 00:00:00</t>
  </si>
  <si>
    <t>28039999</t>
  </si>
  <si>
    <t>МУП ЖКХ "Доверие"</t>
  </si>
  <si>
    <t>5102050923</t>
  </si>
  <si>
    <t>01-01-2017 00:00:00</t>
  </si>
  <si>
    <t>30946864</t>
  </si>
  <si>
    <t>МУП ЖКХ "Теплоснаб"</t>
  </si>
  <si>
    <t>5102003592</t>
  </si>
  <si>
    <t>31-12-2019 00:00:00</t>
  </si>
  <si>
    <t>26587979</t>
  </si>
  <si>
    <t>МУП ЖКХ МО город Оленегорск с подведомственной территорией</t>
  </si>
  <si>
    <t>5108998665</t>
  </si>
  <si>
    <t>28-02-2018 00:00:00</t>
  </si>
  <si>
    <t>26467449</t>
  </si>
  <si>
    <t>МУП Жилищно-эксплуатационная контора</t>
  </si>
  <si>
    <t>5109000939</t>
  </si>
  <si>
    <t>31-07-2017 00:00:00</t>
  </si>
  <si>
    <t>31041154</t>
  </si>
  <si>
    <t>МУП Кольского района "УЖКХ"</t>
  </si>
  <si>
    <t>5105032739</t>
  </si>
  <si>
    <t>28014449</t>
  </si>
  <si>
    <t>МУП г. Полярные Зори "ТС-Африканда"</t>
  </si>
  <si>
    <t>5117300534</t>
  </si>
  <si>
    <t>24-08-2012 00:00:00</t>
  </si>
  <si>
    <t>21-05-2019 00:00:00</t>
  </si>
  <si>
    <t>28459731</t>
  </si>
  <si>
    <t>МУП с.п. Тулома "УЖКХ"</t>
  </si>
  <si>
    <t>5105200020</t>
  </si>
  <si>
    <t>29-08-2022 00:00:00</t>
  </si>
  <si>
    <t>26382470</t>
  </si>
  <si>
    <t>МУПП "ЖКХ" ЗАТО Видяево</t>
  </si>
  <si>
    <t>5105031630</t>
  </si>
  <si>
    <t>511001001</t>
  </si>
  <si>
    <t>31-10-2002 00:00:00</t>
  </si>
  <si>
    <t>26529713</t>
  </si>
  <si>
    <t>ОАО "МЭК"</t>
  </si>
  <si>
    <t>5190187770</t>
  </si>
  <si>
    <t>31-12-2017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</si>
  <si>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</si>
  <si>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</si>
  <si>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</si>
  <si>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</si>
  <si>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</si>
  <si>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</si>
  <si>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</si>
  <si>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</si>
  <si>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</si>
  <si>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</si>
  <si>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</si>
  <si>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</si>
  <si>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27671426</t>
  </si>
  <si>
    <t>ООО "Енский"</t>
  </si>
  <si>
    <t>5104909960</t>
  </si>
  <si>
    <t>19-05-2021 00:00:00</t>
  </si>
  <si>
    <t>26890949</t>
  </si>
  <si>
    <t>ООО "Кольская тепловая компания"</t>
  </si>
  <si>
    <t>5105094485</t>
  </si>
  <si>
    <t>17-06-2011 00:00:00</t>
  </si>
  <si>
    <t>28-12-2017 00:00:00</t>
  </si>
  <si>
    <t>28543824</t>
  </si>
  <si>
    <t>ООО "КомСервис"</t>
  </si>
  <si>
    <t>5102046564</t>
  </si>
  <si>
    <t>29-10-2018 00:00:00</t>
  </si>
  <si>
    <t>30832102</t>
  </si>
  <si>
    <t>ООО "Мурмашинская тепловая компания"</t>
  </si>
  <si>
    <t>5105010446</t>
  </si>
  <si>
    <t>28499961</t>
  </si>
  <si>
    <t>ООО "НЭСК"</t>
  </si>
  <si>
    <t>5102046476</t>
  </si>
  <si>
    <t>28821982</t>
  </si>
  <si>
    <t>ООО "Производственная компания "ЭлТехМонтаж"</t>
  </si>
  <si>
    <t>5190113190</t>
  </si>
  <si>
    <t>04-06-2021 00:00:00</t>
  </si>
  <si>
    <t>28499647</t>
  </si>
  <si>
    <t>ООО "ПромВоенСтрой"</t>
  </si>
  <si>
    <t>7842410730</t>
  </si>
  <si>
    <t>784101001</t>
  </si>
  <si>
    <t>19-06-2009 00:00:00</t>
  </si>
  <si>
    <t>26646602</t>
  </si>
  <si>
    <t>ООО "ПрофСервис"</t>
  </si>
  <si>
    <t>5102045472</t>
  </si>
  <si>
    <t>14-07-2011 00:00:00</t>
  </si>
  <si>
    <t>20-12-2020 00:00:00</t>
  </si>
  <si>
    <t>28981214</t>
  </si>
  <si>
    <t>ООО "СМАРТ ЭНЕРГО"</t>
  </si>
  <si>
    <t>5190048543</t>
  </si>
  <si>
    <t>26-06-2023 00:00:00</t>
  </si>
  <si>
    <t>30408038</t>
  </si>
  <si>
    <t>ООО "СТК"</t>
  </si>
  <si>
    <t>5102000545</t>
  </si>
  <si>
    <t>27570497</t>
  </si>
  <si>
    <t>ООО "СевТехноСервис"</t>
  </si>
  <si>
    <t>5106801049</t>
  </si>
  <si>
    <t>28817762</t>
  </si>
  <si>
    <t>ООО "ТК Африканда"</t>
  </si>
  <si>
    <t>5117066154</t>
  </si>
  <si>
    <t>17-09-2018 00:00:00</t>
  </si>
  <si>
    <t>31749269</t>
  </si>
  <si>
    <t>ООО "Тепло Людям.Кандалакша"</t>
  </si>
  <si>
    <t>5190083026</t>
  </si>
  <si>
    <t>19-03-2020 00:00:00</t>
  </si>
  <si>
    <t>28821458</t>
  </si>
  <si>
    <t>ООО "Тепло"</t>
  </si>
  <si>
    <t>5102046758</t>
  </si>
  <si>
    <t>29-07-2014 00:00:00</t>
  </si>
  <si>
    <t>27-08-2018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</si>
  <si>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</si>
  <si>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</si>
  <si>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</si>
  <si>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</si>
  <si>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</si>
  <si>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</si>
  <si>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</si>
  <si>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</si>
  <si>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</si>
  <si>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</si>
  <si>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</si>
  <si>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</si>
  <si>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26467356</t>
  </si>
  <si>
    <t>ООО "Теплосетьсервис-Ревда"</t>
  </si>
  <si>
    <t>5106800951</t>
  </si>
  <si>
    <t>15-08-2017 00:00:00</t>
  </si>
  <si>
    <t>26467459</t>
  </si>
  <si>
    <t>ООО "Теплострой плюс"</t>
  </si>
  <si>
    <t>7842322869</t>
  </si>
  <si>
    <t>784201001</t>
  </si>
  <si>
    <t>26373349</t>
  </si>
  <si>
    <t>ООО "Центр коммунальных технологий"</t>
  </si>
  <si>
    <t>5102043620</t>
  </si>
  <si>
    <t>26-09-2005 00:00:00</t>
  </si>
  <si>
    <t>12-12-2017 00:00:00</t>
  </si>
  <si>
    <t>27675133</t>
  </si>
  <si>
    <t>ООО "Эко-сервис"</t>
  </si>
  <si>
    <t>5105093820</t>
  </si>
  <si>
    <t>27-07-2020 00:00:00</t>
  </si>
  <si>
    <t>27556369</t>
  </si>
  <si>
    <t>ООО "Энергия"</t>
  </si>
  <si>
    <t>5107913531</t>
  </si>
  <si>
    <t>18-12-2017 00:00:00</t>
  </si>
  <si>
    <t>31538928</t>
  </si>
  <si>
    <t>ООО «ТЭС»</t>
  </si>
  <si>
    <t>5108004000</t>
  </si>
  <si>
    <t>30946839</t>
  </si>
  <si>
    <t>ООО «Тепло Людям. Умба»</t>
  </si>
  <si>
    <t>5190070965</t>
  </si>
  <si>
    <t>28137402</t>
  </si>
  <si>
    <t>ООО «Управляющая Компания «Спецремстрой»</t>
  </si>
  <si>
    <t>5105094615</t>
  </si>
  <si>
    <t>01-01-2013 00:00:00</t>
  </si>
  <si>
    <t>07-08-2017 00:00:00</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</si>
  <si>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</si>
  <si>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</si>
  <si>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</si>
  <si>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</si>
  <si>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</si>
  <si>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</si>
  <si>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</si>
  <si>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</si>
  <si>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</si>
  <si>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</si>
  <si>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</si>
  <si>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</si>
  <si>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</si>
  <si>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</si>
  <si>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</si>
  <si>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26373354</t>
  </si>
  <si>
    <t>УМ ЖКП п. Туманный</t>
  </si>
  <si>
    <t>5105031559</t>
  </si>
  <si>
    <t>03-07-2002 00:00:00</t>
  </si>
  <si>
    <t>09-06-2023 00:00:00</t>
  </si>
  <si>
    <t>28941546</t>
  </si>
  <si>
    <t>УМПП ЖКХ ЗАТО Александровск</t>
  </si>
  <si>
    <t>5112100059</t>
  </si>
  <si>
    <t>511601001</t>
  </si>
  <si>
    <t>26467416</t>
  </si>
  <si>
    <t>УМТЭП г. Снежногорска ЗАТО Александровск</t>
  </si>
  <si>
    <t>5112100186</t>
  </si>
  <si>
    <t>511201001</t>
  </si>
  <si>
    <t>20-04-2020 00:00:00</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</si>
  <si>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</si>
  <si>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</si>
  <si>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</si>
  <si>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</si>
  <si>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</si>
  <si>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</si>
  <si>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</si>
  <si>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</si>
  <si>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</si>
  <si>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</si>
  <si>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</si>
  <si>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28891843</t>
  </si>
  <si>
    <t>филиал ОАО "РЭУ" "Мурманский"</t>
  </si>
  <si>
    <t>511043001</t>
  </si>
  <si>
    <t>01-01-2015 00:00:00</t>
  </si>
  <si>
    <t>01-01-2018 00:00:00</t>
  </si>
  <si>
    <t>26373356</t>
  </si>
  <si>
    <t>МБУ "СЕЗ с.п. Тулома"</t>
  </si>
  <si>
    <t>5105032231</t>
  </si>
  <si>
    <t>25-05-2007 00:00:00</t>
  </si>
  <si>
    <t>25-06-2019 00:00:00</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</si>
  <si>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</si>
  <si>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</si>
  <si>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</si>
  <si>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</si>
  <si>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</si>
  <si>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</si>
  <si>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</si>
  <si>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</si>
  <si>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</si>
  <si>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</si>
  <si>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</si>
  <si>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</si>
  <si>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</si>
  <si>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</si>
  <si>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</si>
  <si>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</si>
  <si>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</si>
  <si>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</si>
  <si>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</si>
  <si>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26373362</t>
  </si>
  <si>
    <t>ГОУП "Оленегорскводоканал"</t>
  </si>
  <si>
    <t>5108100031</t>
  </si>
  <si>
    <t>15-11-2002 00:00:00</t>
  </si>
  <si>
    <t>18-03-2021 00:00:00</t>
  </si>
  <si>
    <t>27562734</t>
  </si>
  <si>
    <t>МАУ "СЕЗ м.о. г.п. Печенга"</t>
  </si>
  <si>
    <t>5109003552</t>
  </si>
  <si>
    <t>28-10-2010 00:00:00</t>
  </si>
  <si>
    <t>15-12-2022 00:00:00</t>
  </si>
  <si>
    <t>26646662</t>
  </si>
  <si>
    <t>МБУ "СЕЗ МО п. Кильдинстрой"</t>
  </si>
  <si>
    <t>5105032224</t>
  </si>
  <si>
    <t>26467662</t>
  </si>
  <si>
    <t>МУП "Городские сети"</t>
  </si>
  <si>
    <t>5109003680</t>
  </si>
  <si>
    <t>03-12-2007 00:00:00</t>
  </si>
  <si>
    <t>01-03-2020 00:00:00</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</si>
  <si>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</si>
  <si>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</si>
  <si>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</si>
  <si>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</si>
  <si>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</si>
  <si>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</si>
  <si>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</si>
  <si>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</si>
  <si>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</si>
  <si>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</si>
  <si>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</si>
  <si>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</si>
  <si>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</si>
  <si>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</si>
  <si>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МУП "Сети Никеля"</t>
  </si>
  <si>
    <t>5109004556</t>
  </si>
  <si>
    <t>30873087</t>
  </si>
  <si>
    <t>МУП "ТВС"</t>
  </si>
  <si>
    <t>5102000827</t>
  </si>
  <si>
    <t>31-05-2022 00:00:00</t>
  </si>
  <si>
    <t>26467375</t>
  </si>
  <si>
    <t>МУП "Териберское жилищно-коммунальное предприятие"</t>
  </si>
  <si>
    <t>5105032055</t>
  </si>
  <si>
    <t>11-09-2017 00:00:00</t>
  </si>
  <si>
    <t>27050541</t>
  </si>
  <si>
    <t>МУП "Услуга" г.п. Никель Печенгского района</t>
  </si>
  <si>
    <t>5109400045</t>
  </si>
  <si>
    <t>19-06-2020 00:00:00</t>
  </si>
  <si>
    <t>26528627</t>
  </si>
  <si>
    <t>МУП тепловых сетей ЗАТО г. Островной</t>
  </si>
  <si>
    <t>5114020137</t>
  </si>
  <si>
    <t>21-02-2023 00:00:00</t>
  </si>
  <si>
    <t>26319709</t>
  </si>
  <si>
    <t>ОАО "Мурманский комбинат хлебопродуктов"</t>
  </si>
  <si>
    <t>5190400162</t>
  </si>
  <si>
    <t>21-06-1993 00:00:00</t>
  </si>
  <si>
    <t>27716928</t>
  </si>
  <si>
    <t>ОАО "Славянка"</t>
  </si>
  <si>
    <t>7702707386</t>
  </si>
  <si>
    <t>10-02-2021 00:00:00</t>
  </si>
  <si>
    <t>31596508</t>
  </si>
  <si>
    <t>ООО "Арно-Трейд"</t>
  </si>
  <si>
    <t>5112091319</t>
  </si>
  <si>
    <t>04-12-2007 00:00:00</t>
  </si>
  <si>
    <t>28877705</t>
  </si>
  <si>
    <t>ООО "КВК-2"</t>
  </si>
  <si>
    <t>5102046807</t>
  </si>
  <si>
    <t>060801001</t>
  </si>
  <si>
    <t>28877719</t>
  </si>
  <si>
    <t>ООО "КВК-3"</t>
  </si>
  <si>
    <t>5102046814</t>
  </si>
  <si>
    <t>28877746</t>
  </si>
  <si>
    <t>ООО "КВК-5"</t>
  </si>
  <si>
    <t>5102047896</t>
  </si>
  <si>
    <t>31-12-2020 00:00:00</t>
  </si>
  <si>
    <t>26380532</t>
  </si>
  <si>
    <t>ООО "Калган"</t>
  </si>
  <si>
    <t>5112700218</t>
  </si>
  <si>
    <t>29-01-2002 00:00:00</t>
  </si>
  <si>
    <t>28040331</t>
  </si>
  <si>
    <t>ООО "Кола-Недвижимость"</t>
  </si>
  <si>
    <t>5105094510</t>
  </si>
  <si>
    <t>16-01-2019 00:00:00</t>
  </si>
  <si>
    <t>28040411</t>
  </si>
  <si>
    <t>ООО "Мурманская судоверфь - Инженерные сети"</t>
  </si>
  <si>
    <t>5190934686</t>
  </si>
  <si>
    <t>26-03-2018 00:00:00</t>
  </si>
  <si>
    <t>31758091</t>
  </si>
  <si>
    <t>ООО "Норд Стар"</t>
  </si>
  <si>
    <t>7733354469</t>
  </si>
  <si>
    <t>16-04-2020 00:00:00</t>
  </si>
  <si>
    <t>31388474</t>
  </si>
  <si>
    <t>ООО "Север"</t>
  </si>
  <si>
    <t>5190080650</t>
  </si>
  <si>
    <t>12-07-2019 00:00:00</t>
  </si>
  <si>
    <t>31041188</t>
  </si>
  <si>
    <t>ООО "Север-Сити"</t>
  </si>
  <si>
    <t>5110005025</t>
  </si>
  <si>
    <t>31243294</t>
  </si>
  <si>
    <t>ООО "СпецНордПром"</t>
  </si>
  <si>
    <t>7842108495</t>
  </si>
  <si>
    <t>19-05-2016 00:00:00</t>
  </si>
  <si>
    <t>14-10-2024 00:00:00</t>
  </si>
  <si>
    <t>30359766</t>
  </si>
  <si>
    <t>ООО "Спецводоснаб"</t>
  </si>
  <si>
    <t>5190023563</t>
  </si>
  <si>
    <t>19-08-2013 00:00:00</t>
  </si>
  <si>
    <t>20-10-2017 00:00:00</t>
  </si>
  <si>
    <t>28873420</t>
  </si>
  <si>
    <t>ООО «КВК-4»</t>
  </si>
  <si>
    <t>5102046878</t>
  </si>
  <si>
    <t>30873097</t>
  </si>
  <si>
    <t>ООО «ПТФ «Мурманская»</t>
  </si>
  <si>
    <t>5105092390</t>
  </si>
  <si>
    <t>12-08-2024 00:00:00</t>
  </si>
  <si>
    <t>31394853</t>
  </si>
  <si>
    <t>АО "10 СРЗ"</t>
  </si>
  <si>
    <t>5116001041</t>
  </si>
  <si>
    <t>03-06-2010 00:00:00</t>
  </si>
  <si>
    <t>30946916</t>
  </si>
  <si>
    <t>ООО "КС Север-Эйдж"</t>
  </si>
  <si>
    <t>5190068765</t>
  </si>
  <si>
    <t>10-05-2023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</si>
  <si>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</si>
  <si>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</si>
  <si>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</si>
  <si>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</si>
  <si>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</si>
  <si>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</si>
  <si>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</si>
  <si>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</si>
  <si>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</si>
  <si>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</si>
  <si>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</si>
  <si>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</si>
  <si>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</si>
  <si>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30957685</t>
  </si>
  <si>
    <t>МУП ЖКХ "База механизации"</t>
  </si>
  <si>
    <t>5113908473</t>
  </si>
  <si>
    <t>22-01-2021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</si>
  <si>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</si>
  <si>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</si>
  <si>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</si>
  <si>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</si>
  <si>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</si>
  <si>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</si>
  <si>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</si>
  <si>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</si>
  <si>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</si>
  <si>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</si>
  <si>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</si>
  <si>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</si>
  <si>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</si>
  <si>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</si>
  <si>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</si>
  <si>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</si>
  <si>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</si>
  <si>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</si>
  <si>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27728724</t>
  </si>
  <si>
    <t>ООО "Чистый город"</t>
  </si>
  <si>
    <t>5101100025</t>
  </si>
  <si>
    <t>25-12-2018 00:00:00</t>
  </si>
  <si>
    <t>31233365</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</si>
  <si>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</si>
  <si>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</si>
  <si>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</si>
  <si>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</si>
  <si>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</si>
  <si>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</si>
  <si>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</si>
  <si>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</si>
  <si>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</si>
  <si>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</si>
  <si>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</si>
  <si>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</si>
  <si>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</si>
  <si>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</si>
  <si>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</si>
  <si>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</si>
  <si>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</si>
  <si>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</si>
  <si>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</si>
  <si>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</si>
  <si>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</si>
  <si>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</si>
  <si>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</si>
  <si>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</si>
  <si>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</si>
  <si>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</si>
  <si>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</si>
  <si>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</si>
  <si>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</si>
  <si>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</si>
  <si>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</si>
  <si>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</si>
  <si>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</si>
  <si>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</si>
  <si>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</si>
  <si>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</si>
  <si>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</si>
  <si>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</si>
  <si>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</si>
  <si>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</si>
  <si>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</si>
  <si>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</si>
  <si>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</si>
  <si>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</si>
  <si>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</si>
  <si>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</si>
  <si>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</si>
  <si>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</si>
  <si>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</si>
  <si>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</si>
  <si>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</si>
  <si>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</si>
  <si>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</si>
  <si>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</si>
  <si>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</si>
  <si>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</si>
  <si>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</si>
  <si>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</si>
  <si>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</si>
  <si>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</si>
  <si>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</si>
  <si>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</si>
  <si>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</si>
  <si>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</si>
  <si>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</si>
  <si>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</si>
  <si>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</si>
  <si>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</si>
  <si>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</si>
  <si>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</si>
  <si>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</si>
  <si>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</si>
  <si>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</si>
  <si>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</si>
  <si>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</si>
  <si>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</si>
  <si>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</si>
  <si>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</si>
  <si>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</si>
  <si>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</si>
  <si>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</si>
  <si>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</si>
  <si>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</si>
  <si>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</si>
  <si>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</si>
  <si>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</si>
  <si>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</si>
  <si>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</si>
  <si>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</si>
  <si>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</si>
  <si>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</si>
  <si>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</si>
  <si>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</si>
  <si>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город-герой Мурманск</t>
  </si>
  <si>
    <t>47701000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</si>
  <si>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</si>
  <si>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</si>
  <si>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</si>
  <si>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</si>
  <si>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</si>
  <si>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</si>
  <si>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</si>
  <si>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</si>
  <si>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</si>
  <si>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</si>
  <si>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</si>
  <si>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</si>
  <si>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</si>
  <si>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</si>
  <si>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</si>
  <si>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</si>
  <si>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</si>
  <si>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</si>
  <si>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</si>
  <si>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</si>
  <si>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</si>
  <si>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</si>
  <si>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</si>
  <si>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</si>
  <si>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</si>
  <si>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</si>
  <si>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</si>
  <si>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</si>
  <si>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</si>
  <si>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</si>
  <si>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</si>
  <si>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</si>
  <si>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</si>
  <si>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</si>
  <si>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</si>
  <si>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</si>
  <si>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</si>
  <si>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</si>
  <si>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</si>
  <si>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</si>
  <si>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</si>
  <si>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</si>
  <si>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</si>
  <si>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</si>
  <si>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</si>
  <si>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</si>
  <si>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</si>
  <si>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</si>
  <si>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</si>
  <si>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</si>
  <si>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</si>
  <si>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</si>
  <si>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</si>
  <si>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</si>
  <si>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</si>
  <si>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</si>
  <si>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</si>
  <si>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</si>
  <si>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</si>
  <si>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</si>
  <si>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</si>
  <si>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</si>
  <si>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</si>
  <si>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243 от 20.11.2024 АО "МЭС" в сфере теплоснабжения по модернизации, реконструкции и техническому перевооружению котельных и тепловых сетей на 2024-2027 годы</t>
  </si>
  <si>
    <t>20.11.2024</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</si>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</sst>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469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49" fontId="5" fillId="0" borderId="0" xfId="0" applyNumberFormat="1" applyFont="1" applyAlignment="1">
      <alignment vertical="center" wrapText="1"/>
    </xf>
    <xf numFmtId="49" fontId="5" fillId="0" borderId="0" xfId="0" applyNumberFormat="1" applyFont="1">
      <alignment vertical="top"/>
    </xf>
    <xf numFmtId="49" fontId="5" fillId="0" borderId="15" xfId="0" applyNumberFormat="1" applyFont="1" applyBorder="1">
      <alignment vertical="top"/>
    </xf>
    <xf numFmtId="0" fontId="5" fillId="8" borderId="3" xfId="0" applyNumberFormat="1" applyFont="1" applyFill="1" applyBorder="1" applyAlignment="1">
      <alignment horizontal="left" vertical="center" wrapText="1"/>
    </xf>
    <xf numFmtId="0" fontId="5"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left" vertical="center" inden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103"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left" vertical="center" wrapText="1" indent="2"/>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0" fillId="0" borderId="0" xfId="0" applyNumberFormat="1" applyFont="1">
      <alignment vertical="top"/>
    </xf>
    <xf numFmtId="0" fontId="0" fillId="0" borderId="0" xfId="0" applyNumberFormat="1" applyFont="1">
      <alignment vertical="top"/>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luhaninaov@mures.ru" TargetMode="External"/><Relationship Id="rId2" Type="http://schemas.openxmlformats.org/officeDocument/2006/relationships/hyperlink" Target="https://npa.gov-murman.ru/bitrix/components/b1team/govmurman.element.file/download.php?ID=537820&amp;FID=814582" TargetMode="External"/><Relationship Id="rId1" Type="http://schemas.openxmlformats.org/officeDocument/2006/relationships/hyperlink" Target="https://npa.gov-murman.ru/upload/iblock/8ff/39_2-ao-mes-2017_2027.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8" Type="http://schemas.openxmlformats.org/officeDocument/2006/relationships/hyperlink" Target="https://portal.eias.ru/Portal/DownloadPage.aspx?type=12&amp;guid=ff220950-82d1-4d1f-8a71-986a6f24acd5" TargetMode="External"/><Relationship Id="rId13" Type="http://schemas.openxmlformats.org/officeDocument/2006/relationships/hyperlink" Target="https://portal.eias.ru/Portal/DownloadPage.aspx?type=12&amp;guid=ff220950-82d1-4d1f-8a71-986a6f24acd5" TargetMode="External"/><Relationship Id="rId3" Type="http://schemas.openxmlformats.org/officeDocument/2006/relationships/hyperlink" Target="https://portal.eias.ru/Portal/DownloadPage.aspx?type=12&amp;guid=5081c4e0-019d-43c4-8f2a-87592ccedaef" TargetMode="External"/><Relationship Id="rId7" Type="http://schemas.openxmlformats.org/officeDocument/2006/relationships/hyperlink" Target="https://portal.eias.ru/Portal/DownloadPage.aspx?type=12&amp;guid=ff220950-82d1-4d1f-8a71-986a6f24acd5" TargetMode="External"/><Relationship Id="rId12" Type="http://schemas.openxmlformats.org/officeDocument/2006/relationships/hyperlink" Target="https://portal.eias.ru/Portal/DownloadPage.aspx?type=12&amp;guid=ff220950-82d1-4d1f-8a71-986a6f24acd5" TargetMode="External"/><Relationship Id="rId2" Type="http://schemas.openxmlformats.org/officeDocument/2006/relationships/hyperlink" Target="https://portal.eias.ru/Portal/DownloadPage.aspx?type=12&amp;guid=ca1dfc22-ac66-4dfc-8d6b-e4675d2519b2" TargetMode="External"/><Relationship Id="rId1" Type="http://schemas.openxmlformats.org/officeDocument/2006/relationships/hyperlink" Target="http://www.mures.ru/" TargetMode="External"/><Relationship Id="rId6" Type="http://schemas.openxmlformats.org/officeDocument/2006/relationships/hyperlink" Target="https://portal.eias.ru/Portal/DownloadPage.aspx?type=12&amp;guid=ff220950-82d1-4d1f-8a71-986a6f24acd5" TargetMode="External"/><Relationship Id="rId11" Type="http://schemas.openxmlformats.org/officeDocument/2006/relationships/hyperlink" Target="https://portal.eias.ru/Portal/DownloadPage.aspx?type=12&amp;guid=ff220950-82d1-4d1f-8a71-986a6f24acd5" TargetMode="External"/><Relationship Id="rId5" Type="http://schemas.openxmlformats.org/officeDocument/2006/relationships/hyperlink" Target="https://portal.eias.ru/Portal/DownloadPage.aspx?type=12&amp;guid=ff220950-82d1-4d1f-8a71-986a6f24acd5" TargetMode="External"/><Relationship Id="rId10" Type="http://schemas.openxmlformats.org/officeDocument/2006/relationships/hyperlink" Target="https://portal.eias.ru/Portal/DownloadPage.aspx?type=12&amp;guid=ff220950-82d1-4d1f-8a71-986a6f24acd5" TargetMode="External"/><Relationship Id="rId4" Type="http://schemas.openxmlformats.org/officeDocument/2006/relationships/hyperlink" Target="https://portal.eias.ru/Portal/DownloadPage.aspx?type=12&amp;guid=ff220950-82d1-4d1f-8a71-986a6f24acd5" TargetMode="External"/><Relationship Id="rId9" Type="http://schemas.openxmlformats.org/officeDocument/2006/relationships/hyperlink" Target="https://portal.eias.ru/Portal/DownloadPage.aspx?type=12&amp;guid=ff220950-82d1-4d1f-8a71-986a6f24acd5" TargetMode="External"/><Relationship Id="rId1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4129" customWidth="1"/>
    <col min="2" max="2" width="9.140625" style="4129" customWidth="1"/>
    <col min="3" max="3" width="16.42578125" style="4129" customWidth="1"/>
    <col min="4" max="25" width="6.28515625" style="4129" customWidth="1"/>
    <col min="26" max="28" width="11" style="4129"/>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4247" t="s">
        <v>1</v>
      </c>
      <c r="C2" s="4247"/>
      <c r="D2" s="4247"/>
      <c r="E2" s="4247"/>
      <c r="F2" s="4247"/>
      <c r="G2" s="4247"/>
      <c r="H2" s="4247"/>
      <c r="I2" s="4247"/>
      <c r="J2" s="4247"/>
      <c r="K2" s="4247"/>
      <c r="L2" s="4247"/>
      <c r="M2" s="4247"/>
      <c r="N2" s="4247"/>
      <c r="O2" s="4247"/>
      <c r="P2" s="4247"/>
      <c r="Q2" s="1622"/>
      <c r="R2" s="1622"/>
      <c r="S2" s="1622"/>
      <c r="T2" s="1622"/>
      <c r="U2" s="1622"/>
      <c r="V2" s="1623"/>
      <c r="W2" s="1622"/>
      <c r="X2" s="1622"/>
      <c r="Y2" s="1620"/>
      <c r="Z2" s="1619"/>
      <c r="AA2" s="1621"/>
      <c r="AB2" s="1619"/>
    </row>
    <row r="3" spans="1:28" ht="15.75" customHeight="1">
      <c r="A3" s="1619"/>
      <c r="B3" s="4248" t="s">
        <v>2</v>
      </c>
      <c r="C3" s="4248"/>
      <c r="D3" s="4248"/>
      <c r="E3" s="4248"/>
      <c r="F3" s="4248"/>
      <c r="G3" s="4248"/>
      <c r="H3" s="4248"/>
      <c r="I3" s="4248"/>
      <c r="J3" s="4248"/>
      <c r="K3" s="4248"/>
      <c r="L3" s="4248"/>
      <c r="M3" s="4248"/>
      <c r="N3" s="4248"/>
      <c r="O3" s="4248"/>
      <c r="P3" s="4248"/>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424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4250"/>
      <c r="D5" s="4250"/>
      <c r="E5" s="4250"/>
      <c r="F5" s="4250"/>
      <c r="G5" s="4250"/>
      <c r="H5" s="4250"/>
      <c r="I5" s="4250"/>
      <c r="J5" s="4250"/>
      <c r="K5" s="4250"/>
      <c r="L5" s="4250"/>
      <c r="M5" s="4250"/>
      <c r="N5" s="4250"/>
      <c r="O5" s="4250"/>
      <c r="P5" s="4250"/>
      <c r="Q5" s="4250"/>
      <c r="R5" s="4250"/>
      <c r="S5" s="4250"/>
      <c r="T5" s="4250"/>
      <c r="U5" s="4250"/>
      <c r="V5" s="4250"/>
      <c r="W5" s="4250"/>
      <c r="X5" s="4250"/>
      <c r="Y5" s="4251"/>
      <c r="Z5" s="1625"/>
      <c r="AA5" s="1621"/>
      <c r="AB5" s="1625"/>
    </row>
    <row r="6" spans="1:28" ht="15" customHeight="1">
      <c r="A6" s="1626"/>
      <c r="B6" s="4239" t="s">
        <v>3</v>
      </c>
      <c r="C6" s="424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4239"/>
      <c r="C7" s="424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4239"/>
      <c r="C8" s="4242"/>
      <c r="D8" s="1632"/>
      <c r="E8" s="1633" t="s">
        <v>4</v>
      </c>
      <c r="F8" s="4252" t="s">
        <v>5</v>
      </c>
      <c r="G8" s="4241"/>
      <c r="H8" s="4241"/>
      <c r="I8" s="4241"/>
      <c r="J8" s="4241"/>
      <c r="K8" s="4241"/>
      <c r="L8" s="4241"/>
      <c r="M8" s="4241"/>
      <c r="N8" s="1632"/>
      <c r="O8" s="1634" t="s">
        <v>4</v>
      </c>
      <c r="P8" s="4253" t="s">
        <v>6</v>
      </c>
      <c r="Q8" s="4254"/>
      <c r="R8" s="4254"/>
      <c r="S8" s="4254"/>
      <c r="T8" s="4254"/>
      <c r="U8" s="4254"/>
      <c r="V8" s="4254"/>
      <c r="W8" s="4254"/>
      <c r="X8" s="4254"/>
      <c r="Y8" s="1628"/>
      <c r="Z8" s="1629"/>
      <c r="AA8" s="1630"/>
      <c r="AB8" s="1630"/>
    </row>
    <row r="9" spans="1:28" ht="15" customHeight="1">
      <c r="A9" s="1626"/>
      <c r="B9" s="4239"/>
      <c r="C9" s="4242"/>
      <c r="D9" s="1632"/>
      <c r="E9" s="1635" t="s">
        <v>4</v>
      </c>
      <c r="F9" s="4252" t="s">
        <v>7</v>
      </c>
      <c r="G9" s="4241"/>
      <c r="H9" s="4241"/>
      <c r="I9" s="4241"/>
      <c r="J9" s="4241"/>
      <c r="K9" s="4241"/>
      <c r="L9" s="4241"/>
      <c r="M9" s="4241"/>
      <c r="N9" s="1632"/>
      <c r="O9" s="1636" t="s">
        <v>4</v>
      </c>
      <c r="P9" s="4253" t="s">
        <v>8</v>
      </c>
      <c r="Q9" s="4254"/>
      <c r="R9" s="4254"/>
      <c r="S9" s="4254"/>
      <c r="T9" s="4254"/>
      <c r="U9" s="4254"/>
      <c r="V9" s="4254"/>
      <c r="W9" s="4254"/>
      <c r="X9" s="4254"/>
      <c r="Y9" s="1628"/>
      <c r="Z9" s="1629"/>
      <c r="AA9" s="1630"/>
      <c r="AB9" s="1630"/>
    </row>
    <row r="10" spans="1:28" ht="30" customHeight="1">
      <c r="A10" s="1626"/>
      <c r="B10" s="4239"/>
      <c r="C10" s="424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4238"/>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4239"/>
      <c r="C12" s="4240"/>
      <c r="D12" s="1640"/>
      <c r="E12" s="4241" t="s">
        <v>10</v>
      </c>
      <c r="F12" s="4241"/>
      <c r="G12" s="4241"/>
      <c r="H12" s="4241"/>
      <c r="I12" s="4241"/>
      <c r="J12" s="4241"/>
      <c r="K12" s="4241"/>
      <c r="L12" s="4241"/>
      <c r="M12" s="4241"/>
      <c r="N12" s="4241"/>
      <c r="O12" s="4241"/>
      <c r="P12" s="4241"/>
      <c r="Q12" s="4241"/>
      <c r="R12" s="4241"/>
      <c r="S12" s="4241"/>
      <c r="T12" s="4241"/>
      <c r="U12" s="4241"/>
      <c r="V12" s="4241"/>
      <c r="W12" s="4241"/>
      <c r="X12" s="4241"/>
      <c r="Y12" s="1628"/>
      <c r="Z12" s="1629"/>
      <c r="AA12" s="1630"/>
      <c r="AB12" s="1630"/>
    </row>
    <row r="13" spans="1:28" ht="15" customHeight="1">
      <c r="A13" s="1626"/>
      <c r="B13" s="1" t="s">
        <v>11</v>
      </c>
      <c r="C13" s="4238"/>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4239"/>
      <c r="C14" s="4242"/>
      <c r="D14" s="1632"/>
      <c r="E14" s="4245" t="s">
        <v>12</v>
      </c>
      <c r="F14" s="4245"/>
      <c r="G14" s="4245"/>
      <c r="H14" s="4245"/>
      <c r="I14" s="4245"/>
      <c r="J14" s="4245"/>
      <c r="K14" s="4245"/>
      <c r="L14" s="4245"/>
      <c r="M14" s="4245"/>
      <c r="N14" s="4245"/>
      <c r="O14" s="4245"/>
      <c r="P14" s="4245"/>
      <c r="Q14" s="4245"/>
      <c r="R14" s="4245"/>
      <c r="S14" s="4245"/>
      <c r="T14" s="4245"/>
      <c r="U14" s="4245"/>
      <c r="V14" s="4245"/>
      <c r="W14" s="4245"/>
      <c r="X14" s="4245"/>
      <c r="Y14" s="1628"/>
      <c r="Z14" s="1629"/>
      <c r="AA14" s="1630"/>
      <c r="AB14" s="1630"/>
    </row>
    <row r="15" spans="1:28" ht="16.5" customHeight="1">
      <c r="A15" s="1626"/>
      <c r="B15" s="4243"/>
      <c r="C15" s="4244"/>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4245"/>
      <c r="C16" s="4246"/>
      <c r="D16" s="4246"/>
      <c r="E16" s="4246"/>
      <c r="F16" s="4246"/>
      <c r="G16" s="4246"/>
      <c r="H16" s="4246"/>
      <c r="I16" s="4246"/>
      <c r="J16" s="4246"/>
      <c r="K16" s="4246"/>
      <c r="L16" s="4246"/>
      <c r="M16" s="4246"/>
      <c r="N16" s="4246"/>
      <c r="O16" s="4246"/>
      <c r="P16" s="4246"/>
      <c r="Q16" s="4246"/>
      <c r="R16" s="4246"/>
      <c r="S16" s="4246"/>
      <c r="T16" s="4246"/>
      <c r="U16" s="4246"/>
      <c r="V16" s="4246"/>
      <c r="W16" s="4246"/>
      <c r="X16" s="4246"/>
      <c r="Y16" s="4246"/>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4131" hidden="1" customWidth="1"/>
    <col min="2" max="3" width="9.140625" style="4133" hidden="1" customWidth="1"/>
    <col min="4" max="4" width="3" style="4145" customWidth="1"/>
    <col min="5" max="5" width="6" style="4133" customWidth="1"/>
    <col min="6" max="6" width="1.7109375" style="4133" hidden="1" customWidth="1"/>
    <col min="7" max="8" width="30" style="4133" customWidth="1"/>
    <col min="9" max="9" width="8" style="4133" customWidth="1"/>
    <col min="10" max="10" width="12.140625" style="4133" customWidth="1"/>
    <col min="11" max="11" width="46" style="4133" customWidth="1"/>
    <col min="12" max="12" width="100" style="4133" customWidth="1"/>
    <col min="13" max="13" width="7" style="4142" customWidth="1"/>
    <col min="14" max="22" width="10" style="4133" customWidth="1"/>
    <col min="23" max="23" width="10.5703125" style="4133" hidden="1"/>
  </cols>
  <sheetData>
    <row r="1" spans="1:23" s="4140" customFormat="1" ht="5.25" hidden="1" customHeight="1">
      <c r="C1" s="446"/>
      <c r="D1" s="429"/>
      <c r="F1" s="446"/>
      <c r="G1" s="424" t="s">
        <v>87</v>
      </c>
      <c r="H1" s="424" t="s">
        <v>88</v>
      </c>
      <c r="I1" s="424" t="s">
        <v>89</v>
      </c>
      <c r="P1" s="424" t="s">
        <v>87</v>
      </c>
      <c r="Q1" s="424" t="s">
        <v>88</v>
      </c>
      <c r="R1" s="424" t="s">
        <v>89</v>
      </c>
      <c r="W1" s="424" t="s">
        <v>14</v>
      </c>
    </row>
    <row r="2" spans="1:23" s="4140" customFormat="1" ht="5.25" hidden="1" customHeight="1">
      <c r="C2" s="446"/>
      <c r="D2" s="429"/>
      <c r="F2" s="446"/>
      <c r="W2" s="424">
        <v>0</v>
      </c>
    </row>
    <row r="3" spans="1:23" s="4132" customFormat="1" ht="5.25" customHeight="1">
      <c r="A3" s="414"/>
      <c r="D3" s="421"/>
      <c r="E3" s="416"/>
      <c r="F3" s="416"/>
      <c r="G3" s="416"/>
      <c r="H3" s="416"/>
      <c r="I3" s="417"/>
      <c r="J3" s="418"/>
      <c r="K3" s="418"/>
      <c r="L3" s="418"/>
      <c r="W3" s="415">
        <v>5</v>
      </c>
    </row>
    <row r="4" spans="1:23" ht="23.25" customHeight="1">
      <c r="D4" s="385"/>
      <c r="E4" s="4267" t="s">
        <v>409</v>
      </c>
      <c r="F4" s="4267"/>
      <c r="G4" s="4268"/>
      <c r="H4" s="4268"/>
      <c r="I4" s="4269"/>
      <c r="J4" s="426"/>
      <c r="K4" s="388"/>
      <c r="L4" s="388"/>
      <c r="W4" s="382">
        <v>22</v>
      </c>
    </row>
    <row r="5" spans="1:23" s="4133" customFormat="1" ht="18" customHeight="1">
      <c r="A5" s="692"/>
      <c r="D5" s="751"/>
      <c r="E5" s="4387" t="str">
        <f>IF(org=0,"Не определено",org)</f>
        <v>АО "Мурманэнергосбыт"</v>
      </c>
      <c r="F5" s="4387"/>
      <c r="G5" s="4388"/>
      <c r="H5" s="4388"/>
      <c r="I5" s="4389"/>
      <c r="J5" s="426"/>
      <c r="K5" s="388"/>
      <c r="L5" s="388"/>
      <c r="M5" s="442"/>
      <c r="W5" s="691">
        <v>17</v>
      </c>
    </row>
    <row r="6" spans="1:23" s="4132" customFormat="1" ht="11.45" customHeight="1">
      <c r="A6" s="414"/>
      <c r="D6" s="421"/>
      <c r="E6" s="416"/>
      <c r="F6" s="416"/>
      <c r="G6" s="419"/>
      <c r="H6" s="419"/>
      <c r="I6" s="420"/>
      <c r="J6" s="420"/>
      <c r="K6" s="687"/>
      <c r="L6" s="420"/>
      <c r="W6" s="415">
        <v>11</v>
      </c>
    </row>
    <row r="7" spans="1:23" ht="14.65" customHeight="1">
      <c r="D7" s="385"/>
      <c r="E7" s="4372" t="s">
        <v>321</v>
      </c>
      <c r="F7" s="4372"/>
      <c r="G7" s="4373"/>
      <c r="H7" s="4373"/>
      <c r="I7" s="4373"/>
      <c r="J7" s="4373"/>
      <c r="K7" s="4373"/>
      <c r="L7" s="4333" t="s">
        <v>322</v>
      </c>
      <c r="W7" s="382">
        <v>14</v>
      </c>
    </row>
    <row r="8" spans="1:23" ht="48.2" customHeight="1">
      <c r="D8" s="385"/>
      <c r="E8" s="408" t="s">
        <v>92</v>
      </c>
      <c r="F8" s="752"/>
      <c r="G8" s="400" t="s">
        <v>90</v>
      </c>
      <c r="H8" s="400" t="s">
        <v>91</v>
      </c>
      <c r="I8" s="349" t="s">
        <v>89</v>
      </c>
      <c r="J8" s="349" t="s">
        <v>410</v>
      </c>
      <c r="K8" s="349" t="s">
        <v>411</v>
      </c>
      <c r="L8" s="433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4385" t="s">
        <v>412</v>
      </c>
      <c r="M10" s="442"/>
      <c r="N10" s="440"/>
      <c r="O10" s="440"/>
      <c r="P10" s="440"/>
      <c r="Q10" s="440"/>
      <c r="R10" s="440"/>
      <c r="S10" s="440"/>
      <c r="T10" s="440"/>
      <c r="U10" s="440"/>
      <c r="V10" s="440"/>
      <c r="W10" s="382">
        <v>0</v>
      </c>
    </row>
    <row r="11" spans="1:23" ht="15" hidden="1" customHeight="1">
      <c r="A11" s="4259"/>
      <c r="B11" s="439"/>
      <c r="C11" s="439"/>
      <c r="D11" s="790"/>
      <c r="E11" s="448"/>
      <c r="F11" s="448"/>
      <c r="G11" s="448"/>
      <c r="H11" s="448"/>
      <c r="I11" s="449"/>
      <c r="J11" s="450"/>
      <c r="K11" s="648"/>
      <c r="L11" s="4399"/>
      <c r="M11" s="446"/>
      <c r="N11" s="446"/>
      <c r="O11" s="446"/>
      <c r="P11" s="451"/>
      <c r="Q11" s="451"/>
      <c r="R11" s="452"/>
      <c r="S11" s="446"/>
      <c r="T11" s="446"/>
      <c r="U11" s="446"/>
      <c r="V11" s="446"/>
      <c r="W11" s="382">
        <v>0</v>
      </c>
    </row>
    <row r="12" spans="1:23" s="4132" customFormat="1" ht="15" customHeight="1">
      <c r="A12" s="4259"/>
      <c r="B12" s="439"/>
      <c r="C12" s="439"/>
      <c r="D12" s="791"/>
      <c r="E12" s="752">
        <v>1</v>
      </c>
      <c r="F12" s="789">
        <v>23</v>
      </c>
      <c r="G12" s="788"/>
      <c r="H12" s="722"/>
      <c r="I12" s="720"/>
      <c r="J12" s="455" t="s">
        <v>65</v>
      </c>
      <c r="K12" s="1082" t="s">
        <v>28</v>
      </c>
      <c r="L12" s="4399"/>
      <c r="M12" s="446"/>
      <c r="N12" s="446"/>
      <c r="O12" s="446"/>
      <c r="P12" s="451" t="s">
        <v>413</v>
      </c>
      <c r="Q12" s="451" t="s">
        <v>414</v>
      </c>
      <c r="R12" s="452" t="s">
        <v>415</v>
      </c>
      <c r="S12" s="446" t="s">
        <v>416</v>
      </c>
      <c r="T12" s="446"/>
      <c r="U12" s="446"/>
      <c r="V12" s="446"/>
      <c r="W12" s="415">
        <v>14</v>
      </c>
    </row>
    <row r="13" spans="1:23" ht="15.75" customHeight="1">
      <c r="A13" s="4259"/>
      <c r="B13" s="440"/>
      <c r="D13" s="441"/>
      <c r="E13" s="340"/>
      <c r="F13" s="464"/>
      <c r="G13" s="351" t="s">
        <v>106</v>
      </c>
      <c r="H13" s="339"/>
      <c r="I13" s="339"/>
      <c r="J13" s="339"/>
      <c r="K13" s="338"/>
      <c r="L13" s="438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86</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Y1" s="263"/>
      <c r="Z1" s="263"/>
      <c r="AG1" s="263"/>
      <c r="AH1" s="263"/>
      <c r="AS1" s="1073" t="s">
        <v>14</v>
      </c>
    </row>
    <row r="2" spans="1:45" ht="21" hidden="1" customHeight="1">
      <c r="A2" s="1281"/>
      <c r="B2" s="1281"/>
      <c r="C2" s="1281"/>
      <c r="D2" s="1281"/>
      <c r="E2" s="4412">
        <v>1</v>
      </c>
      <c r="F2" s="1281"/>
      <c r="G2" s="1281"/>
      <c r="H2" s="1281"/>
      <c r="I2" s="1281"/>
      <c r="J2" s="1281"/>
      <c r="K2" s="1281"/>
      <c r="L2" s="1282"/>
      <c r="M2" s="1283"/>
      <c r="N2" s="1283"/>
      <c r="O2" s="1283"/>
      <c r="P2" s="296"/>
      <c r="Q2" s="295"/>
      <c r="R2" s="290"/>
      <c r="S2" s="1227"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435"/>
      <c r="AP2" s="435" t="str">
        <f t="shared" ref="AP2:AP15" si="0">IF(T2="","",T2)</f>
        <v>Наименование тарифа</v>
      </c>
      <c r="AQ2" s="435"/>
      <c r="AR2" s="435"/>
      <c r="AS2" s="1073">
        <v>0</v>
      </c>
    </row>
    <row r="3" spans="1:45" ht="21" hidden="1" customHeight="1">
      <c r="A3" s="1281"/>
      <c r="B3" s="1281"/>
      <c r="C3" s="1281"/>
      <c r="D3" s="1281"/>
      <c r="E3" s="4413"/>
      <c r="F3" s="4412">
        <v>1</v>
      </c>
      <c r="G3" s="1281"/>
      <c r="H3" s="1281"/>
      <c r="I3" s="1281"/>
      <c r="J3" s="1281"/>
      <c r="K3" s="1281"/>
      <c r="L3" s="1282"/>
      <c r="M3" s="1283"/>
      <c r="N3" s="1283"/>
      <c r="O3" s="1283"/>
      <c r="P3" s="1222"/>
      <c r="Q3" s="287"/>
      <c r="R3" s="288"/>
      <c r="S3" s="1227"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435"/>
      <c r="AP3" s="435" t="str">
        <f t="shared" si="0"/>
        <v>Территория действия тарифа</v>
      </c>
      <c r="AQ3" s="435"/>
      <c r="AR3" s="435"/>
      <c r="AS3" s="1073">
        <v>0</v>
      </c>
    </row>
    <row r="4" spans="1:45" ht="23.25" hidden="1" customHeight="1">
      <c r="A4" s="1281"/>
      <c r="B4" s="1281"/>
      <c r="C4" s="1281"/>
      <c r="D4" s="1281"/>
      <c r="E4" s="4413"/>
      <c r="F4" s="4413"/>
      <c r="G4" s="4412">
        <v>1</v>
      </c>
      <c r="H4" s="1281"/>
      <c r="I4" s="1281"/>
      <c r="J4" s="1281"/>
      <c r="K4" s="1281"/>
      <c r="L4" s="1282"/>
      <c r="M4" s="1283"/>
      <c r="N4" s="1283"/>
      <c r="O4" s="1283"/>
      <c r="P4" s="289"/>
      <c r="Q4" s="287"/>
      <c r="R4" s="288"/>
      <c r="S4" s="1227"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413"/>
      <c r="F5" s="4413"/>
      <c r="G5" s="4413"/>
      <c r="H5" s="4412">
        <v>1</v>
      </c>
      <c r="I5" s="1281"/>
      <c r="J5" s="1281"/>
      <c r="K5" s="1281"/>
      <c r="L5" s="1282"/>
      <c r="M5" s="1283"/>
      <c r="N5" s="1283"/>
      <c r="O5" s="1283"/>
      <c r="P5" s="289"/>
      <c r="Q5" s="287"/>
      <c r="R5" s="288"/>
      <c r="S5" s="1227"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435"/>
      <c r="AP5" s="435" t="str">
        <f t="shared" si="0"/>
        <v xml:space="preserve">Источник тепловой энергии  </v>
      </c>
      <c r="AQ5" s="435"/>
      <c r="AR5" s="435"/>
      <c r="AS5" s="1073">
        <v>0</v>
      </c>
    </row>
    <row r="6" spans="1:45" ht="47.25" hidden="1" customHeight="1">
      <c r="A6" s="1281"/>
      <c r="B6" s="1281"/>
      <c r="C6" s="1281"/>
      <c r="D6" s="1281"/>
      <c r="E6" s="4413"/>
      <c r="F6" s="4413"/>
      <c r="G6" s="4413"/>
      <c r="H6" s="4413"/>
      <c r="I6" s="4414" t="e">
        <f>S5&amp;".1"</f>
        <v>#N/A</v>
      </c>
      <c r="J6" s="1281"/>
      <c r="K6" s="1281"/>
      <c r="L6" s="1282" t="s">
        <v>424</v>
      </c>
      <c r="M6" s="472"/>
      <c r="P6" s="4416">
        <v>1</v>
      </c>
      <c r="Q6" s="1223"/>
      <c r="R6" s="291"/>
      <c r="S6" s="1227" t="e">
        <f>$I6</f>
        <v>#N/A</v>
      </c>
      <c r="T6" s="221" t="s">
        <v>425</v>
      </c>
      <c r="U6" s="236"/>
      <c r="V6" s="4400"/>
      <c r="W6" s="4401"/>
      <c r="X6" s="4401"/>
      <c r="Y6" s="4401"/>
      <c r="Z6" s="4401"/>
      <c r="AA6" s="4401"/>
      <c r="AB6" s="4401"/>
      <c r="AC6" s="4402"/>
      <c r="AD6" s="4400"/>
      <c r="AE6" s="4401"/>
      <c r="AF6" s="4401"/>
      <c r="AG6" s="4401"/>
      <c r="AH6" s="4401"/>
      <c r="AI6" s="4401"/>
      <c r="AJ6" s="4401"/>
      <c r="AK6" s="4401"/>
      <c r="AL6" s="4402"/>
      <c r="AM6" s="1176" t="s">
        <v>426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4413"/>
      <c r="F7" s="4413"/>
      <c r="G7" s="4413"/>
      <c r="H7" s="4413"/>
      <c r="I7" s="4415"/>
      <c r="J7" s="4414" t="e">
        <f>I6&amp;".1"</f>
        <v>#N/A</v>
      </c>
      <c r="K7" s="1281"/>
      <c r="L7" s="1282" t="s">
        <v>427</v>
      </c>
      <c r="M7" s="472"/>
      <c r="N7" s="1284"/>
      <c r="P7" s="4416"/>
      <c r="Q7" s="4416">
        <v>1</v>
      </c>
      <c r="R7" s="292"/>
      <c r="S7" s="1227"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435"/>
      <c r="AP7" s="435" t="str">
        <f t="shared" si="0"/>
        <v>Группа потребителей</v>
      </c>
      <c r="AQ7" s="435"/>
      <c r="AR7" s="435"/>
      <c r="AS7" s="1073">
        <v>0</v>
      </c>
    </row>
    <row r="8" spans="1:45" ht="21"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227"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61"/>
      <c r="AM8" s="4435" t="s">
        <v>431</v>
      </c>
      <c r="AN8" s="446" t="e">
        <f ca="1">STRCHECKDATE(V9:AL9)</f>
        <v>#NAME?</v>
      </c>
      <c r="AO8" s="435"/>
      <c r="AP8" s="435" t="str">
        <f t="shared" si="0"/>
        <v/>
      </c>
      <c r="AQ8" s="435"/>
      <c r="AR8" s="435"/>
      <c r="AS8" s="1073">
        <v>0</v>
      </c>
    </row>
    <row r="9" spans="1:45" ht="0.75" hidden="1" customHeight="1">
      <c r="A9" s="1281"/>
      <c r="B9" s="1281"/>
      <c r="C9" s="1281"/>
      <c r="D9" s="1281"/>
      <c r="E9" s="4413"/>
      <c r="F9" s="4413"/>
      <c r="G9" s="4413"/>
      <c r="H9" s="4413"/>
      <c r="I9" s="4415"/>
      <c r="J9" s="4415"/>
      <c r="K9" s="4414"/>
      <c r="L9" s="1282"/>
      <c r="M9" s="472"/>
      <c r="N9" s="1284"/>
      <c r="O9" s="1284"/>
      <c r="P9" s="4416"/>
      <c r="Q9" s="4416"/>
      <c r="R9" s="292"/>
      <c r="S9" s="1224"/>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435"/>
      <c r="AP9" s="435" t="str">
        <f t="shared" si="0"/>
        <v/>
      </c>
      <c r="AQ9" s="435"/>
      <c r="AR9" s="435"/>
      <c r="AS9" s="1073">
        <v>0</v>
      </c>
    </row>
    <row r="10" spans="1:45" ht="15" hidden="1" customHeight="1">
      <c r="A10" s="1281"/>
      <c r="B10" s="1281"/>
      <c r="C10" s="1281"/>
      <c r="D10" s="1281"/>
      <c r="E10" s="4413"/>
      <c r="F10" s="4413"/>
      <c r="G10" s="4413"/>
      <c r="H10" s="4413"/>
      <c r="I10" s="4415"/>
      <c r="J10" s="4414"/>
      <c r="K10" s="1281"/>
      <c r="L10" s="1282"/>
      <c r="M10" s="472"/>
      <c r="N10" s="1284"/>
      <c r="P10" s="4416"/>
      <c r="Q10" s="4416"/>
      <c r="R10" s="291"/>
      <c r="S10" s="1196"/>
      <c r="T10" s="224" t="s">
        <v>432</v>
      </c>
      <c r="U10" s="302"/>
      <c r="V10" s="302"/>
      <c r="W10" s="302"/>
      <c r="X10" s="302"/>
      <c r="Y10" s="302"/>
      <c r="Z10" s="302"/>
      <c r="AA10" s="302"/>
      <c r="AB10" s="302"/>
      <c r="AC10" s="302"/>
      <c r="AD10" s="302"/>
      <c r="AE10" s="302"/>
      <c r="AF10" s="302"/>
      <c r="AG10" s="302"/>
      <c r="AH10" s="302"/>
      <c r="AI10" s="302"/>
      <c r="AJ10" s="302"/>
      <c r="AK10" s="302"/>
      <c r="AL10" s="260"/>
      <c r="AM10" s="443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413"/>
      <c r="F11" s="4413"/>
      <c r="G11" s="4413"/>
      <c r="H11" s="4413"/>
      <c r="I11" s="4414"/>
      <c r="J11" s="1281"/>
      <c r="K11" s="1281"/>
      <c r="L11" s="1282"/>
      <c r="M11" s="472"/>
      <c r="P11" s="4416"/>
      <c r="Q11" s="1223"/>
      <c r="R11" s="291"/>
      <c r="S11" s="1196"/>
      <c r="T11" s="223" t="s">
        <v>433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413"/>
      <c r="F12" s="4413"/>
      <c r="G12" s="4413"/>
      <c r="H12" s="4412"/>
      <c r="I12" s="1281"/>
      <c r="J12" s="1281"/>
      <c r="K12" s="1281"/>
      <c r="L12" s="1282"/>
      <c r="M12" s="1283"/>
      <c r="N12" s="1283"/>
      <c r="O12" s="472"/>
      <c r="P12" s="295"/>
      <c r="Q12" s="310"/>
      <c r="R12" s="290"/>
      <c r="S12" s="1196"/>
      <c r="T12" s="300" t="s">
        <v>434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140" customFormat="1" ht="0.7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40" customFormat="1" ht="0.7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40" customFormat="1" ht="0.7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4410"/>
      <c r="AI17" s="4409" t="s">
        <v>65</v>
      </c>
      <c r="AJ17" s="4410"/>
      <c r="AK17" s="4409" t="s">
        <v>65</v>
      </c>
      <c r="AS17" s="1073">
        <v>0</v>
      </c>
    </row>
    <row r="18" spans="1:45" ht="14.25" hidden="1" customHeight="1">
      <c r="P18" s="1229"/>
      <c r="AD18" s="1278"/>
      <c r="AE18" s="1278"/>
      <c r="AF18" s="1278"/>
      <c r="AG18" s="264" t="str">
        <f>AH17&amp;"-"&amp;AJ17</f>
        <v>-</v>
      </c>
      <c r="AH18" s="4409"/>
      <c r="AI18" s="4409"/>
      <c r="AJ18" s="4409"/>
      <c r="AK18" s="4409"/>
      <c r="AS18" s="1073">
        <v>0</v>
      </c>
    </row>
    <row r="19" spans="1:45" ht="14.25" hidden="1" customHeight="1">
      <c r="P19" s="1229"/>
      <c r="AK19" s="263"/>
      <c r="AS19" s="1073">
        <v>0</v>
      </c>
    </row>
    <row r="20" spans="1:45" s="4139" customFormat="1" ht="22.5" hidden="1" customHeight="1">
      <c r="L20" s="1247"/>
      <c r="M20" s="1280"/>
      <c r="N20" s="1280"/>
      <c r="O20" s="1285" t="s">
        <v>435</v>
      </c>
      <c r="P20" s="1280"/>
      <c r="Q20" s="1289"/>
      <c r="R20" s="1289"/>
      <c r="S20" s="664"/>
      <c r="Z20" s="1285"/>
      <c r="AB20" s="1285"/>
      <c r="AC20" s="1284"/>
      <c r="AH20" s="1285"/>
      <c r="AJ20" s="1285"/>
      <c r="AK20" s="1284"/>
      <c r="AN20" s="446"/>
      <c r="AO20" s="446"/>
      <c r="AP20" s="446"/>
      <c r="AQ20" s="446"/>
      <c r="AR20" s="446"/>
      <c r="AS20" s="1078">
        <v>0</v>
      </c>
    </row>
    <row r="21" spans="1:45" s="413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39" customFormat="1" ht="14.2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43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393"/>
      <c r="U26" s="4393"/>
      <c r="V26" s="4393"/>
      <c r="W26" s="4393"/>
      <c r="X26" s="4393"/>
      <c r="Y26" s="4393"/>
      <c r="Z26" s="4393"/>
      <c r="AA26" s="4393"/>
      <c r="AB26" s="4393"/>
      <c r="AC26" s="4393"/>
      <c r="AD26" s="4393"/>
      <c r="AE26" s="4393"/>
      <c r="AF26" s="4393"/>
      <c r="AG26" s="4393"/>
      <c r="AH26" s="4393"/>
      <c r="AI26" s="4393"/>
      <c r="AJ26" s="4393"/>
      <c r="AK26" s="1161"/>
      <c r="AS26" s="1073">
        <v>14</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262"/>
      <c r="AM29" s="216"/>
      <c r="AN29" s="303"/>
      <c r="AO29" s="303"/>
      <c r="AP29" s="303"/>
      <c r="AQ29" s="303"/>
      <c r="AR29" s="303"/>
      <c r="AS29" s="353">
        <v>0</v>
      </c>
    </row>
    <row r="30" spans="1:45"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262"/>
      <c r="AM30" s="216"/>
      <c r="AN30" s="303"/>
      <c r="AO30" s="303"/>
      <c r="AP30" s="303"/>
      <c r="AQ30" s="303"/>
      <c r="AR30" s="303"/>
      <c r="AS30" s="353">
        <v>0</v>
      </c>
    </row>
    <row r="31" spans="1:45"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262"/>
      <c r="AM31" s="216"/>
      <c r="AN31" s="303"/>
      <c r="AO31" s="303"/>
      <c r="AP31" s="303"/>
      <c r="AQ31" s="303"/>
      <c r="AR31" s="303"/>
      <c r="AS31" s="353">
        <v>0</v>
      </c>
    </row>
    <row r="32" spans="1:45"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262"/>
      <c r="AM34" s="216"/>
      <c r="AN34" s="303"/>
      <c r="AO34" s="303"/>
      <c r="AP34" s="303"/>
      <c r="AQ34" s="303"/>
      <c r="AR34" s="303"/>
      <c r="AS34" s="353">
        <v>0</v>
      </c>
    </row>
    <row r="35" spans="1:45" s="4149" customFormat="1" ht="18.7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262"/>
      <c r="AM35" s="216"/>
      <c r="AN35" s="303"/>
      <c r="AO35" s="303"/>
      <c r="AP35" s="303"/>
      <c r="AQ35" s="303"/>
      <c r="AR35" s="303"/>
      <c r="AS35" s="353">
        <v>0</v>
      </c>
    </row>
    <row r="36" spans="1:45" s="4149"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445</v>
      </c>
      <c r="AD36" s="262"/>
      <c r="AE36" s="262"/>
      <c r="AF36" s="262"/>
      <c r="AG36" s="262"/>
      <c r="AH36" s="262"/>
      <c r="AI36" s="262"/>
      <c r="AJ36" s="262"/>
      <c r="AK36" s="214" t="s">
        <v>445</v>
      </c>
      <c r="AN36" s="303"/>
      <c r="AO36" s="303"/>
      <c r="AP36" s="303"/>
      <c r="AQ36" s="303"/>
      <c r="AR36" s="303"/>
      <c r="AS36" s="353">
        <v>0</v>
      </c>
    </row>
    <row r="37" spans="1:45"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S37" s="1073">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073">
        <v>14</v>
      </c>
    </row>
    <row r="39" spans="1:45" ht="14.65" customHeight="1">
      <c r="Q39" s="311"/>
      <c r="R39" s="311"/>
      <c r="S39" s="4425" t="s">
        <v>92</v>
      </c>
      <c r="T39" s="4373" t="s">
        <v>446</v>
      </c>
      <c r="U39" s="237"/>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073">
        <v>14</v>
      </c>
    </row>
    <row r="40" spans="1:45" ht="35.65" customHeight="1">
      <c r="Q40" s="311"/>
      <c r="R40" s="311"/>
      <c r="S40" s="4425"/>
      <c r="T40" s="4373"/>
      <c r="U40" s="953"/>
      <c r="V40" s="4345" t="s">
        <v>451</v>
      </c>
      <c r="W40" s="4421" t="s">
        <v>452</v>
      </c>
      <c r="X40" s="4256" t="s">
        <v>453</v>
      </c>
      <c r="Y40" s="4255"/>
      <c r="Z40" s="4256" t="s">
        <v>454</v>
      </c>
      <c r="AA40" s="4261"/>
      <c r="AB40" s="4255"/>
      <c r="AC40" s="4430"/>
      <c r="AD40" s="4345" t="s">
        <v>451</v>
      </c>
      <c r="AE40" s="4421" t="s">
        <v>452</v>
      </c>
      <c r="AF40" s="4256" t="s">
        <v>453</v>
      </c>
      <c r="AG40" s="4255"/>
      <c r="AH40" s="4256" t="s">
        <v>454</v>
      </c>
      <c r="AI40" s="4261"/>
      <c r="AJ40" s="4255"/>
      <c r="AK40" s="4430"/>
      <c r="AL40" s="4433"/>
      <c r="AM40" s="4274"/>
      <c r="AS40" s="1073">
        <v>34</v>
      </c>
    </row>
    <row r="41" spans="1:45" ht="35.65"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Q41" s="311"/>
      <c r="R41" s="311"/>
      <c r="S41" s="4425"/>
      <c r="T41" s="4373"/>
      <c r="U41" s="238"/>
      <c r="V41" s="4398"/>
      <c r="W41" s="4422"/>
      <c r="X41" s="1140" t="s">
        <v>462</v>
      </c>
      <c r="Y41" s="1140" t="s">
        <v>463</v>
      </c>
      <c r="Z41" s="1139" t="s">
        <v>464</v>
      </c>
      <c r="AA41" s="4378" t="s">
        <v>465</v>
      </c>
      <c r="AB41" s="4392"/>
      <c r="AC41" s="4431"/>
      <c r="AD41" s="4398"/>
      <c r="AE41" s="4422"/>
      <c r="AF41" s="1140" t="s">
        <v>462</v>
      </c>
      <c r="AG41" s="1140" t="s">
        <v>463</v>
      </c>
      <c r="AH41" s="1231" t="s">
        <v>464</v>
      </c>
      <c r="AI41" s="4378" t="s">
        <v>465</v>
      </c>
      <c r="AJ41" s="4392"/>
      <c r="AK41" s="4431"/>
      <c r="AL41" s="4434"/>
      <c r="AM41" s="4274"/>
      <c r="AS41" s="1073">
        <v>34</v>
      </c>
    </row>
    <row r="42" spans="1:45"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174">
        <f ca="1">OFFSET(V42,0,-1)+1</f>
        <v>3</v>
      </c>
      <c r="W42" s="1174"/>
      <c r="X42" s="1174">
        <f ca="1">OFFSET(X42,0,-1)+1</f>
        <v>1</v>
      </c>
      <c r="Y42" s="1174">
        <f ca="1">OFFSET(Y42,0,-1)+1</f>
        <v>2</v>
      </c>
      <c r="Z42" s="1174">
        <f ca="1">OFFSET(Z42,0,-1)+1</f>
        <v>3</v>
      </c>
      <c r="AA42" s="4423">
        <f ca="1">OFFSET(AA42,0,-1)+1</f>
        <v>4</v>
      </c>
      <c r="AB42" s="4423"/>
      <c r="AC42" s="1174">
        <f ca="1">OFFSET(AC42,0,-2)+1</f>
        <v>5</v>
      </c>
      <c r="AD42" s="1230">
        <f ca="1">OFFSET(AD42,0,-1)+1</f>
        <v>6</v>
      </c>
      <c r="AE42" s="1230"/>
      <c r="AF42" s="1230">
        <f ca="1">OFFSET(AF42,0,-1)+1</f>
        <v>1</v>
      </c>
      <c r="AG42" s="1230">
        <f ca="1">OFFSET(AG42,0,-1)+1</f>
        <v>2</v>
      </c>
      <c r="AH42" s="1230">
        <f ca="1">OFFSET(AH42,0,-1)+1</f>
        <v>3</v>
      </c>
      <c r="AI42" s="4423">
        <f ca="1">OFFSET(AI42,0,-1)+1</f>
        <v>4</v>
      </c>
      <c r="AJ42" s="4423"/>
      <c r="AK42" s="1230">
        <f ca="1">OFFSET(AK42,0,-2)+1</f>
        <v>5</v>
      </c>
      <c r="AL42" s="1163">
        <f ca="1">OFFSET(AL42,0,-1)</f>
        <v>5</v>
      </c>
      <c r="AM42" s="1174">
        <f ca="1">OFFSET(AM42,0,-1)+1</f>
        <v>6</v>
      </c>
      <c r="AN42" s="446"/>
      <c r="AO42" s="446"/>
      <c r="AP42" s="446"/>
      <c r="AQ42" s="446"/>
      <c r="AR42" s="446"/>
      <c r="AS42" s="431">
        <v>0</v>
      </c>
    </row>
    <row r="43" spans="1:45" ht="24" customHeight="1">
      <c r="A43" s="1281" t="s">
        <v>159</v>
      </c>
      <c r="B43" s="1281"/>
      <c r="C43" s="1281"/>
      <c r="D43" s="1281"/>
      <c r="E43" s="441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159</v>
      </c>
      <c r="B44" s="1281" t="s">
        <v>160</v>
      </c>
      <c r="C44" s="1281"/>
      <c r="D44" s="1281"/>
      <c r="E44" s="4413"/>
      <c r="F44" s="4412">
        <v>1</v>
      </c>
      <c r="G44" s="1281"/>
      <c r="H44" s="1281"/>
      <c r="I44" s="1281"/>
      <c r="J44" s="1281"/>
      <c r="K44" s="1281"/>
      <c r="L44" s="1282"/>
      <c r="M44" s="1283"/>
      <c r="N44" s="1283"/>
      <c r="O44" s="1283"/>
      <c r="P44" s="457"/>
      <c r="Q44" s="287"/>
      <c r="R44" s="288"/>
      <c r="S44" s="1142" t="str">
        <f>INDEX(PT_DIFFERENTIATION_NUM_TER,MATCH(B44,PT_DIFFERENTIATION_TER_ID,0))</f>
        <v>.</v>
      </c>
      <c r="T44" s="244"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435"/>
      <c r="AP44" s="435" t="str">
        <f t="shared" si="1"/>
        <v>Территория действия тарифа</v>
      </c>
      <c r="AQ44" s="435"/>
      <c r="AR44" s="435"/>
      <c r="AS44" s="1073">
        <v>23</v>
      </c>
    </row>
    <row r="45" spans="1:45" ht="24" customHeight="1">
      <c r="A45" s="1281" t="s">
        <v>159</v>
      </c>
      <c r="B45" s="1281" t="s">
        <v>160</v>
      </c>
      <c r="C45" s="1281" t="s">
        <v>161</v>
      </c>
      <c r="D45" s="1281"/>
      <c r="E45" s="4413"/>
      <c r="F45" s="4413"/>
      <c r="G45" s="4412">
        <v>1</v>
      </c>
      <c r="H45" s="1281"/>
      <c r="I45" s="1281"/>
      <c r="J45" s="1281"/>
      <c r="K45" s="1281"/>
      <c r="L45" s="1282"/>
      <c r="M45" s="1283"/>
      <c r="N45" s="1283"/>
      <c r="O45" s="1283"/>
      <c r="P45" s="289"/>
      <c r="Q45" s="287"/>
      <c r="R45" s="288"/>
      <c r="S45" s="1142"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435"/>
      <c r="AP45" s="435" t="str">
        <f t="shared" si="1"/>
        <v xml:space="preserve">Наименование системы теплоснабжения </v>
      </c>
      <c r="AQ45" s="435"/>
      <c r="AR45" s="435"/>
      <c r="AS45" s="1073">
        <v>23</v>
      </c>
    </row>
    <row r="46" spans="1:45" ht="24" customHeight="1">
      <c r="A46" s="1281" t="s">
        <v>159</v>
      </c>
      <c r="B46" s="1281" t="s">
        <v>160</v>
      </c>
      <c r="C46" s="1281" t="s">
        <v>161</v>
      </c>
      <c r="D46" s="1281" t="s">
        <v>162</v>
      </c>
      <c r="E46" s="4413"/>
      <c r="F46" s="4413"/>
      <c r="G46" s="4413"/>
      <c r="H46" s="4412">
        <v>1</v>
      </c>
      <c r="I46" s="1281"/>
      <c r="J46" s="1281"/>
      <c r="K46" s="1281"/>
      <c r="L46" s="1282"/>
      <c r="M46" s="1283"/>
      <c r="N46" s="1283"/>
      <c r="O46" s="1283"/>
      <c r="P46" s="289"/>
      <c r="Q46" s="287"/>
      <c r="R46" s="288"/>
      <c r="S46" s="1142"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435"/>
      <c r="AP46" s="435" t="str">
        <f t="shared" si="1"/>
        <v xml:space="preserve">Источник тепловой энергии  </v>
      </c>
      <c r="AQ46" s="435"/>
      <c r="AR46" s="435"/>
      <c r="AS46" s="1073">
        <v>23</v>
      </c>
    </row>
    <row r="47" spans="1:45" ht="49.5" customHeight="1">
      <c r="A47" s="1281" t="s">
        <v>159</v>
      </c>
      <c r="B47" s="1281" t="s">
        <v>160</v>
      </c>
      <c r="C47" s="1281" t="s">
        <v>161</v>
      </c>
      <c r="D47" s="1281" t="s">
        <v>162</v>
      </c>
      <c r="E47" s="4413"/>
      <c r="F47" s="4413"/>
      <c r="G47" s="4413"/>
      <c r="H47" s="4413"/>
      <c r="I47" s="4414" t="str">
        <f>S46&amp;".1"</f>
        <v>....1</v>
      </c>
      <c r="J47" s="1281"/>
      <c r="K47" s="1281"/>
      <c r="L47" s="1282" t="s">
        <v>424</v>
      </c>
      <c r="P47" s="4416">
        <v>1</v>
      </c>
      <c r="Q47" s="1138"/>
      <c r="R47" s="291"/>
      <c r="S47" s="1142" t="str">
        <f>$I47</f>
        <v>....1</v>
      </c>
      <c r="T47" s="221" t="s">
        <v>425</v>
      </c>
      <c r="U47" s="236"/>
      <c r="V47" s="4400"/>
      <c r="W47" s="4401"/>
      <c r="X47" s="4401"/>
      <c r="Y47" s="4401"/>
      <c r="Z47" s="4401"/>
      <c r="AA47" s="4401"/>
      <c r="AB47" s="4401"/>
      <c r="AC47" s="4402"/>
      <c r="AD47" s="4400"/>
      <c r="AE47" s="4401"/>
      <c r="AF47" s="4401"/>
      <c r="AG47" s="4401"/>
      <c r="AH47" s="4401"/>
      <c r="AI47" s="4401"/>
      <c r="AJ47" s="4401"/>
      <c r="AK47" s="4401"/>
      <c r="AL47" s="4402"/>
      <c r="AM47" s="1176" t="s">
        <v>426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159</v>
      </c>
      <c r="B48" s="1281" t="s">
        <v>160</v>
      </c>
      <c r="C48" s="1281" t="s">
        <v>161</v>
      </c>
      <c r="D48" s="1281" t="s">
        <v>162</v>
      </c>
      <c r="E48" s="4413"/>
      <c r="F48" s="4413"/>
      <c r="G48" s="4413"/>
      <c r="H48" s="4413"/>
      <c r="I48" s="4415"/>
      <c r="J48" s="4414" t="str">
        <f>I47&amp;".1"</f>
        <v>....1.1</v>
      </c>
      <c r="K48" s="1281"/>
      <c r="L48" s="1282" t="s">
        <v>427</v>
      </c>
      <c r="P48" s="4416"/>
      <c r="Q48" s="4416">
        <v>1</v>
      </c>
      <c r="R48" s="292"/>
      <c r="S48" s="1142" t="str">
        <f>$J48</f>
        <v>....1.1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435"/>
      <c r="AP48" s="435" t="str">
        <f t="shared" si="1"/>
        <v>Группа потребителей</v>
      </c>
      <c r="AQ48" s="435"/>
      <c r="AR48" s="435"/>
      <c r="AS48" s="1073">
        <v>23</v>
      </c>
    </row>
    <row r="49" spans="1:45" ht="24" customHeight="1">
      <c r="A49" s="1281" t="s">
        <v>159</v>
      </c>
      <c r="B49" s="1281" t="s">
        <v>160</v>
      </c>
      <c r="C49" s="1281" t="s">
        <v>161</v>
      </c>
      <c r="D49" s="1281" t="s">
        <v>162</v>
      </c>
      <c r="E49" s="4413"/>
      <c r="F49" s="4413"/>
      <c r="G49" s="4413"/>
      <c r="H49" s="4413"/>
      <c r="I49" s="4415"/>
      <c r="J49" s="4415"/>
      <c r="K49" s="4414" t="str">
        <f>J48&amp;".1"</f>
        <v>....1.1.1</v>
      </c>
      <c r="L49" s="1282" t="s">
        <v>430</v>
      </c>
      <c r="P49" s="4416"/>
      <c r="Q49" s="4416"/>
      <c r="R49" s="292">
        <v>1</v>
      </c>
      <c r="S49" s="1142" t="str">
        <f>$K49</f>
        <v>....1.1.1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431</v>
      </c>
      <c r="AN49" s="446" t="e">
        <f ca="1">STRCHECKDATE(V50:AL50)</f>
        <v>#NAME?</v>
      </c>
      <c r="AO49" s="435"/>
      <c r="AP49" s="435" t="str">
        <f t="shared" si="1"/>
        <v/>
      </c>
      <c r="AQ49" s="435"/>
      <c r="AR49" s="435"/>
      <c r="AS49" s="1073">
        <v>23</v>
      </c>
    </row>
    <row r="50" spans="1:45" ht="1.1499999999999999" customHeight="1">
      <c r="A50" s="1281" t="s">
        <v>159</v>
      </c>
      <c r="B50" s="1281" t="s">
        <v>160</v>
      </c>
      <c r="C50" s="1281" t="s">
        <v>161</v>
      </c>
      <c r="D50" s="1281" t="s">
        <v>162</v>
      </c>
      <c r="E50" s="4413"/>
      <c r="F50" s="4413"/>
      <c r="G50" s="4413"/>
      <c r="H50" s="4413"/>
      <c r="I50" s="4415"/>
      <c r="J50" s="4415"/>
      <c r="K50" s="4414"/>
      <c r="L50" s="1282"/>
      <c r="P50" s="4416"/>
      <c r="Q50" s="4416"/>
      <c r="R50" s="292"/>
      <c r="S50" s="1141"/>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435"/>
      <c r="AP50" s="435" t="str">
        <f t="shared" si="1"/>
        <v/>
      </c>
      <c r="AQ50" s="435"/>
      <c r="AR50" s="435"/>
      <c r="AS50" s="1073">
        <v>1</v>
      </c>
    </row>
    <row r="51" spans="1:45" ht="11.45" customHeight="1">
      <c r="A51" s="1281" t="s">
        <v>159</v>
      </c>
      <c r="B51" s="1281" t="s">
        <v>160</v>
      </c>
      <c r="C51" s="1281" t="s">
        <v>161</v>
      </c>
      <c r="D51" s="1281" t="s">
        <v>162</v>
      </c>
      <c r="E51" s="4413"/>
      <c r="F51" s="4413"/>
      <c r="G51" s="4413"/>
      <c r="H51" s="4413"/>
      <c r="I51" s="4415"/>
      <c r="J51" s="4414"/>
      <c r="K51" s="1281"/>
      <c r="L51" s="1282"/>
      <c r="P51" s="4416"/>
      <c r="Q51" s="4416"/>
      <c r="R51" s="291"/>
      <c r="S51" s="1196"/>
      <c r="T51" s="224" t="s">
        <v>432</v>
      </c>
      <c r="U51" s="302"/>
      <c r="V51" s="302"/>
      <c r="W51" s="302"/>
      <c r="X51" s="302"/>
      <c r="Y51" s="302"/>
      <c r="Z51" s="302"/>
      <c r="AA51" s="302"/>
      <c r="AB51" s="302"/>
      <c r="AC51" s="302"/>
      <c r="AD51" s="302"/>
      <c r="AE51" s="302"/>
      <c r="AF51" s="302"/>
      <c r="AG51" s="302"/>
      <c r="AH51" s="302"/>
      <c r="AI51" s="302"/>
      <c r="AJ51" s="302"/>
      <c r="AK51" s="302"/>
      <c r="AL51" s="260"/>
      <c r="AM51" s="4437"/>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4413"/>
      <c r="F52" s="4413"/>
      <c r="G52" s="4413"/>
      <c r="H52" s="4413"/>
      <c r="I52" s="4414"/>
      <c r="J52" s="1281"/>
      <c r="K52" s="1281"/>
      <c r="L52" s="1282"/>
      <c r="P52" s="4416"/>
      <c r="Q52" s="1138"/>
      <c r="R52" s="291"/>
      <c r="S52" s="1196"/>
      <c r="T52" s="223" t="s">
        <v>433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4413"/>
      <c r="F53" s="4413"/>
      <c r="G53" s="4413"/>
      <c r="H53" s="4412"/>
      <c r="I53" s="1281"/>
      <c r="J53" s="1281"/>
      <c r="K53" s="1281"/>
      <c r="L53" s="1282"/>
      <c r="M53" s="1283"/>
      <c r="N53" s="1283"/>
      <c r="O53" s="472"/>
      <c r="P53" s="295"/>
      <c r="Q53" s="310"/>
      <c r="R53" s="290"/>
      <c r="S53" s="1196"/>
      <c r="T53" s="300" t="s">
        <v>434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140" customFormat="1" ht="1.1499999999999999" customHeight="1">
      <c r="A54" s="1261" t="s">
        <v>159</v>
      </c>
      <c r="B54" s="1261" t="s">
        <v>160</v>
      </c>
      <c r="C54" s="1261" t="s">
        <v>161</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40" customFormat="1" ht="1.1499999999999999" customHeight="1">
      <c r="A55" s="1261" t="s">
        <v>159</v>
      </c>
      <c r="B55" s="1261" t="s">
        <v>160</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40" customFormat="1" ht="1.1499999999999999" customHeight="1">
      <c r="A56" s="1261" t="s">
        <v>159</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4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073">
        <v>27</v>
      </c>
    </row>
    <row r="60" spans="1:45" ht="67.150000000000006" customHeight="1">
      <c r="O60" s="472"/>
      <c r="P60" s="1221"/>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073">
        <v>64</v>
      </c>
    </row>
    <row r="61" spans="1:45" ht="14.65" customHeight="1">
      <c r="O61" s="472"/>
      <c r="AS61" s="1073">
        <v>14</v>
      </c>
    </row>
    <row r="62" spans="1:45" ht="18.75" customHeight="1">
      <c r="O62" s="472"/>
      <c r="P62" s="1246"/>
      <c r="S62" s="1171"/>
      <c r="T62" s="4411"/>
      <c r="U62" s="4411"/>
      <c r="V62" s="4411"/>
      <c r="W62" s="4411"/>
      <c r="X62" s="4411"/>
      <c r="Y62" s="4411"/>
      <c r="Z62" s="4411"/>
      <c r="AA62" s="4411"/>
      <c r="AB62" s="4411"/>
      <c r="AC62" s="4411"/>
      <c r="AD62" s="4411"/>
      <c r="AE62" s="4411"/>
      <c r="AF62" s="4411"/>
      <c r="AG62" s="4411"/>
      <c r="AH62" s="4411"/>
      <c r="AI62" s="4411"/>
      <c r="AJ62" s="4411"/>
      <c r="AK62" s="4411"/>
      <c r="AL62" s="4411"/>
      <c r="AM62" s="4411"/>
      <c r="AS62" s="1073">
        <v>18</v>
      </c>
    </row>
    <row r="63" spans="1:45" ht="18.75" customHeight="1">
      <c r="O63" s="472"/>
      <c r="P63" s="1246"/>
      <c r="T63" s="4411"/>
      <c r="U63" s="4411"/>
      <c r="V63" s="4411"/>
      <c r="W63" s="4411"/>
      <c r="X63" s="4411"/>
      <c r="Y63" s="4411"/>
      <c r="Z63" s="4411"/>
      <c r="AA63" s="4411"/>
      <c r="AB63" s="4411"/>
      <c r="AC63" s="4411"/>
      <c r="AD63" s="4411"/>
      <c r="AE63" s="4411"/>
      <c r="AF63" s="4411"/>
      <c r="AG63" s="4411"/>
      <c r="AH63" s="4411"/>
      <c r="AI63" s="4411"/>
      <c r="AJ63" s="4411"/>
      <c r="AK63" s="4411"/>
      <c r="AL63" s="4411"/>
      <c r="AM63" s="4411"/>
      <c r="AS63" s="1073">
        <v>18</v>
      </c>
    </row>
    <row r="64" spans="1:45" ht="29.25" customHeight="1">
      <c r="O64" s="472"/>
      <c r="P64" s="1246"/>
      <c r="S64" s="1171"/>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073">
        <v>28</v>
      </c>
    </row>
    <row r="65" spans="1:45" ht="22.5" hidden="1" customHeight="1">
      <c r="A65" s="1078" t="s">
        <v>86</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O93"/>
  <sheetViews>
    <sheetView showGridLines="0" topLeftCell="P25" zoomScale="70" workbookViewId="0">
      <selection activeCell="GN77" sqref="GN77"/>
    </sheetView>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3" style="4133" customWidth="1"/>
    <col min="35" max="35" width="3.7109375" style="4133" customWidth="1"/>
    <col min="36" max="36" width="11" style="4133" customWidth="1"/>
    <col min="37" max="37" width="8.5703125" style="4133" customWidth="1"/>
    <col min="189" max="189" width="10.5703125" style="4198" hidden="1"/>
    <col min="190" max="190" width="4" style="4133" customWidth="1"/>
    <col min="191" max="191" width="115" style="4133" customWidth="1"/>
    <col min="192" max="196" width="10" style="4140" customWidth="1"/>
    <col min="197" max="197" width="10.5703125" style="4133" hidden="1"/>
  </cols>
  <sheetData>
    <row r="1" spans="1:197" ht="22.5" hidden="1" customHeight="1">
      <c r="Y1" s="263"/>
      <c r="Z1" s="263"/>
      <c r="AG1" s="263"/>
      <c r="AH1" s="263"/>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5"/>
      <c r="BK1" s="2055"/>
      <c r="BL1" s="2055"/>
      <c r="BM1" s="2055"/>
      <c r="BN1" s="2055"/>
      <c r="BO1" s="2055"/>
      <c r="BP1" s="2055"/>
      <c r="BQ1" s="2055"/>
      <c r="BR1" s="2055"/>
      <c r="BS1" s="2055"/>
      <c r="BT1" s="2055"/>
      <c r="BU1" s="2055"/>
      <c r="BV1" s="2055"/>
      <c r="BW1" s="2055"/>
      <c r="BX1" s="2055"/>
      <c r="BY1" s="2055"/>
      <c r="BZ1" s="2055"/>
      <c r="CA1" s="2055"/>
      <c r="CB1" s="2055"/>
      <c r="CC1" s="2055"/>
      <c r="CD1" s="2055"/>
      <c r="CE1" s="2055"/>
      <c r="CF1" s="2055"/>
      <c r="CG1" s="2055"/>
      <c r="CH1" s="2055"/>
      <c r="CI1" s="2055"/>
      <c r="CJ1" s="2055"/>
      <c r="CK1" s="2055"/>
      <c r="CL1" s="2055"/>
      <c r="CM1" s="2055"/>
      <c r="CN1" s="2055"/>
      <c r="CO1" s="2055"/>
      <c r="CP1" s="2055"/>
      <c r="CQ1" s="2055"/>
      <c r="CR1" s="2055"/>
      <c r="CS1" s="2055"/>
      <c r="CT1" s="2055"/>
      <c r="CU1" s="2055"/>
      <c r="CV1" s="2055"/>
      <c r="CW1" s="2055"/>
      <c r="CX1" s="2055"/>
      <c r="CY1" s="2055"/>
      <c r="CZ1" s="2055"/>
      <c r="DA1" s="2055"/>
      <c r="DB1" s="2055"/>
      <c r="DC1" s="2055"/>
      <c r="DD1" s="2055"/>
      <c r="DE1" s="2055"/>
      <c r="DF1" s="2055"/>
      <c r="DG1" s="2055"/>
      <c r="DH1" s="2055"/>
      <c r="DI1" s="2055"/>
      <c r="DJ1" s="2055"/>
      <c r="DK1" s="2055"/>
      <c r="DL1" s="2055"/>
      <c r="DM1" s="2055"/>
      <c r="DN1" s="2055"/>
      <c r="DO1" s="2055"/>
      <c r="DP1" s="2055"/>
      <c r="DQ1" s="2055"/>
      <c r="DR1" s="2055"/>
      <c r="DS1" s="2055"/>
      <c r="DT1" s="2055"/>
      <c r="DU1" s="2055"/>
      <c r="DV1" s="2055"/>
      <c r="DW1" s="2055"/>
      <c r="DX1" s="2055"/>
      <c r="DY1" s="2055"/>
      <c r="DZ1" s="2055"/>
      <c r="EA1" s="2055"/>
      <c r="EB1" s="2055"/>
      <c r="EC1" s="2055"/>
      <c r="ED1" s="2055"/>
      <c r="EE1" s="2055"/>
      <c r="EF1" s="2055"/>
      <c r="EG1" s="2055"/>
      <c r="EH1" s="2055"/>
      <c r="EI1" s="2055"/>
      <c r="EJ1" s="2055"/>
      <c r="EK1" s="2055"/>
      <c r="EL1" s="2055"/>
      <c r="EM1" s="2055"/>
      <c r="EN1" s="2055"/>
      <c r="EO1" s="2055"/>
      <c r="EP1" s="2055"/>
      <c r="EQ1" s="2055"/>
      <c r="ER1" s="2055"/>
      <c r="ES1" s="2055"/>
      <c r="ET1" s="2055"/>
      <c r="EU1" s="2055"/>
      <c r="EV1" s="2055"/>
      <c r="EW1" s="2055"/>
      <c r="EX1" s="2055"/>
      <c r="EY1" s="2055"/>
      <c r="EZ1" s="2055"/>
      <c r="FA1" s="2055"/>
      <c r="FB1" s="2055"/>
      <c r="FC1" s="2055"/>
      <c r="FD1" s="2055"/>
      <c r="FE1" s="2055"/>
      <c r="FF1" s="2055"/>
      <c r="FG1" s="2055"/>
      <c r="FH1" s="2055"/>
      <c r="FI1" s="2055"/>
      <c r="FJ1" s="2055"/>
      <c r="FK1" s="2055"/>
      <c r="FL1" s="2055"/>
      <c r="FM1" s="2055"/>
      <c r="FN1" s="2055"/>
      <c r="FO1" s="2055"/>
      <c r="FP1" s="2055"/>
      <c r="FQ1" s="2055"/>
      <c r="FR1" s="2055"/>
      <c r="FS1" s="2055"/>
      <c r="FT1" s="2055"/>
      <c r="FU1" s="2055"/>
      <c r="FV1" s="2055"/>
      <c r="FW1" s="2055"/>
      <c r="FX1" s="2055"/>
      <c r="FY1" s="2055"/>
      <c r="FZ1" s="2055"/>
      <c r="GA1" s="2055"/>
      <c r="GB1" s="2055"/>
      <c r="GC1" s="2055"/>
      <c r="GD1" s="2055"/>
      <c r="GE1" s="2055"/>
      <c r="GF1" s="2055"/>
      <c r="GG1" s="2055"/>
      <c r="GO1" s="1073" t="s">
        <v>14</v>
      </c>
    </row>
    <row r="2" spans="1:197" ht="21" hidden="1" customHeight="1">
      <c r="A2" s="1281"/>
      <c r="B2" s="1281"/>
      <c r="C2" s="1281"/>
      <c r="D2" s="1281"/>
      <c r="E2" s="4412">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6"/>
      <c r="AM2" s="4407"/>
      <c r="AN2" s="4407"/>
      <c r="AO2" s="4407"/>
      <c r="AP2" s="4407"/>
      <c r="AQ2" s="4407"/>
      <c r="AR2" s="4407"/>
      <c r="AS2" s="4408"/>
      <c r="AT2" s="4406"/>
      <c r="AU2" s="4407"/>
      <c r="AV2" s="4407"/>
      <c r="AW2" s="4407"/>
      <c r="AX2" s="4407"/>
      <c r="AY2" s="4407"/>
      <c r="AZ2" s="4407"/>
      <c r="BA2" s="4408"/>
      <c r="BB2" s="4406"/>
      <c r="BC2" s="4407"/>
      <c r="BD2" s="4407"/>
      <c r="BE2" s="4407"/>
      <c r="BF2" s="4407"/>
      <c r="BG2" s="4407"/>
      <c r="BH2" s="4407"/>
      <c r="BI2" s="4408"/>
      <c r="BJ2" s="4406"/>
      <c r="BK2" s="4407"/>
      <c r="BL2" s="4407"/>
      <c r="BM2" s="4407"/>
      <c r="BN2" s="4407"/>
      <c r="BO2" s="4407"/>
      <c r="BP2" s="4407"/>
      <c r="BQ2" s="4408"/>
      <c r="BR2" s="4406"/>
      <c r="BS2" s="4407"/>
      <c r="BT2" s="4407"/>
      <c r="BU2" s="4407"/>
      <c r="BV2" s="4407"/>
      <c r="BW2" s="4407"/>
      <c r="BX2" s="4407"/>
      <c r="BY2" s="4408"/>
      <c r="BZ2" s="4406"/>
      <c r="CA2" s="4407"/>
      <c r="CB2" s="4407"/>
      <c r="CC2" s="4407"/>
      <c r="CD2" s="4407"/>
      <c r="CE2" s="4407"/>
      <c r="CF2" s="4407"/>
      <c r="CG2" s="4408"/>
      <c r="CH2" s="4406"/>
      <c r="CI2" s="4407"/>
      <c r="CJ2" s="4407"/>
      <c r="CK2" s="4407"/>
      <c r="CL2" s="4407"/>
      <c r="CM2" s="4407"/>
      <c r="CN2" s="4407"/>
      <c r="CO2" s="4408"/>
      <c r="CP2" s="4406"/>
      <c r="CQ2" s="4407"/>
      <c r="CR2" s="4407"/>
      <c r="CS2" s="4407"/>
      <c r="CT2" s="4407"/>
      <c r="CU2" s="4407"/>
      <c r="CV2" s="4407"/>
      <c r="CW2" s="4408"/>
      <c r="CX2" s="4406"/>
      <c r="CY2" s="4407"/>
      <c r="CZ2" s="4407"/>
      <c r="DA2" s="4407"/>
      <c r="DB2" s="4407"/>
      <c r="DC2" s="4407"/>
      <c r="DD2" s="4407"/>
      <c r="DE2" s="4408"/>
      <c r="DF2" s="4406"/>
      <c r="DG2" s="4407"/>
      <c r="DH2" s="4407"/>
      <c r="DI2" s="4407"/>
      <c r="DJ2" s="4407"/>
      <c r="DK2" s="4407"/>
      <c r="DL2" s="4407"/>
      <c r="DM2" s="4408"/>
      <c r="DN2" s="4406"/>
      <c r="DO2" s="4407"/>
      <c r="DP2" s="4407"/>
      <c r="DQ2" s="4407"/>
      <c r="DR2" s="4407"/>
      <c r="DS2" s="4407"/>
      <c r="DT2" s="4407"/>
      <c r="DU2" s="4408"/>
      <c r="DV2" s="4406"/>
      <c r="DW2" s="4407"/>
      <c r="DX2" s="4407"/>
      <c r="DY2" s="4407"/>
      <c r="DZ2" s="4407"/>
      <c r="EA2" s="4407"/>
      <c r="EB2" s="4407"/>
      <c r="EC2" s="4408"/>
      <c r="ED2" s="4406"/>
      <c r="EE2" s="4407"/>
      <c r="EF2" s="4407"/>
      <c r="EG2" s="4407"/>
      <c r="EH2" s="4407"/>
      <c r="EI2" s="4407"/>
      <c r="EJ2" s="4407"/>
      <c r="EK2" s="4408"/>
      <c r="EL2" s="4406"/>
      <c r="EM2" s="4407"/>
      <c r="EN2" s="4407"/>
      <c r="EO2" s="4407"/>
      <c r="EP2" s="4407"/>
      <c r="EQ2" s="4407"/>
      <c r="ER2" s="4407"/>
      <c r="ES2" s="4408"/>
      <c r="ET2" s="4406"/>
      <c r="EU2" s="4407"/>
      <c r="EV2" s="4407"/>
      <c r="EW2" s="4407"/>
      <c r="EX2" s="4407"/>
      <c r="EY2" s="4407"/>
      <c r="EZ2" s="4407"/>
      <c r="FA2" s="4408"/>
      <c r="FB2" s="4406"/>
      <c r="FC2" s="4407"/>
      <c r="FD2" s="4407"/>
      <c r="FE2" s="4407"/>
      <c r="FF2" s="4407"/>
      <c r="FG2" s="4407"/>
      <c r="FH2" s="4407"/>
      <c r="FI2" s="4408"/>
      <c r="FJ2" s="4406"/>
      <c r="FK2" s="4407"/>
      <c r="FL2" s="4407"/>
      <c r="FM2" s="4407"/>
      <c r="FN2" s="4407"/>
      <c r="FO2" s="4407"/>
      <c r="FP2" s="4407"/>
      <c r="FQ2" s="4408"/>
      <c r="FR2" s="4406"/>
      <c r="FS2" s="4407"/>
      <c r="FT2" s="4407"/>
      <c r="FU2" s="4407"/>
      <c r="FV2" s="4407"/>
      <c r="FW2" s="4407"/>
      <c r="FX2" s="4407"/>
      <c r="FY2" s="4408"/>
      <c r="FZ2" s="4406"/>
      <c r="GA2" s="4407"/>
      <c r="GB2" s="4407"/>
      <c r="GC2" s="4407"/>
      <c r="GD2" s="4407"/>
      <c r="GE2" s="4407"/>
      <c r="GF2" s="4407"/>
      <c r="GG2" s="4408"/>
      <c r="GH2" s="4408"/>
      <c r="GI2" s="1176" t="s">
        <v>417</v>
      </c>
      <c r="GK2" s="435"/>
      <c r="GL2" s="435" t="str">
        <f t="shared" ref="GL2:GL15" si="0">IF(T2="","",T2)</f>
        <v>Наименование тарифа</v>
      </c>
      <c r="GM2" s="435"/>
      <c r="GN2" s="435"/>
      <c r="GO2" s="1073">
        <v>0</v>
      </c>
    </row>
    <row r="3" spans="1:197" ht="21" hidden="1" customHeight="1">
      <c r="A3" s="1281"/>
      <c r="B3" s="1281"/>
      <c r="C3" s="1281"/>
      <c r="D3" s="1281"/>
      <c r="E3" s="4413"/>
      <c r="F3" s="4412">
        <v>1</v>
      </c>
      <c r="G3" s="1281"/>
      <c r="H3" s="1281"/>
      <c r="I3" s="1281"/>
      <c r="J3" s="1281"/>
      <c r="K3" s="1281"/>
      <c r="L3" s="1282"/>
      <c r="M3" s="1283"/>
      <c r="N3" s="1283"/>
      <c r="O3" s="1283"/>
      <c r="P3" s="1250"/>
      <c r="Q3" s="287"/>
      <c r="R3" s="288"/>
      <c r="S3" s="1254"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6"/>
      <c r="AM3" s="4407"/>
      <c r="AN3" s="4407"/>
      <c r="AO3" s="4407"/>
      <c r="AP3" s="4407"/>
      <c r="AQ3" s="4407"/>
      <c r="AR3" s="4407"/>
      <c r="AS3" s="4408"/>
      <c r="AT3" s="4406"/>
      <c r="AU3" s="4407"/>
      <c r="AV3" s="4407"/>
      <c r="AW3" s="4407"/>
      <c r="AX3" s="4407"/>
      <c r="AY3" s="4407"/>
      <c r="AZ3" s="4407"/>
      <c r="BA3" s="4408"/>
      <c r="BB3" s="4406"/>
      <c r="BC3" s="4407"/>
      <c r="BD3" s="4407"/>
      <c r="BE3" s="4407"/>
      <c r="BF3" s="4407"/>
      <c r="BG3" s="4407"/>
      <c r="BH3" s="4407"/>
      <c r="BI3" s="4408"/>
      <c r="BJ3" s="4406"/>
      <c r="BK3" s="4407"/>
      <c r="BL3" s="4407"/>
      <c r="BM3" s="4407"/>
      <c r="BN3" s="4407"/>
      <c r="BO3" s="4407"/>
      <c r="BP3" s="4407"/>
      <c r="BQ3" s="4408"/>
      <c r="BR3" s="4406"/>
      <c r="BS3" s="4407"/>
      <c r="BT3" s="4407"/>
      <c r="BU3" s="4407"/>
      <c r="BV3" s="4407"/>
      <c r="BW3" s="4407"/>
      <c r="BX3" s="4407"/>
      <c r="BY3" s="4408"/>
      <c r="BZ3" s="4406"/>
      <c r="CA3" s="4407"/>
      <c r="CB3" s="4407"/>
      <c r="CC3" s="4407"/>
      <c r="CD3" s="4407"/>
      <c r="CE3" s="4407"/>
      <c r="CF3" s="4407"/>
      <c r="CG3" s="4408"/>
      <c r="CH3" s="4406"/>
      <c r="CI3" s="4407"/>
      <c r="CJ3" s="4407"/>
      <c r="CK3" s="4407"/>
      <c r="CL3" s="4407"/>
      <c r="CM3" s="4407"/>
      <c r="CN3" s="4407"/>
      <c r="CO3" s="4408"/>
      <c r="CP3" s="4406"/>
      <c r="CQ3" s="4407"/>
      <c r="CR3" s="4407"/>
      <c r="CS3" s="4407"/>
      <c r="CT3" s="4407"/>
      <c r="CU3" s="4407"/>
      <c r="CV3" s="4407"/>
      <c r="CW3" s="4408"/>
      <c r="CX3" s="4406"/>
      <c r="CY3" s="4407"/>
      <c r="CZ3" s="4407"/>
      <c r="DA3" s="4407"/>
      <c r="DB3" s="4407"/>
      <c r="DC3" s="4407"/>
      <c r="DD3" s="4407"/>
      <c r="DE3" s="4408"/>
      <c r="DF3" s="4406"/>
      <c r="DG3" s="4407"/>
      <c r="DH3" s="4407"/>
      <c r="DI3" s="4407"/>
      <c r="DJ3" s="4407"/>
      <c r="DK3" s="4407"/>
      <c r="DL3" s="4407"/>
      <c r="DM3" s="4408"/>
      <c r="DN3" s="4406"/>
      <c r="DO3" s="4407"/>
      <c r="DP3" s="4407"/>
      <c r="DQ3" s="4407"/>
      <c r="DR3" s="4407"/>
      <c r="DS3" s="4407"/>
      <c r="DT3" s="4407"/>
      <c r="DU3" s="4408"/>
      <c r="DV3" s="4406"/>
      <c r="DW3" s="4407"/>
      <c r="DX3" s="4407"/>
      <c r="DY3" s="4407"/>
      <c r="DZ3" s="4407"/>
      <c r="EA3" s="4407"/>
      <c r="EB3" s="4407"/>
      <c r="EC3" s="4408"/>
      <c r="ED3" s="4406"/>
      <c r="EE3" s="4407"/>
      <c r="EF3" s="4407"/>
      <c r="EG3" s="4407"/>
      <c r="EH3" s="4407"/>
      <c r="EI3" s="4407"/>
      <c r="EJ3" s="4407"/>
      <c r="EK3" s="4408"/>
      <c r="EL3" s="4406"/>
      <c r="EM3" s="4407"/>
      <c r="EN3" s="4407"/>
      <c r="EO3" s="4407"/>
      <c r="EP3" s="4407"/>
      <c r="EQ3" s="4407"/>
      <c r="ER3" s="4407"/>
      <c r="ES3" s="4408"/>
      <c r="ET3" s="4406"/>
      <c r="EU3" s="4407"/>
      <c r="EV3" s="4407"/>
      <c r="EW3" s="4407"/>
      <c r="EX3" s="4407"/>
      <c r="EY3" s="4407"/>
      <c r="EZ3" s="4407"/>
      <c r="FA3" s="4408"/>
      <c r="FB3" s="4406"/>
      <c r="FC3" s="4407"/>
      <c r="FD3" s="4407"/>
      <c r="FE3" s="4407"/>
      <c r="FF3" s="4407"/>
      <c r="FG3" s="4407"/>
      <c r="FH3" s="4407"/>
      <c r="FI3" s="4408"/>
      <c r="FJ3" s="4406"/>
      <c r="FK3" s="4407"/>
      <c r="FL3" s="4407"/>
      <c r="FM3" s="4407"/>
      <c r="FN3" s="4407"/>
      <c r="FO3" s="4407"/>
      <c r="FP3" s="4407"/>
      <c r="FQ3" s="4408"/>
      <c r="FR3" s="4406"/>
      <c r="FS3" s="4407"/>
      <c r="FT3" s="4407"/>
      <c r="FU3" s="4407"/>
      <c r="FV3" s="4407"/>
      <c r="FW3" s="4407"/>
      <c r="FX3" s="4407"/>
      <c r="FY3" s="4408"/>
      <c r="FZ3" s="4406"/>
      <c r="GA3" s="4407"/>
      <c r="GB3" s="4407"/>
      <c r="GC3" s="4407"/>
      <c r="GD3" s="4407"/>
      <c r="GE3" s="4407"/>
      <c r="GF3" s="4407"/>
      <c r="GG3" s="4408"/>
      <c r="GH3" s="4408"/>
      <c r="GI3" s="1176" t="s">
        <v>419</v>
      </c>
      <c r="GK3" s="435"/>
      <c r="GL3" s="435" t="str">
        <f t="shared" si="0"/>
        <v>Территория действия тарифа</v>
      </c>
      <c r="GM3" s="435"/>
      <c r="GN3" s="435"/>
      <c r="GO3" s="1073">
        <v>0</v>
      </c>
    </row>
    <row r="4" spans="1:197" ht="23.25" hidden="1" customHeight="1">
      <c r="A4" s="1281"/>
      <c r="B4" s="1281"/>
      <c r="C4" s="1281"/>
      <c r="D4" s="1281"/>
      <c r="E4" s="4413"/>
      <c r="F4" s="4413"/>
      <c r="G4" s="4412">
        <v>1</v>
      </c>
      <c r="H4" s="1281"/>
      <c r="I4" s="1281"/>
      <c r="J4" s="1281"/>
      <c r="K4" s="1281"/>
      <c r="L4" s="1282"/>
      <c r="M4" s="1283"/>
      <c r="N4" s="1283"/>
      <c r="O4" s="1283"/>
      <c r="P4" s="289"/>
      <c r="Q4" s="287"/>
      <c r="R4" s="288"/>
      <c r="S4" s="1254"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6"/>
      <c r="AM4" s="4407"/>
      <c r="AN4" s="4407"/>
      <c r="AO4" s="4407"/>
      <c r="AP4" s="4407"/>
      <c r="AQ4" s="4407"/>
      <c r="AR4" s="4407"/>
      <c r="AS4" s="4408"/>
      <c r="AT4" s="4406"/>
      <c r="AU4" s="4407"/>
      <c r="AV4" s="4407"/>
      <c r="AW4" s="4407"/>
      <c r="AX4" s="4407"/>
      <c r="AY4" s="4407"/>
      <c r="AZ4" s="4407"/>
      <c r="BA4" s="4408"/>
      <c r="BB4" s="4406"/>
      <c r="BC4" s="4407"/>
      <c r="BD4" s="4407"/>
      <c r="BE4" s="4407"/>
      <c r="BF4" s="4407"/>
      <c r="BG4" s="4407"/>
      <c r="BH4" s="4407"/>
      <c r="BI4" s="4408"/>
      <c r="BJ4" s="4406"/>
      <c r="BK4" s="4407"/>
      <c r="BL4" s="4407"/>
      <c r="BM4" s="4407"/>
      <c r="BN4" s="4407"/>
      <c r="BO4" s="4407"/>
      <c r="BP4" s="4407"/>
      <c r="BQ4" s="4408"/>
      <c r="BR4" s="4406"/>
      <c r="BS4" s="4407"/>
      <c r="BT4" s="4407"/>
      <c r="BU4" s="4407"/>
      <c r="BV4" s="4407"/>
      <c r="BW4" s="4407"/>
      <c r="BX4" s="4407"/>
      <c r="BY4" s="4408"/>
      <c r="BZ4" s="4406"/>
      <c r="CA4" s="4407"/>
      <c r="CB4" s="4407"/>
      <c r="CC4" s="4407"/>
      <c r="CD4" s="4407"/>
      <c r="CE4" s="4407"/>
      <c r="CF4" s="4407"/>
      <c r="CG4" s="4408"/>
      <c r="CH4" s="4406"/>
      <c r="CI4" s="4407"/>
      <c r="CJ4" s="4407"/>
      <c r="CK4" s="4407"/>
      <c r="CL4" s="4407"/>
      <c r="CM4" s="4407"/>
      <c r="CN4" s="4407"/>
      <c r="CO4" s="4408"/>
      <c r="CP4" s="4406"/>
      <c r="CQ4" s="4407"/>
      <c r="CR4" s="4407"/>
      <c r="CS4" s="4407"/>
      <c r="CT4" s="4407"/>
      <c r="CU4" s="4407"/>
      <c r="CV4" s="4407"/>
      <c r="CW4" s="4408"/>
      <c r="CX4" s="4406"/>
      <c r="CY4" s="4407"/>
      <c r="CZ4" s="4407"/>
      <c r="DA4" s="4407"/>
      <c r="DB4" s="4407"/>
      <c r="DC4" s="4407"/>
      <c r="DD4" s="4407"/>
      <c r="DE4" s="4408"/>
      <c r="DF4" s="4406"/>
      <c r="DG4" s="4407"/>
      <c r="DH4" s="4407"/>
      <c r="DI4" s="4407"/>
      <c r="DJ4" s="4407"/>
      <c r="DK4" s="4407"/>
      <c r="DL4" s="4407"/>
      <c r="DM4" s="4408"/>
      <c r="DN4" s="4406"/>
      <c r="DO4" s="4407"/>
      <c r="DP4" s="4407"/>
      <c r="DQ4" s="4407"/>
      <c r="DR4" s="4407"/>
      <c r="DS4" s="4407"/>
      <c r="DT4" s="4407"/>
      <c r="DU4" s="4408"/>
      <c r="DV4" s="4406"/>
      <c r="DW4" s="4407"/>
      <c r="DX4" s="4407"/>
      <c r="DY4" s="4407"/>
      <c r="DZ4" s="4407"/>
      <c r="EA4" s="4407"/>
      <c r="EB4" s="4407"/>
      <c r="EC4" s="4408"/>
      <c r="ED4" s="4406"/>
      <c r="EE4" s="4407"/>
      <c r="EF4" s="4407"/>
      <c r="EG4" s="4407"/>
      <c r="EH4" s="4407"/>
      <c r="EI4" s="4407"/>
      <c r="EJ4" s="4407"/>
      <c r="EK4" s="4408"/>
      <c r="EL4" s="4406"/>
      <c r="EM4" s="4407"/>
      <c r="EN4" s="4407"/>
      <c r="EO4" s="4407"/>
      <c r="EP4" s="4407"/>
      <c r="EQ4" s="4407"/>
      <c r="ER4" s="4407"/>
      <c r="ES4" s="4408"/>
      <c r="ET4" s="4406"/>
      <c r="EU4" s="4407"/>
      <c r="EV4" s="4407"/>
      <c r="EW4" s="4407"/>
      <c r="EX4" s="4407"/>
      <c r="EY4" s="4407"/>
      <c r="EZ4" s="4407"/>
      <c r="FA4" s="4408"/>
      <c r="FB4" s="4406"/>
      <c r="FC4" s="4407"/>
      <c r="FD4" s="4407"/>
      <c r="FE4" s="4407"/>
      <c r="FF4" s="4407"/>
      <c r="FG4" s="4407"/>
      <c r="FH4" s="4407"/>
      <c r="FI4" s="4408"/>
      <c r="FJ4" s="4406"/>
      <c r="FK4" s="4407"/>
      <c r="FL4" s="4407"/>
      <c r="FM4" s="4407"/>
      <c r="FN4" s="4407"/>
      <c r="FO4" s="4407"/>
      <c r="FP4" s="4407"/>
      <c r="FQ4" s="4408"/>
      <c r="FR4" s="4406"/>
      <c r="FS4" s="4407"/>
      <c r="FT4" s="4407"/>
      <c r="FU4" s="4407"/>
      <c r="FV4" s="4407"/>
      <c r="FW4" s="4407"/>
      <c r="FX4" s="4407"/>
      <c r="FY4" s="4408"/>
      <c r="FZ4" s="4406"/>
      <c r="GA4" s="4407"/>
      <c r="GB4" s="4407"/>
      <c r="GC4" s="4407"/>
      <c r="GD4" s="4407"/>
      <c r="GE4" s="4407"/>
      <c r="GF4" s="4407"/>
      <c r="GG4" s="4408"/>
      <c r="GH4" s="4408"/>
      <c r="GI4" s="1176" t="s">
        <v>421</v>
      </c>
      <c r="GK4" s="435"/>
      <c r="GL4" s="435" t="str">
        <f t="shared" si="0"/>
        <v xml:space="preserve">Наименование системы теплоснабжения </v>
      </c>
      <c r="GM4" s="435"/>
      <c r="GN4" s="435"/>
      <c r="GO4" s="1073">
        <v>0</v>
      </c>
    </row>
    <row r="5" spans="1:197" ht="21" hidden="1" customHeight="1">
      <c r="A5" s="1281"/>
      <c r="B5" s="1281"/>
      <c r="C5" s="1281"/>
      <c r="D5" s="1281"/>
      <c r="E5" s="4413"/>
      <c r="F5" s="4413"/>
      <c r="G5" s="4413"/>
      <c r="H5" s="4412">
        <v>1</v>
      </c>
      <c r="I5" s="1281"/>
      <c r="J5" s="1281"/>
      <c r="K5" s="1281"/>
      <c r="L5" s="1282"/>
      <c r="M5" s="1283"/>
      <c r="N5" s="1283"/>
      <c r="O5" s="1283"/>
      <c r="P5" s="289"/>
      <c r="Q5" s="287"/>
      <c r="R5" s="288"/>
      <c r="S5" s="1254"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6"/>
      <c r="AM5" s="4407"/>
      <c r="AN5" s="4407"/>
      <c r="AO5" s="4407"/>
      <c r="AP5" s="4407"/>
      <c r="AQ5" s="4407"/>
      <c r="AR5" s="4407"/>
      <c r="AS5" s="4408"/>
      <c r="AT5" s="4406"/>
      <c r="AU5" s="4407"/>
      <c r="AV5" s="4407"/>
      <c r="AW5" s="4407"/>
      <c r="AX5" s="4407"/>
      <c r="AY5" s="4407"/>
      <c r="AZ5" s="4407"/>
      <c r="BA5" s="4408"/>
      <c r="BB5" s="4406"/>
      <c r="BC5" s="4407"/>
      <c r="BD5" s="4407"/>
      <c r="BE5" s="4407"/>
      <c r="BF5" s="4407"/>
      <c r="BG5" s="4407"/>
      <c r="BH5" s="4407"/>
      <c r="BI5" s="4408"/>
      <c r="BJ5" s="4406"/>
      <c r="BK5" s="4407"/>
      <c r="BL5" s="4407"/>
      <c r="BM5" s="4407"/>
      <c r="BN5" s="4407"/>
      <c r="BO5" s="4407"/>
      <c r="BP5" s="4407"/>
      <c r="BQ5" s="4408"/>
      <c r="BR5" s="4406"/>
      <c r="BS5" s="4407"/>
      <c r="BT5" s="4407"/>
      <c r="BU5" s="4407"/>
      <c r="BV5" s="4407"/>
      <c r="BW5" s="4407"/>
      <c r="BX5" s="4407"/>
      <c r="BY5" s="4408"/>
      <c r="BZ5" s="4406"/>
      <c r="CA5" s="4407"/>
      <c r="CB5" s="4407"/>
      <c r="CC5" s="4407"/>
      <c r="CD5" s="4407"/>
      <c r="CE5" s="4407"/>
      <c r="CF5" s="4407"/>
      <c r="CG5" s="4408"/>
      <c r="CH5" s="4406"/>
      <c r="CI5" s="4407"/>
      <c r="CJ5" s="4407"/>
      <c r="CK5" s="4407"/>
      <c r="CL5" s="4407"/>
      <c r="CM5" s="4407"/>
      <c r="CN5" s="4407"/>
      <c r="CO5" s="4408"/>
      <c r="CP5" s="4406"/>
      <c r="CQ5" s="4407"/>
      <c r="CR5" s="4407"/>
      <c r="CS5" s="4407"/>
      <c r="CT5" s="4407"/>
      <c r="CU5" s="4407"/>
      <c r="CV5" s="4407"/>
      <c r="CW5" s="4408"/>
      <c r="CX5" s="4406"/>
      <c r="CY5" s="4407"/>
      <c r="CZ5" s="4407"/>
      <c r="DA5" s="4407"/>
      <c r="DB5" s="4407"/>
      <c r="DC5" s="4407"/>
      <c r="DD5" s="4407"/>
      <c r="DE5" s="4408"/>
      <c r="DF5" s="4406"/>
      <c r="DG5" s="4407"/>
      <c r="DH5" s="4407"/>
      <c r="DI5" s="4407"/>
      <c r="DJ5" s="4407"/>
      <c r="DK5" s="4407"/>
      <c r="DL5" s="4407"/>
      <c r="DM5" s="4408"/>
      <c r="DN5" s="4406"/>
      <c r="DO5" s="4407"/>
      <c r="DP5" s="4407"/>
      <c r="DQ5" s="4407"/>
      <c r="DR5" s="4407"/>
      <c r="DS5" s="4407"/>
      <c r="DT5" s="4407"/>
      <c r="DU5" s="4408"/>
      <c r="DV5" s="4406"/>
      <c r="DW5" s="4407"/>
      <c r="DX5" s="4407"/>
      <c r="DY5" s="4407"/>
      <c r="DZ5" s="4407"/>
      <c r="EA5" s="4407"/>
      <c r="EB5" s="4407"/>
      <c r="EC5" s="4408"/>
      <c r="ED5" s="4406"/>
      <c r="EE5" s="4407"/>
      <c r="EF5" s="4407"/>
      <c r="EG5" s="4407"/>
      <c r="EH5" s="4407"/>
      <c r="EI5" s="4407"/>
      <c r="EJ5" s="4407"/>
      <c r="EK5" s="4408"/>
      <c r="EL5" s="4406"/>
      <c r="EM5" s="4407"/>
      <c r="EN5" s="4407"/>
      <c r="EO5" s="4407"/>
      <c r="EP5" s="4407"/>
      <c r="EQ5" s="4407"/>
      <c r="ER5" s="4407"/>
      <c r="ES5" s="4408"/>
      <c r="ET5" s="4406"/>
      <c r="EU5" s="4407"/>
      <c r="EV5" s="4407"/>
      <c r="EW5" s="4407"/>
      <c r="EX5" s="4407"/>
      <c r="EY5" s="4407"/>
      <c r="EZ5" s="4407"/>
      <c r="FA5" s="4408"/>
      <c r="FB5" s="4406"/>
      <c r="FC5" s="4407"/>
      <c r="FD5" s="4407"/>
      <c r="FE5" s="4407"/>
      <c r="FF5" s="4407"/>
      <c r="FG5" s="4407"/>
      <c r="FH5" s="4407"/>
      <c r="FI5" s="4408"/>
      <c r="FJ5" s="4406"/>
      <c r="FK5" s="4407"/>
      <c r="FL5" s="4407"/>
      <c r="FM5" s="4407"/>
      <c r="FN5" s="4407"/>
      <c r="FO5" s="4407"/>
      <c r="FP5" s="4407"/>
      <c r="FQ5" s="4408"/>
      <c r="FR5" s="4406"/>
      <c r="FS5" s="4407"/>
      <c r="FT5" s="4407"/>
      <c r="FU5" s="4407"/>
      <c r="FV5" s="4407"/>
      <c r="FW5" s="4407"/>
      <c r="FX5" s="4407"/>
      <c r="FY5" s="4408"/>
      <c r="FZ5" s="4406"/>
      <c r="GA5" s="4407"/>
      <c r="GB5" s="4407"/>
      <c r="GC5" s="4407"/>
      <c r="GD5" s="4407"/>
      <c r="GE5" s="4407"/>
      <c r="GF5" s="4407"/>
      <c r="GG5" s="4408"/>
      <c r="GH5" s="4408"/>
      <c r="GI5" s="1176" t="s">
        <v>423</v>
      </c>
      <c r="GK5" s="435"/>
      <c r="GL5" s="435" t="str">
        <f t="shared" si="0"/>
        <v xml:space="preserve">Источник тепловой энергии  </v>
      </c>
      <c r="GM5" s="435"/>
      <c r="GN5" s="435"/>
      <c r="GO5" s="1073">
        <v>0</v>
      </c>
    </row>
    <row r="6" spans="1:197" ht="47.25" hidden="1" customHeight="1">
      <c r="A6" s="1281"/>
      <c r="B6" s="1281"/>
      <c r="C6" s="1281"/>
      <c r="D6" s="1281"/>
      <c r="E6" s="4413"/>
      <c r="F6" s="4413"/>
      <c r="G6" s="4413"/>
      <c r="H6" s="4413"/>
      <c r="I6" s="4414" t="e">
        <f>S5&amp;".1"</f>
        <v>#N/A</v>
      </c>
      <c r="J6" s="1281"/>
      <c r="K6" s="1281"/>
      <c r="L6" s="1282" t="s">
        <v>424</v>
      </c>
      <c r="M6" s="472"/>
      <c r="P6" s="4416">
        <v>1</v>
      </c>
      <c r="Q6" s="1249"/>
      <c r="R6" s="291"/>
      <c r="S6" s="1254" t="e">
        <f>$I6</f>
        <v>#N/A</v>
      </c>
      <c r="T6" s="221" t="s">
        <v>425</v>
      </c>
      <c r="U6" s="236"/>
      <c r="V6" s="4400"/>
      <c r="W6" s="4401"/>
      <c r="X6" s="4401"/>
      <c r="Y6" s="4401"/>
      <c r="Z6" s="4401"/>
      <c r="AA6" s="4401"/>
      <c r="AB6" s="4401"/>
      <c r="AC6" s="4402"/>
      <c r="AD6" s="4400"/>
      <c r="AE6" s="4401"/>
      <c r="AF6" s="4401"/>
      <c r="AG6" s="4401"/>
      <c r="AH6" s="4401"/>
      <c r="AI6" s="4401"/>
      <c r="AJ6" s="4401"/>
      <c r="AK6" s="4401"/>
      <c r="AL6" s="4400"/>
      <c r="AM6" s="4401"/>
      <c r="AN6" s="4401"/>
      <c r="AO6" s="4401"/>
      <c r="AP6" s="4401"/>
      <c r="AQ6" s="4401"/>
      <c r="AR6" s="4401"/>
      <c r="AS6" s="4402"/>
      <c r="AT6" s="4400"/>
      <c r="AU6" s="4401"/>
      <c r="AV6" s="4401"/>
      <c r="AW6" s="4401"/>
      <c r="AX6" s="4401"/>
      <c r="AY6" s="4401"/>
      <c r="AZ6" s="4401"/>
      <c r="BA6" s="4402"/>
      <c r="BB6" s="4400"/>
      <c r="BC6" s="4401"/>
      <c r="BD6" s="4401"/>
      <c r="BE6" s="4401"/>
      <c r="BF6" s="4401"/>
      <c r="BG6" s="4401"/>
      <c r="BH6" s="4401"/>
      <c r="BI6" s="4402"/>
      <c r="BJ6" s="4400"/>
      <c r="BK6" s="4401"/>
      <c r="BL6" s="4401"/>
      <c r="BM6" s="4401"/>
      <c r="BN6" s="4401"/>
      <c r="BO6" s="4401"/>
      <c r="BP6" s="4401"/>
      <c r="BQ6" s="4402"/>
      <c r="BR6" s="4400"/>
      <c r="BS6" s="4401"/>
      <c r="BT6" s="4401"/>
      <c r="BU6" s="4401"/>
      <c r="BV6" s="4401"/>
      <c r="BW6" s="4401"/>
      <c r="BX6" s="4401"/>
      <c r="BY6" s="4402"/>
      <c r="BZ6" s="4400"/>
      <c r="CA6" s="4401"/>
      <c r="CB6" s="4401"/>
      <c r="CC6" s="4401"/>
      <c r="CD6" s="4401"/>
      <c r="CE6" s="4401"/>
      <c r="CF6" s="4401"/>
      <c r="CG6" s="4402"/>
      <c r="CH6" s="4400"/>
      <c r="CI6" s="4401"/>
      <c r="CJ6" s="4401"/>
      <c r="CK6" s="4401"/>
      <c r="CL6" s="4401"/>
      <c r="CM6" s="4401"/>
      <c r="CN6" s="4401"/>
      <c r="CO6" s="4402"/>
      <c r="CP6" s="4400"/>
      <c r="CQ6" s="4401"/>
      <c r="CR6" s="4401"/>
      <c r="CS6" s="4401"/>
      <c r="CT6" s="4401"/>
      <c r="CU6" s="4401"/>
      <c r="CV6" s="4401"/>
      <c r="CW6" s="4402"/>
      <c r="CX6" s="4400"/>
      <c r="CY6" s="4401"/>
      <c r="CZ6" s="4401"/>
      <c r="DA6" s="4401"/>
      <c r="DB6" s="4401"/>
      <c r="DC6" s="4401"/>
      <c r="DD6" s="4401"/>
      <c r="DE6" s="4402"/>
      <c r="DF6" s="4400"/>
      <c r="DG6" s="4401"/>
      <c r="DH6" s="4401"/>
      <c r="DI6" s="4401"/>
      <c r="DJ6" s="4401"/>
      <c r="DK6" s="4401"/>
      <c r="DL6" s="4401"/>
      <c r="DM6" s="4402"/>
      <c r="DN6" s="4400"/>
      <c r="DO6" s="4401"/>
      <c r="DP6" s="4401"/>
      <c r="DQ6" s="4401"/>
      <c r="DR6" s="4401"/>
      <c r="DS6" s="4401"/>
      <c r="DT6" s="4401"/>
      <c r="DU6" s="4402"/>
      <c r="DV6" s="4400"/>
      <c r="DW6" s="4401"/>
      <c r="DX6" s="4401"/>
      <c r="DY6" s="4401"/>
      <c r="DZ6" s="4401"/>
      <c r="EA6" s="4401"/>
      <c r="EB6" s="4401"/>
      <c r="EC6" s="4402"/>
      <c r="ED6" s="4400"/>
      <c r="EE6" s="4401"/>
      <c r="EF6" s="4401"/>
      <c r="EG6" s="4401"/>
      <c r="EH6" s="4401"/>
      <c r="EI6" s="4401"/>
      <c r="EJ6" s="4401"/>
      <c r="EK6" s="4402"/>
      <c r="EL6" s="4400"/>
      <c r="EM6" s="4401"/>
      <c r="EN6" s="4401"/>
      <c r="EO6" s="4401"/>
      <c r="EP6" s="4401"/>
      <c r="EQ6" s="4401"/>
      <c r="ER6" s="4401"/>
      <c r="ES6" s="4402"/>
      <c r="ET6" s="4400"/>
      <c r="EU6" s="4401"/>
      <c r="EV6" s="4401"/>
      <c r="EW6" s="4401"/>
      <c r="EX6" s="4401"/>
      <c r="EY6" s="4401"/>
      <c r="EZ6" s="4401"/>
      <c r="FA6" s="4402"/>
      <c r="FB6" s="4400"/>
      <c r="FC6" s="4401"/>
      <c r="FD6" s="4401"/>
      <c r="FE6" s="4401"/>
      <c r="FF6" s="4401"/>
      <c r="FG6" s="4401"/>
      <c r="FH6" s="4401"/>
      <c r="FI6" s="4402"/>
      <c r="FJ6" s="4400"/>
      <c r="FK6" s="4401"/>
      <c r="FL6" s="4401"/>
      <c r="FM6" s="4401"/>
      <c r="FN6" s="4401"/>
      <c r="FO6" s="4401"/>
      <c r="FP6" s="4401"/>
      <c r="FQ6" s="4402"/>
      <c r="FR6" s="4400"/>
      <c r="FS6" s="4401"/>
      <c r="FT6" s="4401"/>
      <c r="FU6" s="4401"/>
      <c r="FV6" s="4401"/>
      <c r="FW6" s="4401"/>
      <c r="FX6" s="4401"/>
      <c r="FY6" s="4402"/>
      <c r="FZ6" s="4400"/>
      <c r="GA6" s="4401"/>
      <c r="GB6" s="4401"/>
      <c r="GC6" s="4401"/>
      <c r="GD6" s="4401"/>
      <c r="GE6" s="4401"/>
      <c r="GF6" s="4401"/>
      <c r="GG6" s="4402"/>
      <c r="GH6" s="4402"/>
      <c r="GI6" s="1176" t="s">
        <v>426</v>
      </c>
      <c r="GK6" s="435"/>
      <c r="GL6" s="435" t="str">
        <f t="shared" si="0"/>
        <v>Схема подключения теплопотребляющей установки к коллектору источника тепловой энергии</v>
      </c>
      <c r="GM6" s="435"/>
      <c r="GN6" s="435"/>
      <c r="GO6" s="1073">
        <v>0</v>
      </c>
    </row>
    <row r="7" spans="1:197" ht="21" hidden="1" customHeight="1">
      <c r="A7" s="1281"/>
      <c r="B7" s="1281"/>
      <c r="C7" s="1281"/>
      <c r="D7" s="1281"/>
      <c r="E7" s="4413"/>
      <c r="F7" s="4413"/>
      <c r="G7" s="4413"/>
      <c r="H7" s="4413"/>
      <c r="I7" s="4415"/>
      <c r="J7" s="4414" t="e">
        <f>I6&amp;".1"</f>
        <v>#N/A</v>
      </c>
      <c r="K7" s="1281"/>
      <c r="L7" s="1282" t="s">
        <v>427</v>
      </c>
      <c r="M7" s="472"/>
      <c r="N7" s="1284"/>
      <c r="P7" s="4416"/>
      <c r="Q7" s="4416">
        <v>1</v>
      </c>
      <c r="R7" s="292"/>
      <c r="S7" s="1254" t="e">
        <f>$J7</f>
        <v>#N/A</v>
      </c>
      <c r="T7" s="222" t="s">
        <v>428</v>
      </c>
      <c r="U7" s="236"/>
      <c r="V7" s="4400"/>
      <c r="W7" s="4401"/>
      <c r="X7" s="4401"/>
      <c r="Y7" s="4401"/>
      <c r="Z7" s="4401"/>
      <c r="AA7" s="4401"/>
      <c r="AB7" s="4401"/>
      <c r="AC7" s="4402"/>
      <c r="AD7" s="4400"/>
      <c r="AE7" s="4401"/>
      <c r="AF7" s="4401"/>
      <c r="AG7" s="4401"/>
      <c r="AH7" s="4401"/>
      <c r="AI7" s="4401"/>
      <c r="AJ7" s="4401"/>
      <c r="AK7" s="4401"/>
      <c r="AL7" s="4400"/>
      <c r="AM7" s="4401"/>
      <c r="AN7" s="4401"/>
      <c r="AO7" s="4401"/>
      <c r="AP7" s="4401"/>
      <c r="AQ7" s="4401"/>
      <c r="AR7" s="4401"/>
      <c r="AS7" s="4402"/>
      <c r="AT7" s="4400"/>
      <c r="AU7" s="4401"/>
      <c r="AV7" s="4401"/>
      <c r="AW7" s="4401"/>
      <c r="AX7" s="4401"/>
      <c r="AY7" s="4401"/>
      <c r="AZ7" s="4401"/>
      <c r="BA7" s="4402"/>
      <c r="BB7" s="4400"/>
      <c r="BC7" s="4401"/>
      <c r="BD7" s="4401"/>
      <c r="BE7" s="4401"/>
      <c r="BF7" s="4401"/>
      <c r="BG7" s="4401"/>
      <c r="BH7" s="4401"/>
      <c r="BI7" s="4402"/>
      <c r="BJ7" s="4400"/>
      <c r="BK7" s="4401"/>
      <c r="BL7" s="4401"/>
      <c r="BM7" s="4401"/>
      <c r="BN7" s="4401"/>
      <c r="BO7" s="4401"/>
      <c r="BP7" s="4401"/>
      <c r="BQ7" s="4402"/>
      <c r="BR7" s="4400"/>
      <c r="BS7" s="4401"/>
      <c r="BT7" s="4401"/>
      <c r="BU7" s="4401"/>
      <c r="BV7" s="4401"/>
      <c r="BW7" s="4401"/>
      <c r="BX7" s="4401"/>
      <c r="BY7" s="4402"/>
      <c r="BZ7" s="4400"/>
      <c r="CA7" s="4401"/>
      <c r="CB7" s="4401"/>
      <c r="CC7" s="4401"/>
      <c r="CD7" s="4401"/>
      <c r="CE7" s="4401"/>
      <c r="CF7" s="4401"/>
      <c r="CG7" s="4402"/>
      <c r="CH7" s="4400"/>
      <c r="CI7" s="4401"/>
      <c r="CJ7" s="4401"/>
      <c r="CK7" s="4401"/>
      <c r="CL7" s="4401"/>
      <c r="CM7" s="4401"/>
      <c r="CN7" s="4401"/>
      <c r="CO7" s="4402"/>
      <c r="CP7" s="4400"/>
      <c r="CQ7" s="4401"/>
      <c r="CR7" s="4401"/>
      <c r="CS7" s="4401"/>
      <c r="CT7" s="4401"/>
      <c r="CU7" s="4401"/>
      <c r="CV7" s="4401"/>
      <c r="CW7" s="4402"/>
      <c r="CX7" s="4400"/>
      <c r="CY7" s="4401"/>
      <c r="CZ7" s="4401"/>
      <c r="DA7" s="4401"/>
      <c r="DB7" s="4401"/>
      <c r="DC7" s="4401"/>
      <c r="DD7" s="4401"/>
      <c r="DE7" s="4402"/>
      <c r="DF7" s="4400"/>
      <c r="DG7" s="4401"/>
      <c r="DH7" s="4401"/>
      <c r="DI7" s="4401"/>
      <c r="DJ7" s="4401"/>
      <c r="DK7" s="4401"/>
      <c r="DL7" s="4401"/>
      <c r="DM7" s="4402"/>
      <c r="DN7" s="4400"/>
      <c r="DO7" s="4401"/>
      <c r="DP7" s="4401"/>
      <c r="DQ7" s="4401"/>
      <c r="DR7" s="4401"/>
      <c r="DS7" s="4401"/>
      <c r="DT7" s="4401"/>
      <c r="DU7" s="4402"/>
      <c r="DV7" s="4400"/>
      <c r="DW7" s="4401"/>
      <c r="DX7" s="4401"/>
      <c r="DY7" s="4401"/>
      <c r="DZ7" s="4401"/>
      <c r="EA7" s="4401"/>
      <c r="EB7" s="4401"/>
      <c r="EC7" s="4402"/>
      <c r="ED7" s="4400"/>
      <c r="EE7" s="4401"/>
      <c r="EF7" s="4401"/>
      <c r="EG7" s="4401"/>
      <c r="EH7" s="4401"/>
      <c r="EI7" s="4401"/>
      <c r="EJ7" s="4401"/>
      <c r="EK7" s="4402"/>
      <c r="EL7" s="4400"/>
      <c r="EM7" s="4401"/>
      <c r="EN7" s="4401"/>
      <c r="EO7" s="4401"/>
      <c r="EP7" s="4401"/>
      <c r="EQ7" s="4401"/>
      <c r="ER7" s="4401"/>
      <c r="ES7" s="4402"/>
      <c r="ET7" s="4400"/>
      <c r="EU7" s="4401"/>
      <c r="EV7" s="4401"/>
      <c r="EW7" s="4401"/>
      <c r="EX7" s="4401"/>
      <c r="EY7" s="4401"/>
      <c r="EZ7" s="4401"/>
      <c r="FA7" s="4402"/>
      <c r="FB7" s="4400"/>
      <c r="FC7" s="4401"/>
      <c r="FD7" s="4401"/>
      <c r="FE7" s="4401"/>
      <c r="FF7" s="4401"/>
      <c r="FG7" s="4401"/>
      <c r="FH7" s="4401"/>
      <c r="FI7" s="4402"/>
      <c r="FJ7" s="4400"/>
      <c r="FK7" s="4401"/>
      <c r="FL7" s="4401"/>
      <c r="FM7" s="4401"/>
      <c r="FN7" s="4401"/>
      <c r="FO7" s="4401"/>
      <c r="FP7" s="4401"/>
      <c r="FQ7" s="4402"/>
      <c r="FR7" s="4400"/>
      <c r="FS7" s="4401"/>
      <c r="FT7" s="4401"/>
      <c r="FU7" s="4401"/>
      <c r="FV7" s="4401"/>
      <c r="FW7" s="4401"/>
      <c r="FX7" s="4401"/>
      <c r="FY7" s="4402"/>
      <c r="FZ7" s="4400"/>
      <c r="GA7" s="4401"/>
      <c r="GB7" s="4401"/>
      <c r="GC7" s="4401"/>
      <c r="GD7" s="4401"/>
      <c r="GE7" s="4401"/>
      <c r="GF7" s="4401"/>
      <c r="GG7" s="4402"/>
      <c r="GH7" s="4402"/>
      <c r="GI7" s="1176" t="s">
        <v>429</v>
      </c>
      <c r="GK7" s="435"/>
      <c r="GL7" s="435" t="str">
        <f t="shared" si="0"/>
        <v>Группа потребителей</v>
      </c>
      <c r="GM7" s="435"/>
      <c r="GN7" s="435"/>
      <c r="GO7" s="1073">
        <v>0</v>
      </c>
    </row>
    <row r="8" spans="1:197" ht="21"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254"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056"/>
      <c r="AM8" s="2057"/>
      <c r="AN8" s="2056"/>
      <c r="AO8" s="2058"/>
      <c r="AP8" s="4417"/>
      <c r="AQ8" s="4284" t="s">
        <v>65</v>
      </c>
      <c r="AR8" s="4417"/>
      <c r="AS8" s="4284" t="s">
        <v>65</v>
      </c>
      <c r="AT8" s="2056"/>
      <c r="AU8" s="2057"/>
      <c r="AV8" s="2056"/>
      <c r="AW8" s="2058"/>
      <c r="AX8" s="4417"/>
      <c r="AY8" s="4284" t="s">
        <v>65</v>
      </c>
      <c r="AZ8" s="4417"/>
      <c r="BA8" s="4284" t="s">
        <v>65</v>
      </c>
      <c r="BB8" s="2056"/>
      <c r="BC8" s="2057"/>
      <c r="BD8" s="2056"/>
      <c r="BE8" s="2058"/>
      <c r="BF8" s="4417"/>
      <c r="BG8" s="4284" t="s">
        <v>65</v>
      </c>
      <c r="BH8" s="4417"/>
      <c r="BI8" s="4284" t="s">
        <v>65</v>
      </c>
      <c r="BJ8" s="2056"/>
      <c r="BK8" s="2057"/>
      <c r="BL8" s="2056"/>
      <c r="BM8" s="2058"/>
      <c r="BN8" s="4417"/>
      <c r="BO8" s="4284" t="s">
        <v>65</v>
      </c>
      <c r="BP8" s="4417"/>
      <c r="BQ8" s="4284" t="s">
        <v>65</v>
      </c>
      <c r="BR8" s="2056"/>
      <c r="BS8" s="2057"/>
      <c r="BT8" s="2056"/>
      <c r="BU8" s="2058"/>
      <c r="BV8" s="4417"/>
      <c r="BW8" s="4284" t="s">
        <v>65</v>
      </c>
      <c r="BX8" s="4417"/>
      <c r="BY8" s="4284" t="s">
        <v>65</v>
      </c>
      <c r="BZ8" s="2056"/>
      <c r="CA8" s="2057"/>
      <c r="CB8" s="2056"/>
      <c r="CC8" s="2058"/>
      <c r="CD8" s="4417"/>
      <c r="CE8" s="4284" t="s">
        <v>65</v>
      </c>
      <c r="CF8" s="4417"/>
      <c r="CG8" s="4284" t="s">
        <v>65</v>
      </c>
      <c r="CH8" s="2056"/>
      <c r="CI8" s="2057"/>
      <c r="CJ8" s="2056"/>
      <c r="CK8" s="2058"/>
      <c r="CL8" s="4417"/>
      <c r="CM8" s="4284" t="s">
        <v>65</v>
      </c>
      <c r="CN8" s="4417"/>
      <c r="CO8" s="4284" t="s">
        <v>65</v>
      </c>
      <c r="CP8" s="2056"/>
      <c r="CQ8" s="2057"/>
      <c r="CR8" s="2056"/>
      <c r="CS8" s="2058"/>
      <c r="CT8" s="4417"/>
      <c r="CU8" s="4284" t="s">
        <v>65</v>
      </c>
      <c r="CV8" s="4417"/>
      <c r="CW8" s="4284" t="s">
        <v>65</v>
      </c>
      <c r="CX8" s="2056"/>
      <c r="CY8" s="2057"/>
      <c r="CZ8" s="2056"/>
      <c r="DA8" s="2058"/>
      <c r="DB8" s="4417"/>
      <c r="DC8" s="4284" t="s">
        <v>65</v>
      </c>
      <c r="DD8" s="4417"/>
      <c r="DE8" s="4284" t="s">
        <v>65</v>
      </c>
      <c r="DF8" s="2056"/>
      <c r="DG8" s="2057"/>
      <c r="DH8" s="2056"/>
      <c r="DI8" s="2058"/>
      <c r="DJ8" s="4417"/>
      <c r="DK8" s="4284" t="s">
        <v>65</v>
      </c>
      <c r="DL8" s="4417"/>
      <c r="DM8" s="4284" t="s">
        <v>65</v>
      </c>
      <c r="DN8" s="2056"/>
      <c r="DO8" s="2057"/>
      <c r="DP8" s="2056"/>
      <c r="DQ8" s="2058"/>
      <c r="DR8" s="4417"/>
      <c r="DS8" s="4284" t="s">
        <v>65</v>
      </c>
      <c r="DT8" s="4417"/>
      <c r="DU8" s="4284" t="s">
        <v>65</v>
      </c>
      <c r="DV8" s="2056"/>
      <c r="DW8" s="2057"/>
      <c r="DX8" s="2056"/>
      <c r="DY8" s="2058"/>
      <c r="DZ8" s="4417"/>
      <c r="EA8" s="4284" t="s">
        <v>65</v>
      </c>
      <c r="EB8" s="4417"/>
      <c r="EC8" s="4284" t="s">
        <v>65</v>
      </c>
      <c r="ED8" s="2056"/>
      <c r="EE8" s="2057"/>
      <c r="EF8" s="2056"/>
      <c r="EG8" s="2058"/>
      <c r="EH8" s="4417"/>
      <c r="EI8" s="4284" t="s">
        <v>65</v>
      </c>
      <c r="EJ8" s="4417"/>
      <c r="EK8" s="4284" t="s">
        <v>65</v>
      </c>
      <c r="EL8" s="2056"/>
      <c r="EM8" s="2057"/>
      <c r="EN8" s="2056"/>
      <c r="EO8" s="2058"/>
      <c r="EP8" s="4417"/>
      <c r="EQ8" s="4284" t="s">
        <v>65</v>
      </c>
      <c r="ER8" s="4417"/>
      <c r="ES8" s="4284" t="s">
        <v>65</v>
      </c>
      <c r="ET8" s="2056"/>
      <c r="EU8" s="2057"/>
      <c r="EV8" s="2056"/>
      <c r="EW8" s="2058"/>
      <c r="EX8" s="4417"/>
      <c r="EY8" s="4284" t="s">
        <v>65</v>
      </c>
      <c r="EZ8" s="4417"/>
      <c r="FA8" s="4284" t="s">
        <v>65</v>
      </c>
      <c r="FB8" s="2056"/>
      <c r="FC8" s="2057"/>
      <c r="FD8" s="2056"/>
      <c r="FE8" s="2058"/>
      <c r="FF8" s="4417"/>
      <c r="FG8" s="4284" t="s">
        <v>65</v>
      </c>
      <c r="FH8" s="4417"/>
      <c r="FI8" s="4284" t="s">
        <v>65</v>
      </c>
      <c r="FJ8" s="2056"/>
      <c r="FK8" s="2057"/>
      <c r="FL8" s="2056"/>
      <c r="FM8" s="2058"/>
      <c r="FN8" s="4417"/>
      <c r="FO8" s="4284" t="s">
        <v>65</v>
      </c>
      <c r="FP8" s="4417"/>
      <c r="FQ8" s="4284" t="s">
        <v>65</v>
      </c>
      <c r="FR8" s="2056"/>
      <c r="FS8" s="2057"/>
      <c r="FT8" s="2056"/>
      <c r="FU8" s="2058"/>
      <c r="FV8" s="4417"/>
      <c r="FW8" s="4284" t="s">
        <v>65</v>
      </c>
      <c r="FX8" s="4417"/>
      <c r="FY8" s="4284" t="s">
        <v>65</v>
      </c>
      <c r="FZ8" s="2056"/>
      <c r="GA8" s="2057"/>
      <c r="GB8" s="2056"/>
      <c r="GC8" s="2058"/>
      <c r="GD8" s="4417"/>
      <c r="GE8" s="4284" t="s">
        <v>65</v>
      </c>
      <c r="GF8" s="4417"/>
      <c r="GG8" s="4284" t="s">
        <v>65</v>
      </c>
      <c r="GH8" s="261"/>
      <c r="GI8" s="4435" t="s">
        <v>431</v>
      </c>
      <c r="GJ8" s="446" t="e">
        <f ca="1">STRCHECKDATE(V9:GH9)</f>
        <v>#NAME?</v>
      </c>
      <c r="GK8" s="435"/>
      <c r="GL8" s="435" t="str">
        <f t="shared" si="0"/>
        <v/>
      </c>
      <c r="GM8" s="435"/>
      <c r="GN8" s="435"/>
      <c r="GO8" s="1073">
        <v>0</v>
      </c>
    </row>
    <row r="9" spans="1:197" ht="0.75" hidden="1" customHeight="1">
      <c r="A9" s="1281"/>
      <c r="B9" s="1281"/>
      <c r="C9" s="1281"/>
      <c r="D9" s="1281"/>
      <c r="E9" s="4413"/>
      <c r="F9" s="4413"/>
      <c r="G9" s="4413"/>
      <c r="H9" s="4413"/>
      <c r="I9" s="4415"/>
      <c r="J9" s="4415"/>
      <c r="K9" s="4414"/>
      <c r="L9" s="1282"/>
      <c r="M9" s="472"/>
      <c r="N9" s="1284"/>
      <c r="O9" s="1284"/>
      <c r="P9" s="4416"/>
      <c r="Q9" s="4416"/>
      <c r="R9" s="292"/>
      <c r="S9" s="1260"/>
      <c r="T9" s="236"/>
      <c r="U9" s="236"/>
      <c r="V9" s="261"/>
      <c r="W9" s="261"/>
      <c r="X9" s="261"/>
      <c r="Y9" s="264" t="str">
        <f>Z8&amp;"-"&amp;AB8</f>
        <v>-</v>
      </c>
      <c r="Z9" s="4418"/>
      <c r="AA9" s="4284"/>
      <c r="AB9" s="4418"/>
      <c r="AC9" s="4284"/>
      <c r="AD9" s="261"/>
      <c r="AE9" s="261"/>
      <c r="AF9" s="261"/>
      <c r="AG9" s="264" t="str">
        <f>AH8&amp;"-"&amp;AJ8</f>
        <v>-</v>
      </c>
      <c r="AH9" s="4418"/>
      <c r="AI9" s="4284"/>
      <c r="AJ9" s="4418"/>
      <c r="AK9" s="4284"/>
      <c r="AL9" s="2057"/>
      <c r="AM9" s="2057"/>
      <c r="AN9" s="2057"/>
      <c r="AO9" s="2059" t="str">
        <f>AP8&amp;"-"&amp;AR8</f>
        <v>-</v>
      </c>
      <c r="AP9" s="4418"/>
      <c r="AQ9" s="4284"/>
      <c r="AR9" s="4418"/>
      <c r="AS9" s="4284"/>
      <c r="AT9" s="2057"/>
      <c r="AU9" s="2057"/>
      <c r="AV9" s="2057"/>
      <c r="AW9" s="2059" t="str">
        <f>AX8&amp;"-"&amp;AZ8</f>
        <v>-</v>
      </c>
      <c r="AX9" s="4418"/>
      <c r="AY9" s="4284"/>
      <c r="AZ9" s="4418"/>
      <c r="BA9" s="4284"/>
      <c r="BB9" s="2057"/>
      <c r="BC9" s="2057"/>
      <c r="BD9" s="2057"/>
      <c r="BE9" s="2059" t="str">
        <f>BF8&amp;"-"&amp;BH8</f>
        <v>-</v>
      </c>
      <c r="BF9" s="4418"/>
      <c r="BG9" s="4284"/>
      <c r="BH9" s="4418"/>
      <c r="BI9" s="4284"/>
      <c r="BJ9" s="2057"/>
      <c r="BK9" s="2057"/>
      <c r="BL9" s="2057"/>
      <c r="BM9" s="2059" t="str">
        <f>BN8&amp;"-"&amp;BP8</f>
        <v>-</v>
      </c>
      <c r="BN9" s="4418"/>
      <c r="BO9" s="4284"/>
      <c r="BP9" s="4418"/>
      <c r="BQ9" s="4284"/>
      <c r="BR9" s="2057"/>
      <c r="BS9" s="2057"/>
      <c r="BT9" s="2057"/>
      <c r="BU9" s="2059" t="str">
        <f>BV8&amp;"-"&amp;BX8</f>
        <v>-</v>
      </c>
      <c r="BV9" s="4418"/>
      <c r="BW9" s="4284"/>
      <c r="BX9" s="4418"/>
      <c r="BY9" s="4284"/>
      <c r="BZ9" s="2057"/>
      <c r="CA9" s="2057"/>
      <c r="CB9" s="2057"/>
      <c r="CC9" s="2059" t="str">
        <f>CD8&amp;"-"&amp;CF8</f>
        <v>-</v>
      </c>
      <c r="CD9" s="4418"/>
      <c r="CE9" s="4284"/>
      <c r="CF9" s="4418"/>
      <c r="CG9" s="4284"/>
      <c r="CH9" s="2057"/>
      <c r="CI9" s="2057"/>
      <c r="CJ9" s="2057"/>
      <c r="CK9" s="2059" t="str">
        <f>CL8&amp;"-"&amp;CN8</f>
        <v>-</v>
      </c>
      <c r="CL9" s="4418"/>
      <c r="CM9" s="4284"/>
      <c r="CN9" s="4418"/>
      <c r="CO9" s="4284"/>
      <c r="CP9" s="2057"/>
      <c r="CQ9" s="2057"/>
      <c r="CR9" s="2057"/>
      <c r="CS9" s="2059" t="str">
        <f>CT8&amp;"-"&amp;CV8</f>
        <v>-</v>
      </c>
      <c r="CT9" s="4418"/>
      <c r="CU9" s="4284"/>
      <c r="CV9" s="4418"/>
      <c r="CW9" s="4284"/>
      <c r="CX9" s="2057"/>
      <c r="CY9" s="2057"/>
      <c r="CZ9" s="2057"/>
      <c r="DA9" s="2059" t="str">
        <f>DB8&amp;"-"&amp;DD8</f>
        <v>-</v>
      </c>
      <c r="DB9" s="4418"/>
      <c r="DC9" s="4284"/>
      <c r="DD9" s="4418"/>
      <c r="DE9" s="4284"/>
      <c r="DF9" s="2057"/>
      <c r="DG9" s="2057"/>
      <c r="DH9" s="2057"/>
      <c r="DI9" s="2059" t="str">
        <f>DJ8&amp;"-"&amp;DL8</f>
        <v>-</v>
      </c>
      <c r="DJ9" s="4418"/>
      <c r="DK9" s="4284"/>
      <c r="DL9" s="4418"/>
      <c r="DM9" s="4284"/>
      <c r="DN9" s="2057"/>
      <c r="DO9" s="2057"/>
      <c r="DP9" s="2057"/>
      <c r="DQ9" s="2059" t="str">
        <f>DR8&amp;"-"&amp;DT8</f>
        <v>-</v>
      </c>
      <c r="DR9" s="4418"/>
      <c r="DS9" s="4284"/>
      <c r="DT9" s="4418"/>
      <c r="DU9" s="4284"/>
      <c r="DV9" s="2057"/>
      <c r="DW9" s="2057"/>
      <c r="DX9" s="2057"/>
      <c r="DY9" s="2059" t="str">
        <f>DZ8&amp;"-"&amp;EB8</f>
        <v>-</v>
      </c>
      <c r="DZ9" s="4418"/>
      <c r="EA9" s="4284"/>
      <c r="EB9" s="4418"/>
      <c r="EC9" s="4284"/>
      <c r="ED9" s="2057"/>
      <c r="EE9" s="2057"/>
      <c r="EF9" s="2057"/>
      <c r="EG9" s="2059" t="str">
        <f>EH8&amp;"-"&amp;EJ8</f>
        <v>-</v>
      </c>
      <c r="EH9" s="4418"/>
      <c r="EI9" s="4284"/>
      <c r="EJ9" s="4418"/>
      <c r="EK9" s="4284"/>
      <c r="EL9" s="2057"/>
      <c r="EM9" s="2057"/>
      <c r="EN9" s="2057"/>
      <c r="EO9" s="2059" t="str">
        <f>EP8&amp;"-"&amp;ER8</f>
        <v>-</v>
      </c>
      <c r="EP9" s="4418"/>
      <c r="EQ9" s="4284"/>
      <c r="ER9" s="4418"/>
      <c r="ES9" s="4284"/>
      <c r="ET9" s="2057"/>
      <c r="EU9" s="2057"/>
      <c r="EV9" s="2057"/>
      <c r="EW9" s="2059" t="str">
        <f>EX8&amp;"-"&amp;EZ8</f>
        <v>-</v>
      </c>
      <c r="EX9" s="4418"/>
      <c r="EY9" s="4284"/>
      <c r="EZ9" s="4418"/>
      <c r="FA9" s="4284"/>
      <c r="FB9" s="2057"/>
      <c r="FC9" s="2057"/>
      <c r="FD9" s="2057"/>
      <c r="FE9" s="2059" t="str">
        <f>FF8&amp;"-"&amp;FH8</f>
        <v>-</v>
      </c>
      <c r="FF9" s="4418"/>
      <c r="FG9" s="4284"/>
      <c r="FH9" s="4418"/>
      <c r="FI9" s="4284"/>
      <c r="FJ9" s="2057"/>
      <c r="FK9" s="2057"/>
      <c r="FL9" s="2057"/>
      <c r="FM9" s="2059" t="str">
        <f>FN8&amp;"-"&amp;FP8</f>
        <v>-</v>
      </c>
      <c r="FN9" s="4418"/>
      <c r="FO9" s="4284"/>
      <c r="FP9" s="4418"/>
      <c r="FQ9" s="4284"/>
      <c r="FR9" s="2057"/>
      <c r="FS9" s="2057"/>
      <c r="FT9" s="2057"/>
      <c r="FU9" s="2059" t="str">
        <f>FV8&amp;"-"&amp;FX8</f>
        <v>-</v>
      </c>
      <c r="FV9" s="4418"/>
      <c r="FW9" s="4284"/>
      <c r="FX9" s="4418"/>
      <c r="FY9" s="4284"/>
      <c r="FZ9" s="2057"/>
      <c r="GA9" s="2057"/>
      <c r="GB9" s="2057"/>
      <c r="GC9" s="2059" t="str">
        <f>GD8&amp;"-"&amp;GF8</f>
        <v>-</v>
      </c>
      <c r="GD9" s="4418"/>
      <c r="GE9" s="4284"/>
      <c r="GF9" s="4418"/>
      <c r="GG9" s="4284"/>
      <c r="GH9" s="261"/>
      <c r="GI9" s="4436"/>
      <c r="GK9" s="435"/>
      <c r="GL9" s="435" t="str">
        <f t="shared" si="0"/>
        <v/>
      </c>
      <c r="GM9" s="435"/>
      <c r="GN9" s="435"/>
      <c r="GO9" s="1073">
        <v>0</v>
      </c>
    </row>
    <row r="10" spans="1:197" ht="15" hidden="1" customHeight="1">
      <c r="A10" s="1281"/>
      <c r="B10" s="1281"/>
      <c r="C10" s="1281"/>
      <c r="D10" s="1281"/>
      <c r="E10" s="4413"/>
      <c r="F10" s="4413"/>
      <c r="G10" s="4413"/>
      <c r="H10" s="4413"/>
      <c r="I10" s="4415"/>
      <c r="J10" s="4414"/>
      <c r="K10" s="1281"/>
      <c r="L10" s="1282"/>
      <c r="M10" s="472"/>
      <c r="N10" s="1284"/>
      <c r="P10" s="4416"/>
      <c r="Q10" s="4416"/>
      <c r="R10" s="291"/>
      <c r="S10" s="1196"/>
      <c r="T10" s="224" t="s">
        <v>432</v>
      </c>
      <c r="U10" s="302"/>
      <c r="V10" s="302"/>
      <c r="W10" s="302"/>
      <c r="X10" s="302"/>
      <c r="Y10" s="302"/>
      <c r="Z10" s="302"/>
      <c r="AA10" s="302"/>
      <c r="AB10" s="302"/>
      <c r="AC10" s="302"/>
      <c r="AD10" s="302"/>
      <c r="AE10" s="302"/>
      <c r="AF10" s="302"/>
      <c r="AG10" s="302"/>
      <c r="AH10" s="302"/>
      <c r="AI10" s="302"/>
      <c r="AJ10" s="302"/>
      <c r="AK10" s="302"/>
      <c r="AL10" s="2060"/>
      <c r="AM10" s="2061"/>
      <c r="AN10" s="2062"/>
      <c r="AO10" s="2063"/>
      <c r="AP10" s="2064"/>
      <c r="AQ10" s="2065"/>
      <c r="AR10" s="2066"/>
      <c r="AS10" s="2067"/>
      <c r="AT10" s="2068"/>
      <c r="AU10" s="2069"/>
      <c r="AV10" s="2070"/>
      <c r="AW10" s="2071"/>
      <c r="AX10" s="2072"/>
      <c r="AY10" s="2073"/>
      <c r="AZ10" s="2074"/>
      <c r="BA10" s="2075"/>
      <c r="BB10" s="2076"/>
      <c r="BC10" s="2077"/>
      <c r="BD10" s="2078"/>
      <c r="BE10" s="2079"/>
      <c r="BF10" s="2080"/>
      <c r="BG10" s="2081"/>
      <c r="BH10" s="2082"/>
      <c r="BI10" s="2083"/>
      <c r="BJ10" s="2084"/>
      <c r="BK10" s="2085"/>
      <c r="BL10" s="2086"/>
      <c r="BM10" s="2087"/>
      <c r="BN10" s="2088"/>
      <c r="BO10" s="2089"/>
      <c r="BP10" s="2090"/>
      <c r="BQ10" s="2091"/>
      <c r="BR10" s="2092"/>
      <c r="BS10" s="2093"/>
      <c r="BT10" s="2094"/>
      <c r="BU10" s="2095"/>
      <c r="BV10" s="2096"/>
      <c r="BW10" s="2097"/>
      <c r="BX10" s="2098"/>
      <c r="BY10" s="2099"/>
      <c r="BZ10" s="2100"/>
      <c r="CA10" s="2101"/>
      <c r="CB10" s="2102"/>
      <c r="CC10" s="2103"/>
      <c r="CD10" s="2104"/>
      <c r="CE10" s="2105"/>
      <c r="CF10" s="2106"/>
      <c r="CG10" s="2107"/>
      <c r="CH10" s="2108"/>
      <c r="CI10" s="2109"/>
      <c r="CJ10" s="2110"/>
      <c r="CK10" s="2111"/>
      <c r="CL10" s="2112"/>
      <c r="CM10" s="2113"/>
      <c r="CN10" s="2114"/>
      <c r="CO10" s="2115"/>
      <c r="CP10" s="2116"/>
      <c r="CQ10" s="2117"/>
      <c r="CR10" s="2118"/>
      <c r="CS10" s="2119"/>
      <c r="CT10" s="2120"/>
      <c r="CU10" s="2121"/>
      <c r="CV10" s="2122"/>
      <c r="CW10" s="2123"/>
      <c r="CX10" s="2124"/>
      <c r="CY10" s="2125"/>
      <c r="CZ10" s="2126"/>
      <c r="DA10" s="2127"/>
      <c r="DB10" s="2128"/>
      <c r="DC10" s="2129"/>
      <c r="DD10" s="2130"/>
      <c r="DE10" s="2131"/>
      <c r="DF10" s="2132"/>
      <c r="DG10" s="2133"/>
      <c r="DH10" s="2134"/>
      <c r="DI10" s="2135"/>
      <c r="DJ10" s="2136"/>
      <c r="DK10" s="2137"/>
      <c r="DL10" s="2138"/>
      <c r="DM10" s="2139"/>
      <c r="DN10" s="2140"/>
      <c r="DO10" s="2141"/>
      <c r="DP10" s="2142"/>
      <c r="DQ10" s="2143"/>
      <c r="DR10" s="2144"/>
      <c r="DS10" s="2145"/>
      <c r="DT10" s="2146"/>
      <c r="DU10" s="2147"/>
      <c r="DV10" s="2148"/>
      <c r="DW10" s="2149"/>
      <c r="DX10" s="2150"/>
      <c r="DY10" s="2151"/>
      <c r="DZ10" s="2152"/>
      <c r="EA10" s="2153"/>
      <c r="EB10" s="2154"/>
      <c r="EC10" s="2155"/>
      <c r="ED10" s="2156"/>
      <c r="EE10" s="2157"/>
      <c r="EF10" s="2158"/>
      <c r="EG10" s="2159"/>
      <c r="EH10" s="2160"/>
      <c r="EI10" s="2161"/>
      <c r="EJ10" s="2162"/>
      <c r="EK10" s="2163"/>
      <c r="EL10" s="2164"/>
      <c r="EM10" s="2165"/>
      <c r="EN10" s="2166"/>
      <c r="EO10" s="2167"/>
      <c r="EP10" s="2168"/>
      <c r="EQ10" s="2169"/>
      <c r="ER10" s="2170"/>
      <c r="ES10" s="2171"/>
      <c r="ET10" s="2172"/>
      <c r="EU10" s="2173"/>
      <c r="EV10" s="2174"/>
      <c r="EW10" s="2175"/>
      <c r="EX10" s="2176"/>
      <c r="EY10" s="2177"/>
      <c r="EZ10" s="2178"/>
      <c r="FA10" s="2179"/>
      <c r="FB10" s="2180"/>
      <c r="FC10" s="2181"/>
      <c r="FD10" s="2182"/>
      <c r="FE10" s="2183"/>
      <c r="FF10" s="2184"/>
      <c r="FG10" s="2185"/>
      <c r="FH10" s="2186"/>
      <c r="FI10" s="2187"/>
      <c r="FJ10" s="2188"/>
      <c r="FK10" s="2189"/>
      <c r="FL10" s="2190"/>
      <c r="FM10" s="2191"/>
      <c r="FN10" s="2192"/>
      <c r="FO10" s="2193"/>
      <c r="FP10" s="2194"/>
      <c r="FQ10" s="2195"/>
      <c r="FR10" s="2196"/>
      <c r="FS10" s="2197"/>
      <c r="FT10" s="2198"/>
      <c r="FU10" s="2199"/>
      <c r="FV10" s="2200"/>
      <c r="FW10" s="2201"/>
      <c r="FX10" s="2202"/>
      <c r="FY10" s="2203"/>
      <c r="FZ10" s="2204"/>
      <c r="GA10" s="2205"/>
      <c r="GB10" s="2206"/>
      <c r="GC10" s="2207"/>
      <c r="GD10" s="2208"/>
      <c r="GE10" s="2209"/>
      <c r="GF10" s="2210"/>
      <c r="GG10" s="2211"/>
      <c r="GH10" s="260"/>
      <c r="GI10" s="4437"/>
      <c r="GK10" s="435"/>
      <c r="GL10" s="435" t="str">
        <f t="shared" si="0"/>
        <v>Добавить вид теплоносителя (параметры теплоносителя)</v>
      </c>
      <c r="GM10" s="435"/>
      <c r="GN10" s="435"/>
      <c r="GO10" s="1073">
        <v>0</v>
      </c>
    </row>
    <row r="11" spans="1:197" ht="15" hidden="1" customHeight="1">
      <c r="A11" s="1281"/>
      <c r="B11" s="1281"/>
      <c r="C11" s="1281"/>
      <c r="D11" s="1281"/>
      <c r="E11" s="4413"/>
      <c r="F11" s="4413"/>
      <c r="G11" s="4413"/>
      <c r="H11" s="4413"/>
      <c r="I11" s="4414"/>
      <c r="J11" s="1281"/>
      <c r="K11" s="1281"/>
      <c r="L11" s="1282"/>
      <c r="M11" s="472"/>
      <c r="P11" s="4416"/>
      <c r="Q11" s="1249"/>
      <c r="R11" s="291"/>
      <c r="S11" s="1196"/>
      <c r="T11" s="223" t="s">
        <v>433</v>
      </c>
      <c r="U11" s="302"/>
      <c r="V11" s="302"/>
      <c r="W11" s="302"/>
      <c r="X11" s="302"/>
      <c r="Y11" s="302"/>
      <c r="Z11" s="302"/>
      <c r="AA11" s="302"/>
      <c r="AB11" s="302"/>
      <c r="AC11" s="301"/>
      <c r="AD11" s="302"/>
      <c r="AE11" s="302"/>
      <c r="AF11" s="302"/>
      <c r="AG11" s="302"/>
      <c r="AH11" s="302"/>
      <c r="AI11" s="302"/>
      <c r="AJ11" s="302"/>
      <c r="AK11" s="301"/>
      <c r="AL11" s="2212"/>
      <c r="AM11" s="2213"/>
      <c r="AN11" s="2214"/>
      <c r="AO11" s="2215"/>
      <c r="AP11" s="2216"/>
      <c r="AQ11" s="2217"/>
      <c r="AR11" s="2218"/>
      <c r="AS11" s="2219"/>
      <c r="AT11" s="2220"/>
      <c r="AU11" s="2221"/>
      <c r="AV11" s="2222"/>
      <c r="AW11" s="2223"/>
      <c r="AX11" s="2224"/>
      <c r="AY11" s="2225"/>
      <c r="AZ11" s="2226"/>
      <c r="BA11" s="2227"/>
      <c r="BB11" s="2228"/>
      <c r="BC11" s="2229"/>
      <c r="BD11" s="2230"/>
      <c r="BE11" s="2231"/>
      <c r="BF11" s="2232"/>
      <c r="BG11" s="2233"/>
      <c r="BH11" s="2234"/>
      <c r="BI11" s="2235"/>
      <c r="BJ11" s="2236"/>
      <c r="BK11" s="2237"/>
      <c r="BL11" s="2238"/>
      <c r="BM11" s="2239"/>
      <c r="BN11" s="2240"/>
      <c r="BO11" s="2241"/>
      <c r="BP11" s="2242"/>
      <c r="BQ11" s="2243"/>
      <c r="BR11" s="2244"/>
      <c r="BS11" s="2245"/>
      <c r="BT11" s="2246"/>
      <c r="BU11" s="2247"/>
      <c r="BV11" s="2248"/>
      <c r="BW11" s="2249"/>
      <c r="BX11" s="2250"/>
      <c r="BY11" s="2251"/>
      <c r="BZ11" s="2252"/>
      <c r="CA11" s="2253"/>
      <c r="CB11" s="2254"/>
      <c r="CC11" s="2255"/>
      <c r="CD11" s="2256"/>
      <c r="CE11" s="2257"/>
      <c r="CF11" s="2258"/>
      <c r="CG11" s="2259"/>
      <c r="CH11" s="2260"/>
      <c r="CI11" s="2261"/>
      <c r="CJ11" s="2262"/>
      <c r="CK11" s="2263"/>
      <c r="CL11" s="2264"/>
      <c r="CM11" s="2265"/>
      <c r="CN11" s="2266"/>
      <c r="CO11" s="2267"/>
      <c r="CP11" s="2268"/>
      <c r="CQ11" s="2269"/>
      <c r="CR11" s="2270"/>
      <c r="CS11" s="2271"/>
      <c r="CT11" s="2272"/>
      <c r="CU11" s="2273"/>
      <c r="CV11" s="2274"/>
      <c r="CW11" s="2275"/>
      <c r="CX11" s="2276"/>
      <c r="CY11" s="2277"/>
      <c r="CZ11" s="2278"/>
      <c r="DA11" s="2279"/>
      <c r="DB11" s="2280"/>
      <c r="DC11" s="2281"/>
      <c r="DD11" s="2282"/>
      <c r="DE11" s="2283"/>
      <c r="DF11" s="2284"/>
      <c r="DG11" s="2285"/>
      <c r="DH11" s="2286"/>
      <c r="DI11" s="2287"/>
      <c r="DJ11" s="2288"/>
      <c r="DK11" s="2289"/>
      <c r="DL11" s="2290"/>
      <c r="DM11" s="2291"/>
      <c r="DN11" s="2292"/>
      <c r="DO11" s="2293"/>
      <c r="DP11" s="2294"/>
      <c r="DQ11" s="2295"/>
      <c r="DR11" s="2296"/>
      <c r="DS11" s="2297"/>
      <c r="DT11" s="2298"/>
      <c r="DU11" s="2299"/>
      <c r="DV11" s="2300"/>
      <c r="DW11" s="2301"/>
      <c r="DX11" s="2302"/>
      <c r="DY11" s="2303"/>
      <c r="DZ11" s="2304"/>
      <c r="EA11" s="2305"/>
      <c r="EB11" s="2306"/>
      <c r="EC11" s="2307"/>
      <c r="ED11" s="2308"/>
      <c r="EE11" s="2309"/>
      <c r="EF11" s="2310"/>
      <c r="EG11" s="2311"/>
      <c r="EH11" s="2312"/>
      <c r="EI11" s="2313"/>
      <c r="EJ11" s="2314"/>
      <c r="EK11" s="2315"/>
      <c r="EL11" s="2316"/>
      <c r="EM11" s="2317"/>
      <c r="EN11" s="2318"/>
      <c r="EO11" s="2319"/>
      <c r="EP11" s="2320"/>
      <c r="EQ11" s="2321"/>
      <c r="ER11" s="2322"/>
      <c r="ES11" s="2323"/>
      <c r="ET11" s="2324"/>
      <c r="EU11" s="2325"/>
      <c r="EV11" s="2326"/>
      <c r="EW11" s="2327"/>
      <c r="EX11" s="2328"/>
      <c r="EY11" s="2329"/>
      <c r="EZ11" s="2330"/>
      <c r="FA11" s="2331"/>
      <c r="FB11" s="2332"/>
      <c r="FC11" s="2333"/>
      <c r="FD11" s="2334"/>
      <c r="FE11" s="2335"/>
      <c r="FF11" s="2336"/>
      <c r="FG11" s="2337"/>
      <c r="FH11" s="2338"/>
      <c r="FI11" s="2339"/>
      <c r="FJ11" s="2340"/>
      <c r="FK11" s="2341"/>
      <c r="FL11" s="2342"/>
      <c r="FM11" s="2343"/>
      <c r="FN11" s="2344"/>
      <c r="FO11" s="2345"/>
      <c r="FP11" s="2346"/>
      <c r="FQ11" s="2347"/>
      <c r="FR11" s="2348"/>
      <c r="FS11" s="2349"/>
      <c r="FT11" s="2350"/>
      <c r="FU11" s="2351"/>
      <c r="FV11" s="2352"/>
      <c r="FW11" s="2353"/>
      <c r="FX11" s="2354"/>
      <c r="FY11" s="2355"/>
      <c r="FZ11" s="2356"/>
      <c r="GA11" s="2357"/>
      <c r="GB11" s="2358"/>
      <c r="GC11" s="2359"/>
      <c r="GD11" s="2360"/>
      <c r="GE11" s="2361"/>
      <c r="GF11" s="2362"/>
      <c r="GG11" s="2363"/>
      <c r="GH11" s="302"/>
      <c r="GI11" s="239"/>
      <c r="GK11" s="435"/>
      <c r="GL11" s="435" t="str">
        <f t="shared" si="0"/>
        <v>Добавить группу потребителей</v>
      </c>
      <c r="GM11" s="435"/>
      <c r="GN11" s="435"/>
      <c r="GO11" s="1073">
        <v>0</v>
      </c>
    </row>
    <row r="12" spans="1:197" ht="14.25" hidden="1" customHeight="1">
      <c r="A12" s="1281"/>
      <c r="B12" s="1281"/>
      <c r="C12" s="1281"/>
      <c r="D12" s="1281"/>
      <c r="E12" s="4413"/>
      <c r="F12" s="4413"/>
      <c r="G12" s="4413"/>
      <c r="H12" s="4412"/>
      <c r="I12" s="1281"/>
      <c r="J12" s="1281"/>
      <c r="K12" s="1281"/>
      <c r="L12" s="1282"/>
      <c r="M12" s="1283"/>
      <c r="N12" s="1283"/>
      <c r="O12" s="472"/>
      <c r="P12" s="295"/>
      <c r="Q12" s="310"/>
      <c r="R12" s="290"/>
      <c r="S12" s="1196"/>
      <c r="T12" s="300" t="s">
        <v>434</v>
      </c>
      <c r="U12" s="302"/>
      <c r="V12" s="302"/>
      <c r="W12" s="302"/>
      <c r="X12" s="302"/>
      <c r="Y12" s="302"/>
      <c r="Z12" s="302"/>
      <c r="AA12" s="302"/>
      <c r="AB12" s="302"/>
      <c r="AC12" s="301"/>
      <c r="AD12" s="302"/>
      <c r="AE12" s="302"/>
      <c r="AF12" s="302"/>
      <c r="AG12" s="302"/>
      <c r="AH12" s="302"/>
      <c r="AI12" s="302"/>
      <c r="AJ12" s="302"/>
      <c r="AK12" s="301"/>
      <c r="AL12" s="2364"/>
      <c r="AM12" s="2365"/>
      <c r="AN12" s="2366"/>
      <c r="AO12" s="2367"/>
      <c r="AP12" s="2368"/>
      <c r="AQ12" s="2369"/>
      <c r="AR12" s="2370"/>
      <c r="AS12" s="2371"/>
      <c r="AT12" s="2372"/>
      <c r="AU12" s="2373"/>
      <c r="AV12" s="2374"/>
      <c r="AW12" s="2375"/>
      <c r="AX12" s="2376"/>
      <c r="AY12" s="2377"/>
      <c r="AZ12" s="2378"/>
      <c r="BA12" s="2379"/>
      <c r="BB12" s="2380"/>
      <c r="BC12" s="2381"/>
      <c r="BD12" s="2382"/>
      <c r="BE12" s="2383"/>
      <c r="BF12" s="2384"/>
      <c r="BG12" s="2385"/>
      <c r="BH12" s="2386"/>
      <c r="BI12" s="2387"/>
      <c r="BJ12" s="2388"/>
      <c r="BK12" s="2389"/>
      <c r="BL12" s="2390"/>
      <c r="BM12" s="2391"/>
      <c r="BN12" s="2392"/>
      <c r="BO12" s="2393"/>
      <c r="BP12" s="2394"/>
      <c r="BQ12" s="2395"/>
      <c r="BR12" s="2396"/>
      <c r="BS12" s="2397"/>
      <c r="BT12" s="2398"/>
      <c r="BU12" s="2399"/>
      <c r="BV12" s="2400"/>
      <c r="BW12" s="2401"/>
      <c r="BX12" s="2402"/>
      <c r="BY12" s="2403"/>
      <c r="BZ12" s="2404"/>
      <c r="CA12" s="2405"/>
      <c r="CB12" s="2406"/>
      <c r="CC12" s="2407"/>
      <c r="CD12" s="2408"/>
      <c r="CE12" s="2409"/>
      <c r="CF12" s="2410"/>
      <c r="CG12" s="2411"/>
      <c r="CH12" s="2412"/>
      <c r="CI12" s="2413"/>
      <c r="CJ12" s="2414"/>
      <c r="CK12" s="2415"/>
      <c r="CL12" s="2416"/>
      <c r="CM12" s="2417"/>
      <c r="CN12" s="2418"/>
      <c r="CO12" s="2419"/>
      <c r="CP12" s="2420"/>
      <c r="CQ12" s="2421"/>
      <c r="CR12" s="2422"/>
      <c r="CS12" s="2423"/>
      <c r="CT12" s="2424"/>
      <c r="CU12" s="2425"/>
      <c r="CV12" s="2426"/>
      <c r="CW12" s="2427"/>
      <c r="CX12" s="2428"/>
      <c r="CY12" s="2429"/>
      <c r="CZ12" s="2430"/>
      <c r="DA12" s="2431"/>
      <c r="DB12" s="2432"/>
      <c r="DC12" s="2433"/>
      <c r="DD12" s="2434"/>
      <c r="DE12" s="2435"/>
      <c r="DF12" s="2436"/>
      <c r="DG12" s="2437"/>
      <c r="DH12" s="2438"/>
      <c r="DI12" s="2439"/>
      <c r="DJ12" s="2440"/>
      <c r="DK12" s="2441"/>
      <c r="DL12" s="2442"/>
      <c r="DM12" s="2443"/>
      <c r="DN12" s="2444"/>
      <c r="DO12" s="2445"/>
      <c r="DP12" s="2446"/>
      <c r="DQ12" s="2447"/>
      <c r="DR12" s="2448"/>
      <c r="DS12" s="2449"/>
      <c r="DT12" s="2450"/>
      <c r="DU12" s="2451"/>
      <c r="DV12" s="2452"/>
      <c r="DW12" s="2453"/>
      <c r="DX12" s="2454"/>
      <c r="DY12" s="2455"/>
      <c r="DZ12" s="2456"/>
      <c r="EA12" s="2457"/>
      <c r="EB12" s="2458"/>
      <c r="EC12" s="2459"/>
      <c r="ED12" s="2460"/>
      <c r="EE12" s="2461"/>
      <c r="EF12" s="2462"/>
      <c r="EG12" s="2463"/>
      <c r="EH12" s="2464"/>
      <c r="EI12" s="2465"/>
      <c r="EJ12" s="2466"/>
      <c r="EK12" s="2467"/>
      <c r="EL12" s="2468"/>
      <c r="EM12" s="2469"/>
      <c r="EN12" s="2470"/>
      <c r="EO12" s="2471"/>
      <c r="EP12" s="2472"/>
      <c r="EQ12" s="2473"/>
      <c r="ER12" s="2474"/>
      <c r="ES12" s="2475"/>
      <c r="ET12" s="2476"/>
      <c r="EU12" s="2477"/>
      <c r="EV12" s="2478"/>
      <c r="EW12" s="2479"/>
      <c r="EX12" s="2480"/>
      <c r="EY12" s="2481"/>
      <c r="EZ12" s="2482"/>
      <c r="FA12" s="2483"/>
      <c r="FB12" s="2484"/>
      <c r="FC12" s="2485"/>
      <c r="FD12" s="2486"/>
      <c r="FE12" s="2487"/>
      <c r="FF12" s="2488"/>
      <c r="FG12" s="2489"/>
      <c r="FH12" s="2490"/>
      <c r="FI12" s="2491"/>
      <c r="FJ12" s="2492"/>
      <c r="FK12" s="2493"/>
      <c r="FL12" s="2494"/>
      <c r="FM12" s="2495"/>
      <c r="FN12" s="2496"/>
      <c r="FO12" s="2497"/>
      <c r="FP12" s="2498"/>
      <c r="FQ12" s="2499"/>
      <c r="FR12" s="2500"/>
      <c r="FS12" s="2501"/>
      <c r="FT12" s="2502"/>
      <c r="FU12" s="2503"/>
      <c r="FV12" s="2504"/>
      <c r="FW12" s="2505"/>
      <c r="FX12" s="2506"/>
      <c r="FY12" s="2507"/>
      <c r="FZ12" s="2508"/>
      <c r="GA12" s="2509"/>
      <c r="GB12" s="2510"/>
      <c r="GC12" s="2511"/>
      <c r="GD12" s="2512"/>
      <c r="GE12" s="2513"/>
      <c r="GF12" s="2514"/>
      <c r="GG12" s="2515"/>
      <c r="GH12" s="302"/>
      <c r="GI12" s="239"/>
      <c r="GK12" s="435"/>
      <c r="GL12" s="435" t="str">
        <f t="shared" si="0"/>
        <v>Добавить схему подключения</v>
      </c>
      <c r="GM12" s="435"/>
      <c r="GN12" s="435"/>
      <c r="GO12" s="1073">
        <v>0</v>
      </c>
    </row>
    <row r="13" spans="1:197" s="4140" customFormat="1" ht="0.7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6"/>
      <c r="BT13" s="2516"/>
      <c r="BU13" s="2516"/>
      <c r="BV13" s="2516"/>
      <c r="BW13" s="2516"/>
      <c r="BX13" s="2516"/>
      <c r="BY13" s="2516"/>
      <c r="BZ13" s="2516"/>
      <c r="CA13" s="2516"/>
      <c r="CB13" s="2516"/>
      <c r="CC13" s="2516"/>
      <c r="CD13" s="2516"/>
      <c r="CE13" s="2516"/>
      <c r="CF13" s="2516"/>
      <c r="CG13" s="2516"/>
      <c r="CH13" s="2516"/>
      <c r="CI13" s="2516"/>
      <c r="CJ13" s="2516"/>
      <c r="CK13" s="2516"/>
      <c r="CL13" s="2516"/>
      <c r="CM13" s="2516"/>
      <c r="CN13" s="2516"/>
      <c r="CO13" s="2516"/>
      <c r="CP13" s="2516"/>
      <c r="CQ13" s="2516"/>
      <c r="CR13" s="2516"/>
      <c r="CS13" s="2516"/>
      <c r="CT13" s="2516"/>
      <c r="CU13" s="2516"/>
      <c r="CV13" s="2516"/>
      <c r="CW13" s="2516"/>
      <c r="CX13" s="2516"/>
      <c r="CY13" s="2516"/>
      <c r="CZ13" s="2516"/>
      <c r="DA13" s="2516"/>
      <c r="DB13" s="2516"/>
      <c r="DC13" s="2516"/>
      <c r="DD13" s="2516"/>
      <c r="DE13" s="2516"/>
      <c r="DF13" s="2516"/>
      <c r="DG13" s="2516"/>
      <c r="DH13" s="2516"/>
      <c r="DI13" s="2516"/>
      <c r="DJ13" s="2516"/>
      <c r="DK13" s="2516"/>
      <c r="DL13" s="2516"/>
      <c r="DM13" s="2516"/>
      <c r="DN13" s="2516"/>
      <c r="DO13" s="2516"/>
      <c r="DP13" s="2516"/>
      <c r="DQ13" s="2516"/>
      <c r="DR13" s="2516"/>
      <c r="DS13" s="2516"/>
      <c r="DT13" s="2516"/>
      <c r="DU13" s="2516"/>
      <c r="DV13" s="2516"/>
      <c r="DW13" s="2516"/>
      <c r="DX13" s="2516"/>
      <c r="DY13" s="2516"/>
      <c r="DZ13" s="2516"/>
      <c r="EA13" s="2516"/>
      <c r="EB13" s="2516"/>
      <c r="EC13" s="2516"/>
      <c r="ED13" s="2516"/>
      <c r="EE13" s="2516"/>
      <c r="EF13" s="2516"/>
      <c r="EG13" s="2516"/>
      <c r="EH13" s="2516"/>
      <c r="EI13" s="2516"/>
      <c r="EJ13" s="2516"/>
      <c r="EK13" s="2516"/>
      <c r="EL13" s="2516"/>
      <c r="EM13" s="2516"/>
      <c r="EN13" s="2516"/>
      <c r="EO13" s="2516"/>
      <c r="EP13" s="2516"/>
      <c r="EQ13" s="2516"/>
      <c r="ER13" s="2516"/>
      <c r="ES13" s="2516"/>
      <c r="ET13" s="2516"/>
      <c r="EU13" s="2516"/>
      <c r="EV13" s="2516"/>
      <c r="EW13" s="2516"/>
      <c r="EX13" s="2516"/>
      <c r="EY13" s="2516"/>
      <c r="EZ13" s="2516"/>
      <c r="FA13" s="2516"/>
      <c r="FB13" s="2516"/>
      <c r="FC13" s="2516"/>
      <c r="FD13" s="2516"/>
      <c r="FE13" s="2516"/>
      <c r="FF13" s="2516"/>
      <c r="FG13" s="2516"/>
      <c r="FH13" s="2516"/>
      <c r="FI13" s="2516"/>
      <c r="FJ13" s="2516"/>
      <c r="FK13" s="2516"/>
      <c r="FL13" s="2516"/>
      <c r="FM13" s="2516"/>
      <c r="FN13" s="2516"/>
      <c r="FO13" s="2516"/>
      <c r="FP13" s="2516"/>
      <c r="FQ13" s="2516"/>
      <c r="FR13" s="2516"/>
      <c r="FS13" s="2516"/>
      <c r="FT13" s="2516"/>
      <c r="FU13" s="2516"/>
      <c r="FV13" s="2516"/>
      <c r="FW13" s="2516"/>
      <c r="FX13" s="2516"/>
      <c r="FY13" s="2516"/>
      <c r="FZ13" s="2516"/>
      <c r="GA13" s="2516"/>
      <c r="GB13" s="2516"/>
      <c r="GC13" s="2516"/>
      <c r="GD13" s="2516"/>
      <c r="GE13" s="2516"/>
      <c r="GF13" s="2516"/>
      <c r="GG13" s="2516"/>
      <c r="GH13" s="1238"/>
      <c r="GI13" s="1238"/>
      <c r="GK13" s="718"/>
      <c r="GL13" s="718" t="str">
        <f t="shared" si="0"/>
        <v>Добавить источник для дифференциации</v>
      </c>
      <c r="GM13" s="718"/>
      <c r="GN13" s="718"/>
      <c r="GO13" s="453">
        <v>0</v>
      </c>
    </row>
    <row r="14" spans="1:197" s="4140" customFormat="1" ht="0.7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2517"/>
      <c r="AM14" s="2517"/>
      <c r="AN14" s="2517"/>
      <c r="AO14" s="2517"/>
      <c r="AP14" s="2517"/>
      <c r="AQ14" s="2517"/>
      <c r="AR14" s="251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c r="BP14" s="2517"/>
      <c r="BQ14" s="2517"/>
      <c r="BR14" s="2517"/>
      <c r="BS14" s="2517"/>
      <c r="BT14" s="2517"/>
      <c r="BU14" s="2517"/>
      <c r="BV14" s="2517"/>
      <c r="BW14" s="2517"/>
      <c r="BX14" s="2517"/>
      <c r="BY14" s="2517"/>
      <c r="BZ14" s="2517"/>
      <c r="CA14" s="2517"/>
      <c r="CB14" s="2517"/>
      <c r="CC14" s="2517"/>
      <c r="CD14" s="2517"/>
      <c r="CE14" s="2517"/>
      <c r="CF14" s="2517"/>
      <c r="CG14" s="2517"/>
      <c r="CH14" s="2517"/>
      <c r="CI14" s="2517"/>
      <c r="CJ14" s="2517"/>
      <c r="CK14" s="2517"/>
      <c r="CL14" s="2517"/>
      <c r="CM14" s="2517"/>
      <c r="CN14" s="2517"/>
      <c r="CO14" s="2517"/>
      <c r="CP14" s="2517"/>
      <c r="CQ14" s="2517"/>
      <c r="CR14" s="2517"/>
      <c r="CS14" s="2517"/>
      <c r="CT14" s="2517"/>
      <c r="CU14" s="2517"/>
      <c r="CV14" s="2517"/>
      <c r="CW14" s="2517"/>
      <c r="CX14" s="2517"/>
      <c r="CY14" s="2517"/>
      <c r="CZ14" s="2517"/>
      <c r="DA14" s="2517"/>
      <c r="DB14" s="2517"/>
      <c r="DC14" s="2517"/>
      <c r="DD14" s="2517"/>
      <c r="DE14" s="2517"/>
      <c r="DF14" s="2517"/>
      <c r="DG14" s="2517"/>
      <c r="DH14" s="2517"/>
      <c r="DI14" s="2517"/>
      <c r="DJ14" s="2517"/>
      <c r="DK14" s="2517"/>
      <c r="DL14" s="2517"/>
      <c r="DM14" s="2517"/>
      <c r="DN14" s="2517"/>
      <c r="DO14" s="2517"/>
      <c r="DP14" s="2517"/>
      <c r="DQ14" s="2517"/>
      <c r="DR14" s="2517"/>
      <c r="DS14" s="2517"/>
      <c r="DT14" s="2517"/>
      <c r="DU14" s="2517"/>
      <c r="DV14" s="2517"/>
      <c r="DW14" s="2517"/>
      <c r="DX14" s="2517"/>
      <c r="DY14" s="2517"/>
      <c r="DZ14" s="2517"/>
      <c r="EA14" s="2517"/>
      <c r="EB14" s="2517"/>
      <c r="EC14" s="2517"/>
      <c r="ED14" s="2517"/>
      <c r="EE14" s="2517"/>
      <c r="EF14" s="2517"/>
      <c r="EG14" s="2517"/>
      <c r="EH14" s="2517"/>
      <c r="EI14" s="2517"/>
      <c r="EJ14" s="2517"/>
      <c r="EK14" s="2517"/>
      <c r="EL14" s="2517"/>
      <c r="EM14" s="2517"/>
      <c r="EN14" s="2517"/>
      <c r="EO14" s="2517"/>
      <c r="EP14" s="2517"/>
      <c r="EQ14" s="2517"/>
      <c r="ER14" s="2517"/>
      <c r="ES14" s="2517"/>
      <c r="ET14" s="2517"/>
      <c r="EU14" s="2517"/>
      <c r="EV14" s="2517"/>
      <c r="EW14" s="2517"/>
      <c r="EX14" s="2517"/>
      <c r="EY14" s="2517"/>
      <c r="EZ14" s="2517"/>
      <c r="FA14" s="2517"/>
      <c r="FB14" s="2517"/>
      <c r="FC14" s="2517"/>
      <c r="FD14" s="2517"/>
      <c r="FE14" s="2517"/>
      <c r="FF14" s="2517"/>
      <c r="FG14" s="2517"/>
      <c r="FH14" s="2517"/>
      <c r="FI14" s="2517"/>
      <c r="FJ14" s="2517"/>
      <c r="FK14" s="2517"/>
      <c r="FL14" s="2517"/>
      <c r="FM14" s="2517"/>
      <c r="FN14" s="2517"/>
      <c r="FO14" s="2517"/>
      <c r="FP14" s="2517"/>
      <c r="FQ14" s="2517"/>
      <c r="FR14" s="2517"/>
      <c r="FS14" s="2517"/>
      <c r="FT14" s="2517"/>
      <c r="FU14" s="2517"/>
      <c r="FV14" s="2517"/>
      <c r="FW14" s="2517"/>
      <c r="FX14" s="2517"/>
      <c r="FY14" s="2517"/>
      <c r="FZ14" s="2517"/>
      <c r="GA14" s="2517"/>
      <c r="GB14" s="2517"/>
      <c r="GC14" s="2517"/>
      <c r="GD14" s="2517"/>
      <c r="GE14" s="2517"/>
      <c r="GF14" s="2517"/>
      <c r="GG14" s="2517"/>
      <c r="GH14" s="1242"/>
      <c r="GI14" s="1242"/>
      <c r="GK14" s="718"/>
      <c r="GL14" s="718" t="str">
        <f t="shared" si="0"/>
        <v>Добавить централизованную систему для дифференциации</v>
      </c>
      <c r="GM14" s="718"/>
      <c r="GN14" s="718"/>
      <c r="GO14" s="453">
        <v>0</v>
      </c>
    </row>
    <row r="15" spans="1:197" s="4140" customFormat="1" ht="0.7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2517"/>
      <c r="AM15" s="2517"/>
      <c r="AN15" s="2517"/>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c r="BP15" s="2517"/>
      <c r="BQ15" s="2517"/>
      <c r="BR15" s="2517"/>
      <c r="BS15" s="2517"/>
      <c r="BT15" s="2517"/>
      <c r="BU15" s="2517"/>
      <c r="BV15" s="2517"/>
      <c r="BW15" s="2517"/>
      <c r="BX15" s="2517"/>
      <c r="BY15" s="2517"/>
      <c r="BZ15" s="2517"/>
      <c r="CA15" s="2517"/>
      <c r="CB15" s="2517"/>
      <c r="CC15" s="2517"/>
      <c r="CD15" s="2517"/>
      <c r="CE15" s="2517"/>
      <c r="CF15" s="2517"/>
      <c r="CG15" s="2517"/>
      <c r="CH15" s="2517"/>
      <c r="CI15" s="2517"/>
      <c r="CJ15" s="2517"/>
      <c r="CK15" s="2517"/>
      <c r="CL15" s="2517"/>
      <c r="CM15" s="2517"/>
      <c r="CN15" s="2517"/>
      <c r="CO15" s="2517"/>
      <c r="CP15" s="2517"/>
      <c r="CQ15" s="2517"/>
      <c r="CR15" s="2517"/>
      <c r="CS15" s="2517"/>
      <c r="CT15" s="2517"/>
      <c r="CU15" s="2517"/>
      <c r="CV15" s="2517"/>
      <c r="CW15" s="2517"/>
      <c r="CX15" s="2517"/>
      <c r="CY15" s="2517"/>
      <c r="CZ15" s="2517"/>
      <c r="DA15" s="2517"/>
      <c r="DB15" s="2517"/>
      <c r="DC15" s="2517"/>
      <c r="DD15" s="2517"/>
      <c r="DE15" s="2517"/>
      <c r="DF15" s="2517"/>
      <c r="DG15" s="2517"/>
      <c r="DH15" s="2517"/>
      <c r="DI15" s="2517"/>
      <c r="DJ15" s="2517"/>
      <c r="DK15" s="2517"/>
      <c r="DL15" s="2517"/>
      <c r="DM15" s="2517"/>
      <c r="DN15" s="2517"/>
      <c r="DO15" s="2517"/>
      <c r="DP15" s="2517"/>
      <c r="DQ15" s="2517"/>
      <c r="DR15" s="2517"/>
      <c r="DS15" s="2517"/>
      <c r="DT15" s="2517"/>
      <c r="DU15" s="2517"/>
      <c r="DV15" s="2517"/>
      <c r="DW15" s="2517"/>
      <c r="DX15" s="2517"/>
      <c r="DY15" s="2517"/>
      <c r="DZ15" s="2517"/>
      <c r="EA15" s="2517"/>
      <c r="EB15" s="2517"/>
      <c r="EC15" s="2517"/>
      <c r="ED15" s="2517"/>
      <c r="EE15" s="2517"/>
      <c r="EF15" s="2517"/>
      <c r="EG15" s="2517"/>
      <c r="EH15" s="2517"/>
      <c r="EI15" s="2517"/>
      <c r="EJ15" s="2517"/>
      <c r="EK15" s="2517"/>
      <c r="EL15" s="2517"/>
      <c r="EM15" s="2517"/>
      <c r="EN15" s="2517"/>
      <c r="EO15" s="2517"/>
      <c r="EP15" s="2517"/>
      <c r="EQ15" s="2517"/>
      <c r="ER15" s="2517"/>
      <c r="ES15" s="2517"/>
      <c r="ET15" s="2517"/>
      <c r="EU15" s="2517"/>
      <c r="EV15" s="2517"/>
      <c r="EW15" s="2517"/>
      <c r="EX15" s="2517"/>
      <c r="EY15" s="2517"/>
      <c r="EZ15" s="2517"/>
      <c r="FA15" s="2517"/>
      <c r="FB15" s="2517"/>
      <c r="FC15" s="2517"/>
      <c r="FD15" s="2517"/>
      <c r="FE15" s="2517"/>
      <c r="FF15" s="2517"/>
      <c r="FG15" s="2517"/>
      <c r="FH15" s="2517"/>
      <c r="FI15" s="2517"/>
      <c r="FJ15" s="2517"/>
      <c r="FK15" s="2517"/>
      <c r="FL15" s="2517"/>
      <c r="FM15" s="2517"/>
      <c r="FN15" s="2517"/>
      <c r="FO15" s="2517"/>
      <c r="FP15" s="2517"/>
      <c r="FQ15" s="2517"/>
      <c r="FR15" s="2517"/>
      <c r="FS15" s="2517"/>
      <c r="FT15" s="2517"/>
      <c r="FU15" s="2517"/>
      <c r="FV15" s="2517"/>
      <c r="FW15" s="2517"/>
      <c r="FX15" s="2517"/>
      <c r="FY15" s="2517"/>
      <c r="FZ15" s="2517"/>
      <c r="GA15" s="2517"/>
      <c r="GB15" s="2517"/>
      <c r="GC15" s="2517"/>
      <c r="GD15" s="2517"/>
      <c r="GE15" s="2517"/>
      <c r="GF15" s="2517"/>
      <c r="GG15" s="2517"/>
      <c r="GH15" s="1242"/>
      <c r="GI15" s="1242"/>
      <c r="GK15" s="718"/>
      <c r="GL15" s="718" t="str">
        <f t="shared" si="0"/>
        <v>Добавить территорию для дифференциации</v>
      </c>
      <c r="GM15" s="718"/>
      <c r="GN15" s="718"/>
      <c r="GO15" s="453">
        <v>0</v>
      </c>
    </row>
    <row r="16" spans="1:197" ht="14.25" hidden="1" customHeight="1">
      <c r="AC16" s="263"/>
      <c r="AK16" s="263"/>
      <c r="AL16" s="2055"/>
      <c r="AM16" s="2055"/>
      <c r="AN16" s="2055"/>
      <c r="AO16" s="2055"/>
      <c r="AP16" s="2055"/>
      <c r="AQ16" s="2055"/>
      <c r="AR16" s="2055"/>
      <c r="AS16" s="2055"/>
      <c r="AT16" s="2055"/>
      <c r="AU16" s="2055"/>
      <c r="AV16" s="2055"/>
      <c r="AW16" s="2055"/>
      <c r="AX16" s="2055"/>
      <c r="AY16" s="2055"/>
      <c r="AZ16" s="2055"/>
      <c r="BA16" s="2055"/>
      <c r="BB16" s="2055"/>
      <c r="BC16" s="2055"/>
      <c r="BD16" s="2055"/>
      <c r="BE16" s="2055"/>
      <c r="BF16" s="2055"/>
      <c r="BG16" s="2055"/>
      <c r="BH16" s="2055"/>
      <c r="BI16" s="2055"/>
      <c r="BJ16" s="2055"/>
      <c r="BK16" s="2055"/>
      <c r="BL16" s="2055"/>
      <c r="BM16" s="2055"/>
      <c r="BN16" s="2055"/>
      <c r="BO16" s="2055"/>
      <c r="BP16" s="2055"/>
      <c r="BQ16" s="2055"/>
      <c r="BR16" s="2055"/>
      <c r="BS16" s="2055"/>
      <c r="BT16" s="2055"/>
      <c r="BU16" s="2055"/>
      <c r="BV16" s="2055"/>
      <c r="BW16" s="2055"/>
      <c r="BX16" s="2055"/>
      <c r="BY16" s="2055"/>
      <c r="BZ16" s="2055"/>
      <c r="CA16" s="2055"/>
      <c r="CB16" s="2055"/>
      <c r="CC16" s="2055"/>
      <c r="CD16" s="2055"/>
      <c r="CE16" s="2055"/>
      <c r="CF16" s="2055"/>
      <c r="CG16" s="2055"/>
      <c r="CH16" s="2055"/>
      <c r="CI16" s="2055"/>
      <c r="CJ16" s="2055"/>
      <c r="CK16" s="2055"/>
      <c r="CL16" s="2055"/>
      <c r="CM16" s="2055"/>
      <c r="CN16" s="2055"/>
      <c r="CO16" s="2055"/>
      <c r="CP16" s="2055"/>
      <c r="CQ16" s="2055"/>
      <c r="CR16" s="2055"/>
      <c r="CS16" s="2055"/>
      <c r="CT16" s="2055"/>
      <c r="CU16" s="2055"/>
      <c r="CV16" s="2055"/>
      <c r="CW16" s="2055"/>
      <c r="CX16" s="2055"/>
      <c r="CY16" s="2055"/>
      <c r="CZ16" s="2055"/>
      <c r="DA16" s="2055"/>
      <c r="DB16" s="2055"/>
      <c r="DC16" s="2055"/>
      <c r="DD16" s="2055"/>
      <c r="DE16" s="2055"/>
      <c r="DF16" s="2055"/>
      <c r="DG16" s="2055"/>
      <c r="DH16" s="2055"/>
      <c r="DI16" s="2055"/>
      <c r="DJ16" s="2055"/>
      <c r="DK16" s="2055"/>
      <c r="DL16" s="2055"/>
      <c r="DM16" s="2055"/>
      <c r="DN16" s="2055"/>
      <c r="DO16" s="2055"/>
      <c r="DP16" s="2055"/>
      <c r="DQ16" s="2055"/>
      <c r="DR16" s="2055"/>
      <c r="DS16" s="2055"/>
      <c r="DT16" s="2055"/>
      <c r="DU16" s="2055"/>
      <c r="DV16" s="2055"/>
      <c r="DW16" s="2055"/>
      <c r="DX16" s="2055"/>
      <c r="DY16" s="2055"/>
      <c r="DZ16" s="2055"/>
      <c r="EA16" s="2055"/>
      <c r="EB16" s="2055"/>
      <c r="EC16" s="2055"/>
      <c r="ED16" s="2055"/>
      <c r="EE16" s="2055"/>
      <c r="EF16" s="2055"/>
      <c r="EG16" s="2055"/>
      <c r="EH16" s="2055"/>
      <c r="EI16" s="2055"/>
      <c r="EJ16" s="2055"/>
      <c r="EK16" s="2055"/>
      <c r="EL16" s="2055"/>
      <c r="EM16" s="2055"/>
      <c r="EN16" s="2055"/>
      <c r="EO16" s="2055"/>
      <c r="EP16" s="2055"/>
      <c r="EQ16" s="2055"/>
      <c r="ER16" s="2055"/>
      <c r="ES16" s="2055"/>
      <c r="ET16" s="2055"/>
      <c r="EU16" s="2055"/>
      <c r="EV16" s="2055"/>
      <c r="EW16" s="2055"/>
      <c r="EX16" s="2055"/>
      <c r="EY16" s="2055"/>
      <c r="EZ16" s="2055"/>
      <c r="FA16" s="2055"/>
      <c r="FB16" s="2055"/>
      <c r="FC16" s="2055"/>
      <c r="FD16" s="2055"/>
      <c r="FE16" s="2055"/>
      <c r="FF16" s="2055"/>
      <c r="FG16" s="2055"/>
      <c r="FH16" s="2055"/>
      <c r="FI16" s="2055"/>
      <c r="FJ16" s="2055"/>
      <c r="FK16" s="2055"/>
      <c r="FL16" s="2055"/>
      <c r="FM16" s="2055"/>
      <c r="FN16" s="2055"/>
      <c r="FO16" s="2055"/>
      <c r="FP16" s="2055"/>
      <c r="FQ16" s="2055"/>
      <c r="FR16" s="2055"/>
      <c r="FS16" s="2055"/>
      <c r="FT16" s="2055"/>
      <c r="FU16" s="2055"/>
      <c r="FV16" s="2055"/>
      <c r="FW16" s="2055"/>
      <c r="FX16" s="2055"/>
      <c r="FY16" s="2055"/>
      <c r="FZ16" s="2055"/>
      <c r="GA16" s="2055"/>
      <c r="GB16" s="2055"/>
      <c r="GC16" s="2055"/>
      <c r="GD16" s="2055"/>
      <c r="GE16" s="2055"/>
      <c r="GF16" s="2055"/>
      <c r="GG16" s="2055"/>
      <c r="GO16" s="1073">
        <v>0</v>
      </c>
    </row>
    <row r="17" spans="1:197" ht="14.25" hidden="1" customHeight="1">
      <c r="AD17" s="1278"/>
      <c r="AE17" s="1278"/>
      <c r="AF17" s="1278"/>
      <c r="AG17" s="1279"/>
      <c r="AH17" s="4410"/>
      <c r="AI17" s="4409" t="s">
        <v>65</v>
      </c>
      <c r="AJ17" s="4410"/>
      <c r="AK17" s="4409" t="s">
        <v>65</v>
      </c>
      <c r="AL17" s="2055"/>
      <c r="AM17" s="2055"/>
      <c r="AN17" s="2055"/>
      <c r="AO17" s="2055"/>
      <c r="AP17" s="2055"/>
      <c r="AQ17" s="2055"/>
      <c r="AR17" s="2055"/>
      <c r="AS17" s="2055"/>
      <c r="AT17" s="2055"/>
      <c r="AU17" s="2055"/>
      <c r="AV17" s="2055"/>
      <c r="AW17" s="2055"/>
      <c r="AX17" s="2055"/>
      <c r="AY17" s="2055"/>
      <c r="AZ17" s="2055"/>
      <c r="BA17" s="2055"/>
      <c r="BB17" s="2055"/>
      <c r="BC17" s="2055"/>
      <c r="BD17" s="2055"/>
      <c r="BE17" s="2055"/>
      <c r="BF17" s="2055"/>
      <c r="BG17" s="2055"/>
      <c r="BH17" s="2055"/>
      <c r="BI17" s="2055"/>
      <c r="BJ17" s="2055"/>
      <c r="BK17" s="2055"/>
      <c r="BL17" s="2055"/>
      <c r="BM17" s="2055"/>
      <c r="BN17" s="2055"/>
      <c r="BO17" s="2055"/>
      <c r="BP17" s="2055"/>
      <c r="BQ17" s="2055"/>
      <c r="BR17" s="2055"/>
      <c r="BS17" s="2055"/>
      <c r="BT17" s="2055"/>
      <c r="BU17" s="2055"/>
      <c r="BV17" s="2055"/>
      <c r="BW17" s="2055"/>
      <c r="BX17" s="2055"/>
      <c r="BY17" s="2055"/>
      <c r="BZ17" s="2055"/>
      <c r="CA17" s="2055"/>
      <c r="CB17" s="2055"/>
      <c r="CC17" s="2055"/>
      <c r="CD17" s="2055"/>
      <c r="CE17" s="2055"/>
      <c r="CF17" s="2055"/>
      <c r="CG17" s="2055"/>
      <c r="CH17" s="2055"/>
      <c r="CI17" s="2055"/>
      <c r="CJ17" s="2055"/>
      <c r="CK17" s="2055"/>
      <c r="CL17" s="2055"/>
      <c r="CM17" s="2055"/>
      <c r="CN17" s="2055"/>
      <c r="CO17" s="2055"/>
      <c r="CP17" s="2055"/>
      <c r="CQ17" s="2055"/>
      <c r="CR17" s="2055"/>
      <c r="CS17" s="2055"/>
      <c r="CT17" s="2055"/>
      <c r="CU17" s="2055"/>
      <c r="CV17" s="2055"/>
      <c r="CW17" s="2055"/>
      <c r="CX17" s="2055"/>
      <c r="CY17" s="2055"/>
      <c r="CZ17" s="2055"/>
      <c r="DA17" s="2055"/>
      <c r="DB17" s="2055"/>
      <c r="DC17" s="2055"/>
      <c r="DD17" s="2055"/>
      <c r="DE17" s="2055"/>
      <c r="DF17" s="2055"/>
      <c r="DG17" s="2055"/>
      <c r="DH17" s="2055"/>
      <c r="DI17" s="2055"/>
      <c r="DJ17" s="2055"/>
      <c r="DK17" s="2055"/>
      <c r="DL17" s="2055"/>
      <c r="DM17" s="2055"/>
      <c r="DN17" s="2055"/>
      <c r="DO17" s="2055"/>
      <c r="DP17" s="2055"/>
      <c r="DQ17" s="2055"/>
      <c r="DR17" s="2055"/>
      <c r="DS17" s="2055"/>
      <c r="DT17" s="2055"/>
      <c r="DU17" s="2055"/>
      <c r="DV17" s="2055"/>
      <c r="DW17" s="2055"/>
      <c r="DX17" s="2055"/>
      <c r="DY17" s="2055"/>
      <c r="DZ17" s="2055"/>
      <c r="EA17" s="2055"/>
      <c r="EB17" s="2055"/>
      <c r="EC17" s="2055"/>
      <c r="ED17" s="2055"/>
      <c r="EE17" s="2055"/>
      <c r="EF17" s="2055"/>
      <c r="EG17" s="2055"/>
      <c r="EH17" s="2055"/>
      <c r="EI17" s="2055"/>
      <c r="EJ17" s="2055"/>
      <c r="EK17" s="2055"/>
      <c r="EL17" s="2055"/>
      <c r="EM17" s="2055"/>
      <c r="EN17" s="2055"/>
      <c r="EO17" s="2055"/>
      <c r="EP17" s="2055"/>
      <c r="EQ17" s="2055"/>
      <c r="ER17" s="2055"/>
      <c r="ES17" s="2055"/>
      <c r="ET17" s="2055"/>
      <c r="EU17" s="2055"/>
      <c r="EV17" s="2055"/>
      <c r="EW17" s="2055"/>
      <c r="EX17" s="2055"/>
      <c r="EY17" s="2055"/>
      <c r="EZ17" s="2055"/>
      <c r="FA17" s="2055"/>
      <c r="FB17" s="2055"/>
      <c r="FC17" s="2055"/>
      <c r="FD17" s="2055"/>
      <c r="FE17" s="2055"/>
      <c r="FF17" s="2055"/>
      <c r="FG17" s="2055"/>
      <c r="FH17" s="2055"/>
      <c r="FI17" s="2055"/>
      <c r="FJ17" s="2055"/>
      <c r="FK17" s="2055"/>
      <c r="FL17" s="2055"/>
      <c r="FM17" s="2055"/>
      <c r="FN17" s="2055"/>
      <c r="FO17" s="2055"/>
      <c r="FP17" s="2055"/>
      <c r="FQ17" s="2055"/>
      <c r="FR17" s="2055"/>
      <c r="FS17" s="2055"/>
      <c r="FT17" s="2055"/>
      <c r="FU17" s="2055"/>
      <c r="FV17" s="2055"/>
      <c r="FW17" s="2055"/>
      <c r="FX17" s="2055"/>
      <c r="FY17" s="2055"/>
      <c r="FZ17" s="2055"/>
      <c r="GA17" s="2055"/>
      <c r="GB17" s="2055"/>
      <c r="GC17" s="2055"/>
      <c r="GD17" s="2055"/>
      <c r="GE17" s="2055"/>
      <c r="GF17" s="2055"/>
      <c r="GG17" s="2055"/>
      <c r="GO17" s="1073">
        <v>0</v>
      </c>
    </row>
    <row r="18" spans="1:197" ht="14.25" hidden="1" customHeight="1">
      <c r="AD18" s="1278"/>
      <c r="AE18" s="1278"/>
      <c r="AF18" s="1278"/>
      <c r="AG18" s="264" t="str">
        <f>AH17&amp;"-"&amp;AJ17</f>
        <v>-</v>
      </c>
      <c r="AH18" s="4409"/>
      <c r="AI18" s="4409"/>
      <c r="AJ18" s="4409"/>
      <c r="AK18" s="4409"/>
      <c r="AL18" s="2055"/>
      <c r="AM18" s="2055"/>
      <c r="AN18" s="2055"/>
      <c r="AO18" s="2055"/>
      <c r="AP18" s="2055"/>
      <c r="AQ18" s="2055"/>
      <c r="AR18" s="2055"/>
      <c r="AS18" s="2055"/>
      <c r="AT18" s="2055"/>
      <c r="AU18" s="2055"/>
      <c r="AV18" s="2055"/>
      <c r="AW18" s="2055"/>
      <c r="AX18" s="2055"/>
      <c r="AY18" s="2055"/>
      <c r="AZ18" s="2055"/>
      <c r="BA18" s="2055"/>
      <c r="BB18" s="2055"/>
      <c r="BC18" s="2055"/>
      <c r="BD18" s="2055"/>
      <c r="BE18" s="2055"/>
      <c r="BF18" s="2055"/>
      <c r="BG18" s="2055"/>
      <c r="BH18" s="2055"/>
      <c r="BI18" s="2055"/>
      <c r="BJ18" s="2055"/>
      <c r="BK18" s="2055"/>
      <c r="BL18" s="2055"/>
      <c r="BM18" s="2055"/>
      <c r="BN18" s="2055"/>
      <c r="BO18" s="2055"/>
      <c r="BP18" s="2055"/>
      <c r="BQ18" s="2055"/>
      <c r="BR18" s="2055"/>
      <c r="BS18" s="2055"/>
      <c r="BT18" s="2055"/>
      <c r="BU18" s="2055"/>
      <c r="BV18" s="2055"/>
      <c r="BW18" s="2055"/>
      <c r="BX18" s="2055"/>
      <c r="BY18" s="2055"/>
      <c r="BZ18" s="2055"/>
      <c r="CA18" s="2055"/>
      <c r="CB18" s="2055"/>
      <c r="CC18" s="2055"/>
      <c r="CD18" s="2055"/>
      <c r="CE18" s="2055"/>
      <c r="CF18" s="2055"/>
      <c r="CG18" s="2055"/>
      <c r="CH18" s="2055"/>
      <c r="CI18" s="2055"/>
      <c r="CJ18" s="2055"/>
      <c r="CK18" s="2055"/>
      <c r="CL18" s="2055"/>
      <c r="CM18" s="2055"/>
      <c r="CN18" s="2055"/>
      <c r="CO18" s="2055"/>
      <c r="CP18" s="2055"/>
      <c r="CQ18" s="2055"/>
      <c r="CR18" s="2055"/>
      <c r="CS18" s="2055"/>
      <c r="CT18" s="2055"/>
      <c r="CU18" s="2055"/>
      <c r="CV18" s="2055"/>
      <c r="CW18" s="2055"/>
      <c r="CX18" s="2055"/>
      <c r="CY18" s="2055"/>
      <c r="CZ18" s="2055"/>
      <c r="DA18" s="2055"/>
      <c r="DB18" s="2055"/>
      <c r="DC18" s="2055"/>
      <c r="DD18" s="2055"/>
      <c r="DE18" s="2055"/>
      <c r="DF18" s="2055"/>
      <c r="DG18" s="2055"/>
      <c r="DH18" s="2055"/>
      <c r="DI18" s="2055"/>
      <c r="DJ18" s="2055"/>
      <c r="DK18" s="2055"/>
      <c r="DL18" s="2055"/>
      <c r="DM18" s="2055"/>
      <c r="DN18" s="2055"/>
      <c r="DO18" s="2055"/>
      <c r="DP18" s="2055"/>
      <c r="DQ18" s="2055"/>
      <c r="DR18" s="2055"/>
      <c r="DS18" s="2055"/>
      <c r="DT18" s="2055"/>
      <c r="DU18" s="2055"/>
      <c r="DV18" s="2055"/>
      <c r="DW18" s="2055"/>
      <c r="DX18" s="2055"/>
      <c r="DY18" s="2055"/>
      <c r="DZ18" s="2055"/>
      <c r="EA18" s="2055"/>
      <c r="EB18" s="2055"/>
      <c r="EC18" s="2055"/>
      <c r="ED18" s="2055"/>
      <c r="EE18" s="2055"/>
      <c r="EF18" s="2055"/>
      <c r="EG18" s="2055"/>
      <c r="EH18" s="2055"/>
      <c r="EI18" s="2055"/>
      <c r="EJ18" s="2055"/>
      <c r="EK18" s="2055"/>
      <c r="EL18" s="2055"/>
      <c r="EM18" s="2055"/>
      <c r="EN18" s="2055"/>
      <c r="EO18" s="2055"/>
      <c r="EP18" s="2055"/>
      <c r="EQ18" s="2055"/>
      <c r="ER18" s="2055"/>
      <c r="ES18" s="2055"/>
      <c r="ET18" s="2055"/>
      <c r="EU18" s="2055"/>
      <c r="EV18" s="2055"/>
      <c r="EW18" s="2055"/>
      <c r="EX18" s="2055"/>
      <c r="EY18" s="2055"/>
      <c r="EZ18" s="2055"/>
      <c r="FA18" s="2055"/>
      <c r="FB18" s="2055"/>
      <c r="FC18" s="2055"/>
      <c r="FD18" s="2055"/>
      <c r="FE18" s="2055"/>
      <c r="FF18" s="2055"/>
      <c r="FG18" s="2055"/>
      <c r="FH18" s="2055"/>
      <c r="FI18" s="2055"/>
      <c r="FJ18" s="2055"/>
      <c r="FK18" s="2055"/>
      <c r="FL18" s="2055"/>
      <c r="FM18" s="2055"/>
      <c r="FN18" s="2055"/>
      <c r="FO18" s="2055"/>
      <c r="FP18" s="2055"/>
      <c r="FQ18" s="2055"/>
      <c r="FR18" s="2055"/>
      <c r="FS18" s="2055"/>
      <c r="FT18" s="2055"/>
      <c r="FU18" s="2055"/>
      <c r="FV18" s="2055"/>
      <c r="FW18" s="2055"/>
      <c r="FX18" s="2055"/>
      <c r="FY18" s="2055"/>
      <c r="FZ18" s="2055"/>
      <c r="GA18" s="2055"/>
      <c r="GB18" s="2055"/>
      <c r="GC18" s="2055"/>
      <c r="GD18" s="2055"/>
      <c r="GE18" s="2055"/>
      <c r="GF18" s="2055"/>
      <c r="GG18" s="2055"/>
      <c r="GO18" s="1073">
        <v>0</v>
      </c>
    </row>
    <row r="19" spans="1:197" ht="14.25" hidden="1" customHeight="1">
      <c r="AK19" s="263"/>
      <c r="AL19" s="2055"/>
      <c r="AM19" s="2055"/>
      <c r="AN19" s="2055"/>
      <c r="AO19" s="2055"/>
      <c r="AP19" s="2055"/>
      <c r="AQ19" s="2055"/>
      <c r="AR19" s="2055"/>
      <c r="AS19" s="2055"/>
      <c r="AT19" s="2055"/>
      <c r="AU19" s="2055"/>
      <c r="AV19" s="2055"/>
      <c r="AW19" s="2055"/>
      <c r="AX19" s="2055"/>
      <c r="AY19" s="2055"/>
      <c r="AZ19" s="2055"/>
      <c r="BA19" s="2055"/>
      <c r="BB19" s="2055"/>
      <c r="BC19" s="2055"/>
      <c r="BD19" s="2055"/>
      <c r="BE19" s="2055"/>
      <c r="BF19" s="2055"/>
      <c r="BG19" s="2055"/>
      <c r="BH19" s="2055"/>
      <c r="BI19" s="2055"/>
      <c r="BJ19" s="2055"/>
      <c r="BK19" s="2055"/>
      <c r="BL19" s="2055"/>
      <c r="BM19" s="2055"/>
      <c r="BN19" s="2055"/>
      <c r="BO19" s="2055"/>
      <c r="BP19" s="2055"/>
      <c r="BQ19" s="2055"/>
      <c r="BR19" s="2055"/>
      <c r="BS19" s="2055"/>
      <c r="BT19" s="2055"/>
      <c r="BU19" s="2055"/>
      <c r="BV19" s="2055"/>
      <c r="BW19" s="2055"/>
      <c r="BX19" s="2055"/>
      <c r="BY19" s="2055"/>
      <c r="BZ19" s="2055"/>
      <c r="CA19" s="2055"/>
      <c r="CB19" s="2055"/>
      <c r="CC19" s="2055"/>
      <c r="CD19" s="2055"/>
      <c r="CE19" s="2055"/>
      <c r="CF19" s="2055"/>
      <c r="CG19" s="2055"/>
      <c r="CH19" s="2055"/>
      <c r="CI19" s="2055"/>
      <c r="CJ19" s="2055"/>
      <c r="CK19" s="2055"/>
      <c r="CL19" s="2055"/>
      <c r="CM19" s="2055"/>
      <c r="CN19" s="2055"/>
      <c r="CO19" s="2055"/>
      <c r="CP19" s="2055"/>
      <c r="CQ19" s="2055"/>
      <c r="CR19" s="2055"/>
      <c r="CS19" s="2055"/>
      <c r="CT19" s="2055"/>
      <c r="CU19" s="2055"/>
      <c r="CV19" s="2055"/>
      <c r="CW19" s="2055"/>
      <c r="CX19" s="2055"/>
      <c r="CY19" s="2055"/>
      <c r="CZ19" s="2055"/>
      <c r="DA19" s="2055"/>
      <c r="DB19" s="2055"/>
      <c r="DC19" s="2055"/>
      <c r="DD19" s="2055"/>
      <c r="DE19" s="2055"/>
      <c r="DF19" s="2055"/>
      <c r="DG19" s="2055"/>
      <c r="DH19" s="2055"/>
      <c r="DI19" s="2055"/>
      <c r="DJ19" s="2055"/>
      <c r="DK19" s="2055"/>
      <c r="DL19" s="2055"/>
      <c r="DM19" s="2055"/>
      <c r="DN19" s="2055"/>
      <c r="DO19" s="2055"/>
      <c r="DP19" s="2055"/>
      <c r="DQ19" s="2055"/>
      <c r="DR19" s="2055"/>
      <c r="DS19" s="2055"/>
      <c r="DT19" s="2055"/>
      <c r="DU19" s="2055"/>
      <c r="DV19" s="2055"/>
      <c r="DW19" s="2055"/>
      <c r="DX19" s="2055"/>
      <c r="DY19" s="2055"/>
      <c r="DZ19" s="2055"/>
      <c r="EA19" s="2055"/>
      <c r="EB19" s="2055"/>
      <c r="EC19" s="2055"/>
      <c r="ED19" s="2055"/>
      <c r="EE19" s="2055"/>
      <c r="EF19" s="2055"/>
      <c r="EG19" s="2055"/>
      <c r="EH19" s="2055"/>
      <c r="EI19" s="2055"/>
      <c r="EJ19" s="2055"/>
      <c r="EK19" s="2055"/>
      <c r="EL19" s="2055"/>
      <c r="EM19" s="2055"/>
      <c r="EN19" s="2055"/>
      <c r="EO19" s="2055"/>
      <c r="EP19" s="2055"/>
      <c r="EQ19" s="2055"/>
      <c r="ER19" s="2055"/>
      <c r="ES19" s="2055"/>
      <c r="ET19" s="2055"/>
      <c r="EU19" s="2055"/>
      <c r="EV19" s="2055"/>
      <c r="EW19" s="2055"/>
      <c r="EX19" s="2055"/>
      <c r="EY19" s="2055"/>
      <c r="EZ19" s="2055"/>
      <c r="FA19" s="2055"/>
      <c r="FB19" s="2055"/>
      <c r="FC19" s="2055"/>
      <c r="FD19" s="2055"/>
      <c r="FE19" s="2055"/>
      <c r="FF19" s="2055"/>
      <c r="FG19" s="2055"/>
      <c r="FH19" s="2055"/>
      <c r="FI19" s="2055"/>
      <c r="FJ19" s="2055"/>
      <c r="FK19" s="2055"/>
      <c r="FL19" s="2055"/>
      <c r="FM19" s="2055"/>
      <c r="FN19" s="2055"/>
      <c r="FO19" s="2055"/>
      <c r="FP19" s="2055"/>
      <c r="FQ19" s="2055"/>
      <c r="FR19" s="2055"/>
      <c r="FS19" s="2055"/>
      <c r="FT19" s="2055"/>
      <c r="FU19" s="2055"/>
      <c r="FV19" s="2055"/>
      <c r="FW19" s="2055"/>
      <c r="FX19" s="2055"/>
      <c r="FY19" s="2055"/>
      <c r="FZ19" s="2055"/>
      <c r="GA19" s="2055"/>
      <c r="GB19" s="2055"/>
      <c r="GC19" s="2055"/>
      <c r="GD19" s="2055"/>
      <c r="GE19" s="2055"/>
      <c r="GF19" s="2055"/>
      <c r="GG19" s="2055"/>
      <c r="GO19" s="1073">
        <v>0</v>
      </c>
    </row>
    <row r="20" spans="1:197" s="4139" customFormat="1" ht="22.5" hidden="1" customHeight="1">
      <c r="L20" s="1247"/>
      <c r="M20" s="1280"/>
      <c r="N20" s="1280"/>
      <c r="O20" s="1285" t="s">
        <v>435</v>
      </c>
      <c r="P20" s="1280"/>
      <c r="Q20" s="1289"/>
      <c r="R20" s="1289"/>
      <c r="S20" s="664"/>
      <c r="Z20" s="1285"/>
      <c r="AB20" s="1285"/>
      <c r="AC20" s="1284"/>
      <c r="AH20" s="1285"/>
      <c r="AJ20" s="1285"/>
      <c r="AK20" s="1284"/>
      <c r="AL20" s="2518"/>
      <c r="AM20" s="2518"/>
      <c r="AN20" s="2518"/>
      <c r="AO20" s="2518"/>
      <c r="AP20" s="2519"/>
      <c r="AQ20" s="2518"/>
      <c r="AR20" s="2519"/>
      <c r="AS20" s="2518"/>
      <c r="AT20" s="2518"/>
      <c r="AU20" s="2518"/>
      <c r="AV20" s="2518"/>
      <c r="AW20" s="2518"/>
      <c r="AX20" s="2519"/>
      <c r="AY20" s="2518"/>
      <c r="AZ20" s="2519"/>
      <c r="BA20" s="2518"/>
      <c r="BB20" s="2518"/>
      <c r="BC20" s="2518"/>
      <c r="BD20" s="2518"/>
      <c r="BE20" s="2518"/>
      <c r="BF20" s="2519"/>
      <c r="BG20" s="2518"/>
      <c r="BH20" s="2519"/>
      <c r="BI20" s="2518"/>
      <c r="BJ20" s="2518"/>
      <c r="BK20" s="2518"/>
      <c r="BL20" s="2518"/>
      <c r="BM20" s="2518"/>
      <c r="BN20" s="2519"/>
      <c r="BO20" s="2518"/>
      <c r="BP20" s="2519"/>
      <c r="BQ20" s="2518"/>
      <c r="BR20" s="2518"/>
      <c r="BS20" s="2518"/>
      <c r="BT20" s="2518"/>
      <c r="BU20" s="2518"/>
      <c r="BV20" s="2519"/>
      <c r="BW20" s="2518"/>
      <c r="BX20" s="2519"/>
      <c r="BY20" s="2518"/>
      <c r="BZ20" s="2518"/>
      <c r="CA20" s="2518"/>
      <c r="CB20" s="2518"/>
      <c r="CC20" s="2518"/>
      <c r="CD20" s="2519"/>
      <c r="CE20" s="2518"/>
      <c r="CF20" s="2519"/>
      <c r="CG20" s="2518"/>
      <c r="CH20" s="2518"/>
      <c r="CI20" s="2518"/>
      <c r="CJ20" s="2518"/>
      <c r="CK20" s="2518"/>
      <c r="CL20" s="2519"/>
      <c r="CM20" s="2518"/>
      <c r="CN20" s="2519"/>
      <c r="CO20" s="2518"/>
      <c r="CP20" s="2518"/>
      <c r="CQ20" s="2518"/>
      <c r="CR20" s="2518"/>
      <c r="CS20" s="2518"/>
      <c r="CT20" s="2519"/>
      <c r="CU20" s="2518"/>
      <c r="CV20" s="2519"/>
      <c r="CW20" s="2518"/>
      <c r="CX20" s="2518"/>
      <c r="CY20" s="2518"/>
      <c r="CZ20" s="2518"/>
      <c r="DA20" s="2518"/>
      <c r="DB20" s="2519"/>
      <c r="DC20" s="2518"/>
      <c r="DD20" s="2519"/>
      <c r="DE20" s="2518"/>
      <c r="DF20" s="2518"/>
      <c r="DG20" s="2518"/>
      <c r="DH20" s="2518"/>
      <c r="DI20" s="2518"/>
      <c r="DJ20" s="2519"/>
      <c r="DK20" s="2518"/>
      <c r="DL20" s="2519"/>
      <c r="DM20" s="2518"/>
      <c r="DN20" s="2518"/>
      <c r="DO20" s="2518"/>
      <c r="DP20" s="2518"/>
      <c r="DQ20" s="2518"/>
      <c r="DR20" s="2519"/>
      <c r="DS20" s="2518"/>
      <c r="DT20" s="2519"/>
      <c r="DU20" s="2518"/>
      <c r="DV20" s="2518"/>
      <c r="DW20" s="2518"/>
      <c r="DX20" s="2518"/>
      <c r="DY20" s="2518"/>
      <c r="DZ20" s="2519"/>
      <c r="EA20" s="2518"/>
      <c r="EB20" s="2519"/>
      <c r="EC20" s="2518"/>
      <c r="ED20" s="2518"/>
      <c r="EE20" s="2518"/>
      <c r="EF20" s="2518"/>
      <c r="EG20" s="2518"/>
      <c r="EH20" s="2519"/>
      <c r="EI20" s="2518"/>
      <c r="EJ20" s="2519"/>
      <c r="EK20" s="2518"/>
      <c r="EL20" s="2518"/>
      <c r="EM20" s="2518"/>
      <c r="EN20" s="2518"/>
      <c r="EO20" s="2518"/>
      <c r="EP20" s="2519"/>
      <c r="EQ20" s="2518"/>
      <c r="ER20" s="2519"/>
      <c r="ES20" s="2518"/>
      <c r="ET20" s="2518"/>
      <c r="EU20" s="2518"/>
      <c r="EV20" s="2518"/>
      <c r="EW20" s="2518"/>
      <c r="EX20" s="2519"/>
      <c r="EY20" s="2518"/>
      <c r="EZ20" s="2519"/>
      <c r="FA20" s="2518"/>
      <c r="FB20" s="2518"/>
      <c r="FC20" s="2518"/>
      <c r="FD20" s="2518"/>
      <c r="FE20" s="2518"/>
      <c r="FF20" s="2519"/>
      <c r="FG20" s="2518"/>
      <c r="FH20" s="2519"/>
      <c r="FI20" s="2518"/>
      <c r="FJ20" s="2518"/>
      <c r="FK20" s="2518"/>
      <c r="FL20" s="2518"/>
      <c r="FM20" s="2518"/>
      <c r="FN20" s="2519"/>
      <c r="FO20" s="2518"/>
      <c r="FP20" s="2519"/>
      <c r="FQ20" s="2518"/>
      <c r="FR20" s="2518"/>
      <c r="FS20" s="2518"/>
      <c r="FT20" s="2518"/>
      <c r="FU20" s="2518"/>
      <c r="FV20" s="2519"/>
      <c r="FW20" s="2518"/>
      <c r="FX20" s="2519"/>
      <c r="FY20" s="2518"/>
      <c r="FZ20" s="2518"/>
      <c r="GA20" s="2518"/>
      <c r="GB20" s="2518"/>
      <c r="GC20" s="2518"/>
      <c r="GD20" s="2519"/>
      <c r="GE20" s="2518"/>
      <c r="GF20" s="2519"/>
      <c r="GG20" s="2518"/>
      <c r="GJ20" s="446"/>
      <c r="GK20" s="446"/>
      <c r="GL20" s="446"/>
      <c r="GM20" s="446"/>
      <c r="GN20" s="446"/>
      <c r="GO20" s="1078">
        <v>0</v>
      </c>
    </row>
    <row r="21" spans="1:197" s="4139" customFormat="1" ht="14.25" hidden="1" customHeight="1">
      <c r="L21" s="1247"/>
      <c r="M21" s="1280"/>
      <c r="N21" s="1280"/>
      <c r="O21" s="1280"/>
      <c r="P21" s="1280"/>
      <c r="Q21" s="1289"/>
      <c r="R21" s="1289"/>
      <c r="S21" s="664"/>
      <c r="AC21" s="1284"/>
      <c r="AK21" s="1284"/>
      <c r="AL21" s="2518"/>
      <c r="AM21" s="2518"/>
      <c r="AN21" s="2518"/>
      <c r="AO21" s="2518"/>
      <c r="AP21" s="2518"/>
      <c r="AQ21" s="2518"/>
      <c r="AR21" s="2518"/>
      <c r="AS21" s="2518"/>
      <c r="AT21" s="2518"/>
      <c r="AU21" s="2518"/>
      <c r="AV21" s="2518"/>
      <c r="AW21" s="2518"/>
      <c r="AX21" s="2518"/>
      <c r="AY21" s="2518"/>
      <c r="AZ21" s="2518"/>
      <c r="BA21" s="2518"/>
      <c r="BB21" s="2518"/>
      <c r="BC21" s="2518"/>
      <c r="BD21" s="2518"/>
      <c r="BE21" s="2518"/>
      <c r="BF21" s="2518"/>
      <c r="BG21" s="2518"/>
      <c r="BH21" s="2518"/>
      <c r="BI21" s="2518"/>
      <c r="BJ21" s="2518"/>
      <c r="BK21" s="2518"/>
      <c r="BL21" s="2518"/>
      <c r="BM21" s="2518"/>
      <c r="BN21" s="2518"/>
      <c r="BO21" s="2518"/>
      <c r="BP21" s="2518"/>
      <c r="BQ21" s="2518"/>
      <c r="BR21" s="2518"/>
      <c r="BS21" s="2518"/>
      <c r="BT21" s="2518"/>
      <c r="BU21" s="2518"/>
      <c r="BV21" s="2518"/>
      <c r="BW21" s="2518"/>
      <c r="BX21" s="2518"/>
      <c r="BY21" s="2518"/>
      <c r="BZ21" s="2518"/>
      <c r="CA21" s="2518"/>
      <c r="CB21" s="2518"/>
      <c r="CC21" s="2518"/>
      <c r="CD21" s="2518"/>
      <c r="CE21" s="2518"/>
      <c r="CF21" s="2518"/>
      <c r="CG21" s="2518"/>
      <c r="CH21" s="2518"/>
      <c r="CI21" s="2518"/>
      <c r="CJ21" s="2518"/>
      <c r="CK21" s="2518"/>
      <c r="CL21" s="2518"/>
      <c r="CM21" s="2518"/>
      <c r="CN21" s="2518"/>
      <c r="CO21" s="2518"/>
      <c r="CP21" s="2518"/>
      <c r="CQ21" s="2518"/>
      <c r="CR21" s="2518"/>
      <c r="CS21" s="2518"/>
      <c r="CT21" s="2518"/>
      <c r="CU21" s="2518"/>
      <c r="CV21" s="2518"/>
      <c r="CW21" s="2518"/>
      <c r="CX21" s="2518"/>
      <c r="CY21" s="2518"/>
      <c r="CZ21" s="2518"/>
      <c r="DA21" s="2518"/>
      <c r="DB21" s="2518"/>
      <c r="DC21" s="2518"/>
      <c r="DD21" s="2518"/>
      <c r="DE21" s="2518"/>
      <c r="DF21" s="2518"/>
      <c r="DG21" s="2518"/>
      <c r="DH21" s="2518"/>
      <c r="DI21" s="2518"/>
      <c r="DJ21" s="2518"/>
      <c r="DK21" s="2518"/>
      <c r="DL21" s="2518"/>
      <c r="DM21" s="2518"/>
      <c r="DN21" s="2518"/>
      <c r="DO21" s="2518"/>
      <c r="DP21" s="2518"/>
      <c r="DQ21" s="2518"/>
      <c r="DR21" s="2518"/>
      <c r="DS21" s="2518"/>
      <c r="DT21" s="2518"/>
      <c r="DU21" s="2518"/>
      <c r="DV21" s="2518"/>
      <c r="DW21" s="2518"/>
      <c r="DX21" s="2518"/>
      <c r="DY21" s="2518"/>
      <c r="DZ21" s="2518"/>
      <c r="EA21" s="2518"/>
      <c r="EB21" s="2518"/>
      <c r="EC21" s="2518"/>
      <c r="ED21" s="2518"/>
      <c r="EE21" s="2518"/>
      <c r="EF21" s="2518"/>
      <c r="EG21" s="2518"/>
      <c r="EH21" s="2518"/>
      <c r="EI21" s="2518"/>
      <c r="EJ21" s="2518"/>
      <c r="EK21" s="2518"/>
      <c r="EL21" s="2518"/>
      <c r="EM21" s="2518"/>
      <c r="EN21" s="2518"/>
      <c r="EO21" s="2518"/>
      <c r="EP21" s="2518"/>
      <c r="EQ21" s="2518"/>
      <c r="ER21" s="2518"/>
      <c r="ES21" s="2518"/>
      <c r="ET21" s="2518"/>
      <c r="EU21" s="2518"/>
      <c r="EV21" s="2518"/>
      <c r="EW21" s="2518"/>
      <c r="EX21" s="2518"/>
      <c r="EY21" s="2518"/>
      <c r="EZ21" s="2518"/>
      <c r="FA21" s="2518"/>
      <c r="FB21" s="2518"/>
      <c r="FC21" s="2518"/>
      <c r="FD21" s="2518"/>
      <c r="FE21" s="2518"/>
      <c r="FF21" s="2518"/>
      <c r="FG21" s="2518"/>
      <c r="FH21" s="2518"/>
      <c r="FI21" s="2518"/>
      <c r="FJ21" s="2518"/>
      <c r="FK21" s="2518"/>
      <c r="FL21" s="2518"/>
      <c r="FM21" s="2518"/>
      <c r="FN21" s="2518"/>
      <c r="FO21" s="2518"/>
      <c r="FP21" s="2518"/>
      <c r="FQ21" s="2518"/>
      <c r="FR21" s="2518"/>
      <c r="FS21" s="2518"/>
      <c r="FT21" s="2518"/>
      <c r="FU21" s="2518"/>
      <c r="FV21" s="2518"/>
      <c r="FW21" s="2518"/>
      <c r="FX21" s="2518"/>
      <c r="FY21" s="2518"/>
      <c r="FZ21" s="2518"/>
      <c r="GA21" s="2518"/>
      <c r="GB21" s="2518"/>
      <c r="GC21" s="2518"/>
      <c r="GD21" s="2518"/>
      <c r="GE21" s="2518"/>
      <c r="GF21" s="2518"/>
      <c r="GG21" s="2518"/>
      <c r="GJ21" s="446"/>
      <c r="GK21" s="446"/>
      <c r="GL21" s="446"/>
      <c r="GM21" s="446"/>
      <c r="GN21" s="446"/>
      <c r="GO21" s="1078">
        <v>0</v>
      </c>
    </row>
    <row r="22" spans="1:197" s="4139" customFormat="1" ht="14.2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L22" s="2518"/>
      <c r="AM22" s="2518"/>
      <c r="AN22" s="2518"/>
      <c r="AO22" s="2518"/>
      <c r="AP22" s="2518"/>
      <c r="AQ22" s="2520" t="s">
        <v>438</v>
      </c>
      <c r="AR22" s="2518"/>
      <c r="AS22" s="2520" t="s">
        <v>439</v>
      </c>
      <c r="AT22" s="2518"/>
      <c r="AU22" s="2518"/>
      <c r="AV22" s="2518"/>
      <c r="AW22" s="2518"/>
      <c r="AX22" s="2518"/>
      <c r="AY22" s="2520" t="s">
        <v>438</v>
      </c>
      <c r="AZ22" s="2518"/>
      <c r="BA22" s="2520" t="s">
        <v>439</v>
      </c>
      <c r="BB22" s="2518"/>
      <c r="BC22" s="2518"/>
      <c r="BD22" s="2518"/>
      <c r="BE22" s="2518"/>
      <c r="BF22" s="2518"/>
      <c r="BG22" s="2520" t="s">
        <v>438</v>
      </c>
      <c r="BH22" s="2518"/>
      <c r="BI22" s="2520" t="s">
        <v>439</v>
      </c>
      <c r="BJ22" s="2518"/>
      <c r="BK22" s="2518"/>
      <c r="BL22" s="2518"/>
      <c r="BM22" s="2518"/>
      <c r="BN22" s="2518"/>
      <c r="BO22" s="2520" t="s">
        <v>438</v>
      </c>
      <c r="BP22" s="2518"/>
      <c r="BQ22" s="2520" t="s">
        <v>439</v>
      </c>
      <c r="BR22" s="2518"/>
      <c r="BS22" s="2518"/>
      <c r="BT22" s="2518"/>
      <c r="BU22" s="2518"/>
      <c r="BV22" s="2518"/>
      <c r="BW22" s="2520" t="s">
        <v>438</v>
      </c>
      <c r="BX22" s="2518"/>
      <c r="BY22" s="2520" t="s">
        <v>439</v>
      </c>
      <c r="BZ22" s="2518"/>
      <c r="CA22" s="2518"/>
      <c r="CB22" s="2518"/>
      <c r="CC22" s="2518"/>
      <c r="CD22" s="2518"/>
      <c r="CE22" s="2520" t="s">
        <v>438</v>
      </c>
      <c r="CF22" s="2518"/>
      <c r="CG22" s="2520" t="s">
        <v>439</v>
      </c>
      <c r="CH22" s="2518"/>
      <c r="CI22" s="2518"/>
      <c r="CJ22" s="2518"/>
      <c r="CK22" s="2518"/>
      <c r="CL22" s="2518"/>
      <c r="CM22" s="2520" t="s">
        <v>438</v>
      </c>
      <c r="CN22" s="2518"/>
      <c r="CO22" s="2520" t="s">
        <v>439</v>
      </c>
      <c r="CP22" s="2518"/>
      <c r="CQ22" s="2518"/>
      <c r="CR22" s="2518"/>
      <c r="CS22" s="2518"/>
      <c r="CT22" s="2518"/>
      <c r="CU22" s="2520" t="s">
        <v>438</v>
      </c>
      <c r="CV22" s="2518"/>
      <c r="CW22" s="2520" t="s">
        <v>439</v>
      </c>
      <c r="CX22" s="2518"/>
      <c r="CY22" s="2518"/>
      <c r="CZ22" s="2518"/>
      <c r="DA22" s="2518"/>
      <c r="DB22" s="2518"/>
      <c r="DC22" s="2520" t="s">
        <v>438</v>
      </c>
      <c r="DD22" s="2518"/>
      <c r="DE22" s="2520" t="s">
        <v>439</v>
      </c>
      <c r="DF22" s="2518"/>
      <c r="DG22" s="2518"/>
      <c r="DH22" s="2518"/>
      <c r="DI22" s="2518"/>
      <c r="DJ22" s="2518"/>
      <c r="DK22" s="2520" t="s">
        <v>438</v>
      </c>
      <c r="DL22" s="2518"/>
      <c r="DM22" s="2520" t="s">
        <v>439</v>
      </c>
      <c r="DN22" s="2518"/>
      <c r="DO22" s="2518"/>
      <c r="DP22" s="2518"/>
      <c r="DQ22" s="2518"/>
      <c r="DR22" s="2518"/>
      <c r="DS22" s="2520" t="s">
        <v>438</v>
      </c>
      <c r="DT22" s="2518"/>
      <c r="DU22" s="2520" t="s">
        <v>439</v>
      </c>
      <c r="DV22" s="2518"/>
      <c r="DW22" s="2518"/>
      <c r="DX22" s="2518"/>
      <c r="DY22" s="2518"/>
      <c r="DZ22" s="2518"/>
      <c r="EA22" s="2520" t="s">
        <v>438</v>
      </c>
      <c r="EB22" s="2518"/>
      <c r="EC22" s="2520" t="s">
        <v>439</v>
      </c>
      <c r="ED22" s="2518"/>
      <c r="EE22" s="2518"/>
      <c r="EF22" s="2518"/>
      <c r="EG22" s="2518"/>
      <c r="EH22" s="2518"/>
      <c r="EI22" s="2520" t="s">
        <v>438</v>
      </c>
      <c r="EJ22" s="2518"/>
      <c r="EK22" s="2520" t="s">
        <v>439</v>
      </c>
      <c r="EL22" s="2518"/>
      <c r="EM22" s="2518"/>
      <c r="EN22" s="2518"/>
      <c r="EO22" s="2518"/>
      <c r="EP22" s="2518"/>
      <c r="EQ22" s="2520" t="s">
        <v>438</v>
      </c>
      <c r="ER22" s="2518"/>
      <c r="ES22" s="2520" t="s">
        <v>439</v>
      </c>
      <c r="ET22" s="2518"/>
      <c r="EU22" s="2518"/>
      <c r="EV22" s="2518"/>
      <c r="EW22" s="2518"/>
      <c r="EX22" s="2518"/>
      <c r="EY22" s="2520" t="s">
        <v>438</v>
      </c>
      <c r="EZ22" s="2518"/>
      <c r="FA22" s="2520" t="s">
        <v>439</v>
      </c>
      <c r="FB22" s="2518"/>
      <c r="FC22" s="2518"/>
      <c r="FD22" s="2518"/>
      <c r="FE22" s="2518"/>
      <c r="FF22" s="2518"/>
      <c r="FG22" s="2520" t="s">
        <v>438</v>
      </c>
      <c r="FH22" s="2518"/>
      <c r="FI22" s="2520" t="s">
        <v>439</v>
      </c>
      <c r="FJ22" s="2518"/>
      <c r="FK22" s="2518"/>
      <c r="FL22" s="2518"/>
      <c r="FM22" s="2518"/>
      <c r="FN22" s="2518"/>
      <c r="FO22" s="2520" t="s">
        <v>438</v>
      </c>
      <c r="FP22" s="2518"/>
      <c r="FQ22" s="2520" t="s">
        <v>439</v>
      </c>
      <c r="FR22" s="2518"/>
      <c r="FS22" s="2518"/>
      <c r="FT22" s="2518"/>
      <c r="FU22" s="2518"/>
      <c r="FV22" s="2518"/>
      <c r="FW22" s="2520" t="s">
        <v>438</v>
      </c>
      <c r="FX22" s="2518"/>
      <c r="FY22" s="2520" t="s">
        <v>439</v>
      </c>
      <c r="FZ22" s="2518"/>
      <c r="GA22" s="2518"/>
      <c r="GB22" s="2518"/>
      <c r="GC22" s="2518"/>
      <c r="GD22" s="2518"/>
      <c r="GE22" s="2520" t="s">
        <v>438</v>
      </c>
      <c r="GF22" s="2518"/>
      <c r="GG22" s="2520" t="s">
        <v>439</v>
      </c>
      <c r="GJ22" s="446"/>
      <c r="GK22" s="446"/>
      <c r="GL22" s="446"/>
      <c r="GM22" s="446"/>
      <c r="GN22" s="446"/>
      <c r="GO22" s="1078">
        <v>0</v>
      </c>
    </row>
    <row r="23" spans="1:197" ht="14.25" hidden="1" customHeight="1">
      <c r="O23" s="1282"/>
      <c r="AL23" s="2055"/>
      <c r="AM23" s="2055"/>
      <c r="AN23" s="2055"/>
      <c r="AO23" s="2055"/>
      <c r="AP23" s="2055"/>
      <c r="AQ23" s="2055"/>
      <c r="AR23" s="2055"/>
      <c r="AS23" s="2055"/>
      <c r="AT23" s="2055"/>
      <c r="AU23" s="2055"/>
      <c r="AV23" s="2055"/>
      <c r="AW23" s="2055"/>
      <c r="AX23" s="2055"/>
      <c r="AY23" s="2055"/>
      <c r="AZ23" s="2055"/>
      <c r="BA23" s="2055"/>
      <c r="BB23" s="2055"/>
      <c r="BC23" s="2055"/>
      <c r="BD23" s="2055"/>
      <c r="BE23" s="2055"/>
      <c r="BF23" s="2055"/>
      <c r="BG23" s="2055"/>
      <c r="BH23" s="2055"/>
      <c r="BI23" s="2055"/>
      <c r="BJ23" s="2055"/>
      <c r="BK23" s="2055"/>
      <c r="BL23" s="2055"/>
      <c r="BM23" s="2055"/>
      <c r="BN23" s="2055"/>
      <c r="BO23" s="2055"/>
      <c r="BP23" s="2055"/>
      <c r="BQ23" s="2055"/>
      <c r="BR23" s="2055"/>
      <c r="BS23" s="2055"/>
      <c r="BT23" s="2055"/>
      <c r="BU23" s="2055"/>
      <c r="BV23" s="2055"/>
      <c r="BW23" s="2055"/>
      <c r="BX23" s="2055"/>
      <c r="BY23" s="2055"/>
      <c r="BZ23" s="2055"/>
      <c r="CA23" s="2055"/>
      <c r="CB23" s="2055"/>
      <c r="CC23" s="2055"/>
      <c r="CD23" s="2055"/>
      <c r="CE23" s="2055"/>
      <c r="CF23" s="2055"/>
      <c r="CG23" s="2055"/>
      <c r="CH23" s="2055"/>
      <c r="CI23" s="2055"/>
      <c r="CJ23" s="2055"/>
      <c r="CK23" s="2055"/>
      <c r="CL23" s="2055"/>
      <c r="CM23" s="2055"/>
      <c r="CN23" s="2055"/>
      <c r="CO23" s="2055"/>
      <c r="CP23" s="2055"/>
      <c r="CQ23" s="2055"/>
      <c r="CR23" s="2055"/>
      <c r="CS23" s="2055"/>
      <c r="CT23" s="2055"/>
      <c r="CU23" s="2055"/>
      <c r="CV23" s="2055"/>
      <c r="CW23" s="2055"/>
      <c r="CX23" s="2055"/>
      <c r="CY23" s="2055"/>
      <c r="CZ23" s="2055"/>
      <c r="DA23" s="2055"/>
      <c r="DB23" s="2055"/>
      <c r="DC23" s="2055"/>
      <c r="DD23" s="2055"/>
      <c r="DE23" s="2055"/>
      <c r="DF23" s="2055"/>
      <c r="DG23" s="2055"/>
      <c r="DH23" s="2055"/>
      <c r="DI23" s="2055"/>
      <c r="DJ23" s="2055"/>
      <c r="DK23" s="2055"/>
      <c r="DL23" s="2055"/>
      <c r="DM23" s="2055"/>
      <c r="DN23" s="2055"/>
      <c r="DO23" s="2055"/>
      <c r="DP23" s="2055"/>
      <c r="DQ23" s="2055"/>
      <c r="DR23" s="2055"/>
      <c r="DS23" s="2055"/>
      <c r="DT23" s="2055"/>
      <c r="DU23" s="2055"/>
      <c r="DV23" s="2055"/>
      <c r="DW23" s="2055"/>
      <c r="DX23" s="2055"/>
      <c r="DY23" s="2055"/>
      <c r="DZ23" s="2055"/>
      <c r="EA23" s="2055"/>
      <c r="EB23" s="2055"/>
      <c r="EC23" s="2055"/>
      <c r="ED23" s="2055"/>
      <c r="EE23" s="2055"/>
      <c r="EF23" s="2055"/>
      <c r="EG23" s="2055"/>
      <c r="EH23" s="2055"/>
      <c r="EI23" s="2055"/>
      <c r="EJ23" s="2055"/>
      <c r="EK23" s="2055"/>
      <c r="EL23" s="2055"/>
      <c r="EM23" s="2055"/>
      <c r="EN23" s="2055"/>
      <c r="EO23" s="2055"/>
      <c r="EP23" s="2055"/>
      <c r="EQ23" s="2055"/>
      <c r="ER23" s="2055"/>
      <c r="ES23" s="2055"/>
      <c r="ET23" s="2055"/>
      <c r="EU23" s="2055"/>
      <c r="EV23" s="2055"/>
      <c r="EW23" s="2055"/>
      <c r="EX23" s="2055"/>
      <c r="EY23" s="2055"/>
      <c r="EZ23" s="2055"/>
      <c r="FA23" s="2055"/>
      <c r="FB23" s="2055"/>
      <c r="FC23" s="2055"/>
      <c r="FD23" s="2055"/>
      <c r="FE23" s="2055"/>
      <c r="FF23" s="2055"/>
      <c r="FG23" s="2055"/>
      <c r="FH23" s="2055"/>
      <c r="FI23" s="2055"/>
      <c r="FJ23" s="2055"/>
      <c r="FK23" s="2055"/>
      <c r="FL23" s="2055"/>
      <c r="FM23" s="2055"/>
      <c r="FN23" s="2055"/>
      <c r="FO23" s="2055"/>
      <c r="FP23" s="2055"/>
      <c r="FQ23" s="2055"/>
      <c r="FR23" s="2055"/>
      <c r="FS23" s="2055"/>
      <c r="FT23" s="2055"/>
      <c r="FU23" s="2055"/>
      <c r="FV23" s="2055"/>
      <c r="FW23" s="2055"/>
      <c r="FX23" s="2055"/>
      <c r="FY23" s="2055"/>
      <c r="FZ23" s="2055"/>
      <c r="GA23" s="2055"/>
      <c r="GB23" s="2055"/>
      <c r="GC23" s="2055"/>
      <c r="GD23" s="2055"/>
      <c r="GE23" s="2055"/>
      <c r="GF23" s="2055"/>
      <c r="GG23" s="2055"/>
      <c r="GO23" s="1073">
        <v>0</v>
      </c>
    </row>
    <row r="24" spans="1:197" ht="14.25" hidden="1" customHeight="1">
      <c r="O24" s="1282"/>
      <c r="AL24" s="2055"/>
      <c r="AM24" s="2055"/>
      <c r="AN24" s="2055"/>
      <c r="AO24" s="2055"/>
      <c r="AP24" s="2055"/>
      <c r="AQ24" s="2055"/>
      <c r="AR24" s="2055"/>
      <c r="AS24" s="2055"/>
      <c r="AT24" s="2055"/>
      <c r="AU24" s="2055"/>
      <c r="AV24" s="2055"/>
      <c r="AW24" s="2055"/>
      <c r="AX24" s="2055"/>
      <c r="AY24" s="2055"/>
      <c r="AZ24" s="2055"/>
      <c r="BA24" s="2055"/>
      <c r="BB24" s="2055"/>
      <c r="BC24" s="2055"/>
      <c r="BD24" s="2055"/>
      <c r="BE24" s="2055"/>
      <c r="BF24" s="2055"/>
      <c r="BG24" s="2055"/>
      <c r="BH24" s="2055"/>
      <c r="BI24" s="2055"/>
      <c r="BJ24" s="2055"/>
      <c r="BK24" s="2055"/>
      <c r="BL24" s="2055"/>
      <c r="BM24" s="2055"/>
      <c r="BN24" s="2055"/>
      <c r="BO24" s="2055"/>
      <c r="BP24" s="2055"/>
      <c r="BQ24" s="2055"/>
      <c r="BR24" s="2055"/>
      <c r="BS24" s="2055"/>
      <c r="BT24" s="2055"/>
      <c r="BU24" s="2055"/>
      <c r="BV24" s="2055"/>
      <c r="BW24" s="2055"/>
      <c r="BX24" s="2055"/>
      <c r="BY24" s="2055"/>
      <c r="BZ24" s="2055"/>
      <c r="CA24" s="2055"/>
      <c r="CB24" s="2055"/>
      <c r="CC24" s="2055"/>
      <c r="CD24" s="2055"/>
      <c r="CE24" s="2055"/>
      <c r="CF24" s="2055"/>
      <c r="CG24" s="2055"/>
      <c r="CH24" s="2055"/>
      <c r="CI24" s="2055"/>
      <c r="CJ24" s="2055"/>
      <c r="CK24" s="2055"/>
      <c r="CL24" s="2055"/>
      <c r="CM24" s="2055"/>
      <c r="CN24" s="2055"/>
      <c r="CO24" s="2055"/>
      <c r="CP24" s="2055"/>
      <c r="CQ24" s="2055"/>
      <c r="CR24" s="2055"/>
      <c r="CS24" s="2055"/>
      <c r="CT24" s="2055"/>
      <c r="CU24" s="2055"/>
      <c r="CV24" s="2055"/>
      <c r="CW24" s="2055"/>
      <c r="CX24" s="2055"/>
      <c r="CY24" s="2055"/>
      <c r="CZ24" s="2055"/>
      <c r="DA24" s="2055"/>
      <c r="DB24" s="2055"/>
      <c r="DC24" s="2055"/>
      <c r="DD24" s="2055"/>
      <c r="DE24" s="2055"/>
      <c r="DF24" s="2055"/>
      <c r="DG24" s="2055"/>
      <c r="DH24" s="2055"/>
      <c r="DI24" s="2055"/>
      <c r="DJ24" s="2055"/>
      <c r="DK24" s="2055"/>
      <c r="DL24" s="2055"/>
      <c r="DM24" s="2055"/>
      <c r="DN24" s="2055"/>
      <c r="DO24" s="2055"/>
      <c r="DP24" s="2055"/>
      <c r="DQ24" s="2055"/>
      <c r="DR24" s="2055"/>
      <c r="DS24" s="2055"/>
      <c r="DT24" s="2055"/>
      <c r="DU24" s="2055"/>
      <c r="DV24" s="2055"/>
      <c r="DW24" s="2055"/>
      <c r="DX24" s="2055"/>
      <c r="DY24" s="2055"/>
      <c r="DZ24" s="2055"/>
      <c r="EA24" s="2055"/>
      <c r="EB24" s="2055"/>
      <c r="EC24" s="2055"/>
      <c r="ED24" s="2055"/>
      <c r="EE24" s="2055"/>
      <c r="EF24" s="2055"/>
      <c r="EG24" s="2055"/>
      <c r="EH24" s="2055"/>
      <c r="EI24" s="2055"/>
      <c r="EJ24" s="2055"/>
      <c r="EK24" s="2055"/>
      <c r="EL24" s="2055"/>
      <c r="EM24" s="2055"/>
      <c r="EN24" s="2055"/>
      <c r="EO24" s="2055"/>
      <c r="EP24" s="2055"/>
      <c r="EQ24" s="2055"/>
      <c r="ER24" s="2055"/>
      <c r="ES24" s="2055"/>
      <c r="ET24" s="2055"/>
      <c r="EU24" s="2055"/>
      <c r="EV24" s="2055"/>
      <c r="EW24" s="2055"/>
      <c r="EX24" s="2055"/>
      <c r="EY24" s="2055"/>
      <c r="EZ24" s="2055"/>
      <c r="FA24" s="2055"/>
      <c r="FB24" s="2055"/>
      <c r="FC24" s="2055"/>
      <c r="FD24" s="2055"/>
      <c r="FE24" s="2055"/>
      <c r="FF24" s="2055"/>
      <c r="FG24" s="2055"/>
      <c r="FH24" s="2055"/>
      <c r="FI24" s="2055"/>
      <c r="FJ24" s="2055"/>
      <c r="FK24" s="2055"/>
      <c r="FL24" s="2055"/>
      <c r="FM24" s="2055"/>
      <c r="FN24" s="2055"/>
      <c r="FO24" s="2055"/>
      <c r="FP24" s="2055"/>
      <c r="FQ24" s="2055"/>
      <c r="FR24" s="2055"/>
      <c r="FS24" s="2055"/>
      <c r="FT24" s="2055"/>
      <c r="FU24" s="2055"/>
      <c r="FV24" s="2055"/>
      <c r="FW24" s="2055"/>
      <c r="FX24" s="2055"/>
      <c r="FY24" s="2055"/>
      <c r="FZ24" s="2055"/>
      <c r="GA24" s="2055"/>
      <c r="GB24" s="2055"/>
      <c r="GC24" s="2055"/>
      <c r="GD24" s="2055"/>
      <c r="GE24" s="2055"/>
      <c r="GF24" s="2055"/>
      <c r="GG24" s="2055"/>
      <c r="GO24" s="1073">
        <v>0</v>
      </c>
    </row>
    <row r="25" spans="1:197"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55"/>
      <c r="AM25" s="2055"/>
      <c r="AN25" s="2055"/>
      <c r="AO25" s="2055"/>
      <c r="AP25" s="2055"/>
      <c r="AQ25" s="2055"/>
      <c r="AR25" s="2055"/>
      <c r="AS25" s="2055"/>
      <c r="AT25" s="2055"/>
      <c r="AU25" s="2055"/>
      <c r="AV25" s="2055"/>
      <c r="AW25" s="2055"/>
      <c r="AX25" s="2055"/>
      <c r="AY25" s="2055"/>
      <c r="AZ25" s="2055"/>
      <c r="BA25" s="2055"/>
      <c r="BB25" s="2055"/>
      <c r="BC25" s="2055"/>
      <c r="BD25" s="2055"/>
      <c r="BE25" s="2055"/>
      <c r="BF25" s="2055"/>
      <c r="BG25" s="2055"/>
      <c r="BH25" s="2055"/>
      <c r="BI25" s="2055"/>
      <c r="BJ25" s="2055"/>
      <c r="BK25" s="2055"/>
      <c r="BL25" s="2055"/>
      <c r="BM25" s="2055"/>
      <c r="BN25" s="2055"/>
      <c r="BO25" s="2055"/>
      <c r="BP25" s="2055"/>
      <c r="BQ25" s="2055"/>
      <c r="BR25" s="2055"/>
      <c r="BS25" s="2055"/>
      <c r="BT25" s="2055"/>
      <c r="BU25" s="2055"/>
      <c r="BV25" s="2055"/>
      <c r="BW25" s="2055"/>
      <c r="BX25" s="2055"/>
      <c r="BY25" s="2055"/>
      <c r="BZ25" s="2055"/>
      <c r="CA25" s="2055"/>
      <c r="CB25" s="2055"/>
      <c r="CC25" s="2055"/>
      <c r="CD25" s="2055"/>
      <c r="CE25" s="2055"/>
      <c r="CF25" s="2055"/>
      <c r="CG25" s="2055"/>
      <c r="CH25" s="2055"/>
      <c r="CI25" s="2055"/>
      <c r="CJ25" s="2055"/>
      <c r="CK25" s="2055"/>
      <c r="CL25" s="2055"/>
      <c r="CM25" s="2055"/>
      <c r="CN25" s="2055"/>
      <c r="CO25" s="2055"/>
      <c r="CP25" s="2055"/>
      <c r="CQ25" s="2055"/>
      <c r="CR25" s="2055"/>
      <c r="CS25" s="2055"/>
      <c r="CT25" s="2055"/>
      <c r="CU25" s="2055"/>
      <c r="CV25" s="2055"/>
      <c r="CW25" s="2055"/>
      <c r="CX25" s="2055"/>
      <c r="CY25" s="2055"/>
      <c r="CZ25" s="2055"/>
      <c r="DA25" s="2055"/>
      <c r="DB25" s="2055"/>
      <c r="DC25" s="2055"/>
      <c r="DD25" s="2055"/>
      <c r="DE25" s="2055"/>
      <c r="DF25" s="2055"/>
      <c r="DG25" s="2055"/>
      <c r="DH25" s="2055"/>
      <c r="DI25" s="2055"/>
      <c r="DJ25" s="2055"/>
      <c r="DK25" s="2055"/>
      <c r="DL25" s="2055"/>
      <c r="DM25" s="2055"/>
      <c r="DN25" s="2055"/>
      <c r="DO25" s="2055"/>
      <c r="DP25" s="2055"/>
      <c r="DQ25" s="2055"/>
      <c r="DR25" s="2055"/>
      <c r="DS25" s="2055"/>
      <c r="DT25" s="2055"/>
      <c r="DU25" s="2055"/>
      <c r="DV25" s="2055"/>
      <c r="DW25" s="2055"/>
      <c r="DX25" s="2055"/>
      <c r="DY25" s="2055"/>
      <c r="DZ25" s="2055"/>
      <c r="EA25" s="2055"/>
      <c r="EB25" s="2055"/>
      <c r="EC25" s="2055"/>
      <c r="ED25" s="2055"/>
      <c r="EE25" s="2055"/>
      <c r="EF25" s="2055"/>
      <c r="EG25" s="2055"/>
      <c r="EH25" s="2055"/>
      <c r="EI25" s="2055"/>
      <c r="EJ25" s="2055"/>
      <c r="EK25" s="2055"/>
      <c r="EL25" s="2055"/>
      <c r="EM25" s="2055"/>
      <c r="EN25" s="2055"/>
      <c r="EO25" s="2055"/>
      <c r="EP25" s="2055"/>
      <c r="EQ25" s="2055"/>
      <c r="ER25" s="2055"/>
      <c r="ES25" s="2055"/>
      <c r="ET25" s="2055"/>
      <c r="EU25" s="2055"/>
      <c r="EV25" s="2055"/>
      <c r="EW25" s="2055"/>
      <c r="EX25" s="2055"/>
      <c r="EY25" s="2055"/>
      <c r="EZ25" s="2055"/>
      <c r="FA25" s="2055"/>
      <c r="FB25" s="2055"/>
      <c r="FC25" s="2055"/>
      <c r="FD25" s="2055"/>
      <c r="FE25" s="2055"/>
      <c r="FF25" s="2055"/>
      <c r="FG25" s="2055"/>
      <c r="FH25" s="2055"/>
      <c r="FI25" s="2055"/>
      <c r="FJ25" s="2055"/>
      <c r="FK25" s="2055"/>
      <c r="FL25" s="2055"/>
      <c r="FM25" s="2055"/>
      <c r="FN25" s="2055"/>
      <c r="FO25" s="2055"/>
      <c r="FP25" s="2055"/>
      <c r="FQ25" s="2055"/>
      <c r="FR25" s="2055"/>
      <c r="FS25" s="2055"/>
      <c r="FT25" s="2055"/>
      <c r="FU25" s="2055"/>
      <c r="FV25" s="2055"/>
      <c r="FW25" s="2055"/>
      <c r="FX25" s="2055"/>
      <c r="FY25" s="2055"/>
      <c r="FZ25" s="2055"/>
      <c r="GA25" s="2055"/>
      <c r="GB25" s="2055"/>
      <c r="GC25" s="2055"/>
      <c r="GD25" s="2055"/>
      <c r="GE25" s="2055"/>
      <c r="GF25" s="2055"/>
      <c r="GG25" s="2055"/>
      <c r="GO25" s="1073">
        <v>14</v>
      </c>
    </row>
    <row r="26" spans="1:197" ht="14.65" customHeight="1">
      <c r="Q26" s="311"/>
      <c r="R26" s="311"/>
      <c r="S26" s="43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393"/>
      <c r="U26" s="4393"/>
      <c r="V26" s="4393"/>
      <c r="W26" s="4393"/>
      <c r="X26" s="4393"/>
      <c r="Y26" s="4393"/>
      <c r="Z26" s="4393"/>
      <c r="AA26" s="4393"/>
      <c r="AB26" s="4393"/>
      <c r="AC26" s="4393"/>
      <c r="AD26" s="4393"/>
      <c r="AE26" s="4393"/>
      <c r="AF26" s="4393"/>
      <c r="AG26" s="4393"/>
      <c r="AH26" s="4393"/>
      <c r="AI26" s="4393"/>
      <c r="AJ26" s="4393"/>
      <c r="AK26" s="1161"/>
      <c r="AL26" s="2521"/>
      <c r="AM26" s="2521"/>
      <c r="AN26" s="2521"/>
      <c r="AO26" s="2521"/>
      <c r="AP26" s="2521"/>
      <c r="AQ26" s="2521"/>
      <c r="AR26" s="2521"/>
      <c r="AS26" s="2521"/>
      <c r="AT26" s="2521"/>
      <c r="AU26" s="2521"/>
      <c r="AV26" s="2521"/>
      <c r="AW26" s="2521"/>
      <c r="AX26" s="2521"/>
      <c r="AY26" s="2521"/>
      <c r="AZ26" s="2521"/>
      <c r="BA26" s="2521"/>
      <c r="BB26" s="2521"/>
      <c r="BC26" s="2521"/>
      <c r="BD26" s="2521"/>
      <c r="BE26" s="2521"/>
      <c r="BF26" s="2521"/>
      <c r="BG26" s="2521"/>
      <c r="BH26" s="2521"/>
      <c r="BI26" s="2521"/>
      <c r="BJ26" s="2521"/>
      <c r="BK26" s="2521"/>
      <c r="BL26" s="2521"/>
      <c r="BM26" s="2521"/>
      <c r="BN26" s="2521"/>
      <c r="BO26" s="2521"/>
      <c r="BP26" s="2521"/>
      <c r="BQ26" s="2521"/>
      <c r="BR26" s="2521"/>
      <c r="BS26" s="2521"/>
      <c r="BT26" s="2521"/>
      <c r="BU26" s="2521"/>
      <c r="BV26" s="2521"/>
      <c r="BW26" s="2521"/>
      <c r="BX26" s="2521"/>
      <c r="BY26" s="2521"/>
      <c r="BZ26" s="2521"/>
      <c r="CA26" s="2521"/>
      <c r="CB26" s="2521"/>
      <c r="CC26" s="2521"/>
      <c r="CD26" s="2521"/>
      <c r="CE26" s="2521"/>
      <c r="CF26" s="2521"/>
      <c r="CG26" s="2521"/>
      <c r="CH26" s="2521"/>
      <c r="CI26" s="2521"/>
      <c r="CJ26" s="2521"/>
      <c r="CK26" s="2521"/>
      <c r="CL26" s="2521"/>
      <c r="CM26" s="2521"/>
      <c r="CN26" s="2521"/>
      <c r="CO26" s="2521"/>
      <c r="CP26" s="2521"/>
      <c r="CQ26" s="2521"/>
      <c r="CR26" s="2521"/>
      <c r="CS26" s="2521"/>
      <c r="CT26" s="2521"/>
      <c r="CU26" s="2521"/>
      <c r="CV26" s="2521"/>
      <c r="CW26" s="2521"/>
      <c r="CX26" s="2521"/>
      <c r="CY26" s="2521"/>
      <c r="CZ26" s="2521"/>
      <c r="DA26" s="2521"/>
      <c r="DB26" s="2521"/>
      <c r="DC26" s="2521"/>
      <c r="DD26" s="2521"/>
      <c r="DE26" s="2521"/>
      <c r="DF26" s="2521"/>
      <c r="DG26" s="2521"/>
      <c r="DH26" s="2521"/>
      <c r="DI26" s="2521"/>
      <c r="DJ26" s="2521"/>
      <c r="DK26" s="2521"/>
      <c r="DL26" s="2521"/>
      <c r="DM26" s="2521"/>
      <c r="DN26" s="2521"/>
      <c r="DO26" s="2521"/>
      <c r="DP26" s="2521"/>
      <c r="DQ26" s="2521"/>
      <c r="DR26" s="2521"/>
      <c r="DS26" s="2521"/>
      <c r="DT26" s="2521"/>
      <c r="DU26" s="2521"/>
      <c r="DV26" s="2521"/>
      <c r="DW26" s="2521"/>
      <c r="DX26" s="2521"/>
      <c r="DY26" s="2521"/>
      <c r="DZ26" s="2521"/>
      <c r="EA26" s="2521"/>
      <c r="EB26" s="2521"/>
      <c r="EC26" s="2521"/>
      <c r="ED26" s="2521"/>
      <c r="EE26" s="2521"/>
      <c r="EF26" s="2521"/>
      <c r="EG26" s="2521"/>
      <c r="EH26" s="2521"/>
      <c r="EI26" s="2521"/>
      <c r="EJ26" s="2521"/>
      <c r="EK26" s="2521"/>
      <c r="EL26" s="2521"/>
      <c r="EM26" s="2521"/>
      <c r="EN26" s="2521"/>
      <c r="EO26" s="2521"/>
      <c r="EP26" s="2521"/>
      <c r="EQ26" s="2521"/>
      <c r="ER26" s="2521"/>
      <c r="ES26" s="2521"/>
      <c r="ET26" s="2521"/>
      <c r="EU26" s="2521"/>
      <c r="EV26" s="2521"/>
      <c r="EW26" s="2521"/>
      <c r="EX26" s="2521"/>
      <c r="EY26" s="2521"/>
      <c r="EZ26" s="2521"/>
      <c r="FA26" s="2521"/>
      <c r="FB26" s="2521"/>
      <c r="FC26" s="2521"/>
      <c r="FD26" s="2521"/>
      <c r="FE26" s="2521"/>
      <c r="FF26" s="2521"/>
      <c r="FG26" s="2521"/>
      <c r="FH26" s="2521"/>
      <c r="FI26" s="2521"/>
      <c r="FJ26" s="2521"/>
      <c r="FK26" s="2521"/>
      <c r="FL26" s="2521"/>
      <c r="FM26" s="2521"/>
      <c r="FN26" s="2521"/>
      <c r="FO26" s="2521"/>
      <c r="FP26" s="2521"/>
      <c r="FQ26" s="2521"/>
      <c r="FR26" s="2521"/>
      <c r="FS26" s="2521"/>
      <c r="FT26" s="2521"/>
      <c r="FU26" s="2521"/>
      <c r="FV26" s="2521"/>
      <c r="FW26" s="2521"/>
      <c r="FX26" s="2521"/>
      <c r="FY26" s="2521"/>
      <c r="FZ26" s="2521"/>
      <c r="GA26" s="2521"/>
      <c r="GB26" s="2521"/>
      <c r="GC26" s="2521"/>
      <c r="GD26" s="2521"/>
      <c r="GE26" s="2521"/>
      <c r="GF26" s="2521"/>
      <c r="GG26" s="2521"/>
      <c r="GO26" s="1073">
        <v>14</v>
      </c>
    </row>
    <row r="27" spans="1:197"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L27" s="2522"/>
      <c r="AM27" s="2522"/>
      <c r="AN27" s="2522"/>
      <c r="AO27" s="2522"/>
      <c r="AP27" s="2522"/>
      <c r="AQ27" s="2522"/>
      <c r="AR27" s="2522"/>
      <c r="AS27" s="2522"/>
      <c r="AT27" s="2522"/>
      <c r="AU27" s="2522"/>
      <c r="AV27" s="2522"/>
      <c r="AW27" s="2522"/>
      <c r="AX27" s="2522"/>
      <c r="AY27" s="2522"/>
      <c r="AZ27" s="2522"/>
      <c r="BA27" s="2522"/>
      <c r="BB27" s="2522"/>
      <c r="BC27" s="2522"/>
      <c r="BD27" s="2522"/>
      <c r="BE27" s="2522"/>
      <c r="BF27" s="2522"/>
      <c r="BG27" s="2522"/>
      <c r="BH27" s="2522"/>
      <c r="BI27" s="2522"/>
      <c r="BJ27" s="2522"/>
      <c r="BK27" s="2522"/>
      <c r="BL27" s="2522"/>
      <c r="BM27" s="2522"/>
      <c r="BN27" s="2522"/>
      <c r="BO27" s="2522"/>
      <c r="BP27" s="2522"/>
      <c r="BQ27" s="2522"/>
      <c r="BR27" s="2522"/>
      <c r="BS27" s="2522"/>
      <c r="BT27" s="2522"/>
      <c r="BU27" s="2522"/>
      <c r="BV27" s="2522"/>
      <c r="BW27" s="2522"/>
      <c r="BX27" s="2522"/>
      <c r="BY27" s="2522"/>
      <c r="BZ27" s="2522"/>
      <c r="CA27" s="2522"/>
      <c r="CB27" s="2522"/>
      <c r="CC27" s="2522"/>
      <c r="CD27" s="2522"/>
      <c r="CE27" s="2522"/>
      <c r="CF27" s="2522"/>
      <c r="CG27" s="2522"/>
      <c r="CH27" s="2522"/>
      <c r="CI27" s="2522"/>
      <c r="CJ27" s="2522"/>
      <c r="CK27" s="2522"/>
      <c r="CL27" s="2522"/>
      <c r="CM27" s="2522"/>
      <c r="CN27" s="2522"/>
      <c r="CO27" s="2522"/>
      <c r="CP27" s="2522"/>
      <c r="CQ27" s="2522"/>
      <c r="CR27" s="2522"/>
      <c r="CS27" s="2522"/>
      <c r="CT27" s="2522"/>
      <c r="CU27" s="2522"/>
      <c r="CV27" s="2522"/>
      <c r="CW27" s="2522"/>
      <c r="CX27" s="2522"/>
      <c r="CY27" s="2522"/>
      <c r="CZ27" s="2522"/>
      <c r="DA27" s="2522"/>
      <c r="DB27" s="2522"/>
      <c r="DC27" s="2522"/>
      <c r="DD27" s="2522"/>
      <c r="DE27" s="2522"/>
      <c r="DF27" s="2522"/>
      <c r="DG27" s="2522"/>
      <c r="DH27" s="2522"/>
      <c r="DI27" s="2522"/>
      <c r="DJ27" s="2522"/>
      <c r="DK27" s="2522"/>
      <c r="DL27" s="2522"/>
      <c r="DM27" s="2522"/>
      <c r="DN27" s="2522"/>
      <c r="DO27" s="2522"/>
      <c r="DP27" s="2522"/>
      <c r="DQ27" s="2522"/>
      <c r="DR27" s="2522"/>
      <c r="DS27" s="2522"/>
      <c r="DT27" s="2522"/>
      <c r="DU27" s="2522"/>
      <c r="DV27" s="2522"/>
      <c r="DW27" s="2522"/>
      <c r="DX27" s="2522"/>
      <c r="DY27" s="2522"/>
      <c r="DZ27" s="2522"/>
      <c r="EA27" s="2522"/>
      <c r="EB27" s="2522"/>
      <c r="EC27" s="2522"/>
      <c r="ED27" s="2522"/>
      <c r="EE27" s="2522"/>
      <c r="EF27" s="2522"/>
      <c r="EG27" s="2522"/>
      <c r="EH27" s="2522"/>
      <c r="EI27" s="2522"/>
      <c r="EJ27" s="2522"/>
      <c r="EK27" s="2522"/>
      <c r="EL27" s="2522"/>
      <c r="EM27" s="2522"/>
      <c r="EN27" s="2522"/>
      <c r="EO27" s="2522"/>
      <c r="EP27" s="2522"/>
      <c r="EQ27" s="2522"/>
      <c r="ER27" s="2522"/>
      <c r="ES27" s="2522"/>
      <c r="ET27" s="2522"/>
      <c r="EU27" s="2522"/>
      <c r="EV27" s="2522"/>
      <c r="EW27" s="2522"/>
      <c r="EX27" s="2522"/>
      <c r="EY27" s="2522"/>
      <c r="EZ27" s="2522"/>
      <c r="FA27" s="2522"/>
      <c r="FB27" s="2522"/>
      <c r="FC27" s="2522"/>
      <c r="FD27" s="2522"/>
      <c r="FE27" s="2522"/>
      <c r="FF27" s="2522"/>
      <c r="FG27" s="2522"/>
      <c r="FH27" s="2522"/>
      <c r="FI27" s="2522"/>
      <c r="FJ27" s="2522"/>
      <c r="FK27" s="2522"/>
      <c r="FL27" s="2522"/>
      <c r="FM27" s="2522"/>
      <c r="FN27" s="2522"/>
      <c r="FO27" s="2522"/>
      <c r="FP27" s="2522"/>
      <c r="FQ27" s="2522"/>
      <c r="FR27" s="2522"/>
      <c r="FS27" s="2522"/>
      <c r="FT27" s="2522"/>
      <c r="FU27" s="2522"/>
      <c r="FV27" s="2522"/>
      <c r="FW27" s="2522"/>
      <c r="FX27" s="2522"/>
      <c r="FY27" s="2522"/>
      <c r="FZ27" s="2522"/>
      <c r="GA27" s="2522"/>
      <c r="GB27" s="2522"/>
      <c r="GC27" s="2522"/>
      <c r="GD27" s="2522"/>
      <c r="GE27" s="2522"/>
      <c r="GF27" s="2522"/>
      <c r="GG27" s="2522"/>
      <c r="GO27" s="1073">
        <v>14</v>
      </c>
    </row>
    <row r="28" spans="1:197"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523"/>
      <c r="AM28" s="2523"/>
      <c r="AN28" s="2523"/>
      <c r="AO28" s="2523"/>
      <c r="AP28" s="2523"/>
      <c r="AQ28" s="2523"/>
      <c r="AR28" s="2523"/>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c r="BP28" s="2523"/>
      <c r="BQ28" s="2523"/>
      <c r="BR28" s="2523"/>
      <c r="BS28" s="2523"/>
      <c r="BT28" s="2523"/>
      <c r="BU28" s="2523"/>
      <c r="BV28" s="2523"/>
      <c r="BW28" s="2523"/>
      <c r="BX28" s="2523"/>
      <c r="BY28" s="2523"/>
      <c r="BZ28" s="2523"/>
      <c r="CA28" s="2523"/>
      <c r="CB28" s="2523"/>
      <c r="CC28" s="2523"/>
      <c r="CD28" s="2523"/>
      <c r="CE28" s="2523"/>
      <c r="CF28" s="2523"/>
      <c r="CG28" s="2523"/>
      <c r="CH28" s="2523"/>
      <c r="CI28" s="2523"/>
      <c r="CJ28" s="2523"/>
      <c r="CK28" s="2523"/>
      <c r="CL28" s="2523"/>
      <c r="CM28" s="2523"/>
      <c r="CN28" s="2523"/>
      <c r="CO28" s="2523"/>
      <c r="CP28" s="2523"/>
      <c r="CQ28" s="2523"/>
      <c r="CR28" s="2523"/>
      <c r="CS28" s="2523"/>
      <c r="CT28" s="2523"/>
      <c r="CU28" s="2523"/>
      <c r="CV28" s="2523"/>
      <c r="CW28" s="2523"/>
      <c r="CX28" s="2523"/>
      <c r="CY28" s="2523"/>
      <c r="CZ28" s="2523"/>
      <c r="DA28" s="2523"/>
      <c r="DB28" s="2523"/>
      <c r="DC28" s="2523"/>
      <c r="DD28" s="2523"/>
      <c r="DE28" s="2523"/>
      <c r="DF28" s="2523"/>
      <c r="DG28" s="2523"/>
      <c r="DH28" s="2523"/>
      <c r="DI28" s="2523"/>
      <c r="DJ28" s="2523"/>
      <c r="DK28" s="2523"/>
      <c r="DL28" s="2523"/>
      <c r="DM28" s="2523"/>
      <c r="DN28" s="2523"/>
      <c r="DO28" s="2523"/>
      <c r="DP28" s="2523"/>
      <c r="DQ28" s="2523"/>
      <c r="DR28" s="2523"/>
      <c r="DS28" s="2523"/>
      <c r="DT28" s="2523"/>
      <c r="DU28" s="2523"/>
      <c r="DV28" s="2523"/>
      <c r="DW28" s="2523"/>
      <c r="DX28" s="2523"/>
      <c r="DY28" s="2523"/>
      <c r="DZ28" s="2523"/>
      <c r="EA28" s="2523"/>
      <c r="EB28" s="2523"/>
      <c r="EC28" s="2523"/>
      <c r="ED28" s="2523"/>
      <c r="EE28" s="2523"/>
      <c r="EF28" s="2523"/>
      <c r="EG28" s="2523"/>
      <c r="EH28" s="2523"/>
      <c r="EI28" s="2523"/>
      <c r="EJ28" s="2523"/>
      <c r="EK28" s="2523"/>
      <c r="EL28" s="2523"/>
      <c r="EM28" s="2523"/>
      <c r="EN28" s="2523"/>
      <c r="EO28" s="2523"/>
      <c r="EP28" s="2523"/>
      <c r="EQ28" s="2523"/>
      <c r="ER28" s="2523"/>
      <c r="ES28" s="2523"/>
      <c r="ET28" s="2523"/>
      <c r="EU28" s="2523"/>
      <c r="EV28" s="2523"/>
      <c r="EW28" s="2523"/>
      <c r="EX28" s="2523"/>
      <c r="EY28" s="2523"/>
      <c r="EZ28" s="2523"/>
      <c r="FA28" s="2523"/>
      <c r="FB28" s="2523"/>
      <c r="FC28" s="2523"/>
      <c r="FD28" s="2523"/>
      <c r="FE28" s="2523"/>
      <c r="FF28" s="2523"/>
      <c r="FG28" s="2523"/>
      <c r="FH28" s="2523"/>
      <c r="FI28" s="2523"/>
      <c r="FJ28" s="2523"/>
      <c r="FK28" s="2523"/>
      <c r="FL28" s="2523"/>
      <c r="FM28" s="2523"/>
      <c r="FN28" s="2523"/>
      <c r="FO28" s="2523"/>
      <c r="FP28" s="2523"/>
      <c r="FQ28" s="2523"/>
      <c r="FR28" s="2523"/>
      <c r="FS28" s="2523"/>
      <c r="FT28" s="2523"/>
      <c r="FU28" s="2523"/>
      <c r="FV28" s="2523"/>
      <c r="FW28" s="2523"/>
      <c r="FX28" s="2523"/>
      <c r="FY28" s="2523"/>
      <c r="FZ28" s="2523"/>
      <c r="GA28" s="2523"/>
      <c r="GB28" s="2523"/>
      <c r="GC28" s="2523"/>
      <c r="GD28" s="2523"/>
      <c r="GE28" s="2523"/>
      <c r="GF28" s="2523"/>
      <c r="GG28" s="2523"/>
      <c r="GH28" s="444"/>
      <c r="GO28" s="1073">
        <v>0</v>
      </c>
    </row>
    <row r="29" spans="1:197"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4405" t="str">
        <f>IF(TITLE_NAME_OR_PR_CHANGE="",IF(TITLE_NAME_OR_PR="","",TITLE_NAME_OR_PR),TITLE_NAME_OR_PR_CHANGE)</f>
        <v>Комитет по тарифному регулированию Мурманской области</v>
      </c>
      <c r="AM29" s="4405"/>
      <c r="AN29" s="4405"/>
      <c r="AO29" s="4405"/>
      <c r="AP29" s="4405"/>
      <c r="AQ29" s="4405"/>
      <c r="AR29" s="4405"/>
      <c r="AS29" s="2055"/>
      <c r="AT29" s="4405" t="str">
        <f>IF(TITLE_NAME_OR_PR_CHANGE="",IF(TITLE_NAME_OR_PR="","",TITLE_NAME_OR_PR),TITLE_NAME_OR_PR_CHANGE)</f>
        <v>Комитет по тарифному регулированию Мурманской области</v>
      </c>
      <c r="AU29" s="4405"/>
      <c r="AV29" s="4405"/>
      <c r="AW29" s="4405"/>
      <c r="AX29" s="4405"/>
      <c r="AY29" s="4405"/>
      <c r="AZ29" s="4405"/>
      <c r="BA29" s="2055"/>
      <c r="BB29" s="4405" t="str">
        <f>IF(TITLE_NAME_OR_PR_CHANGE="",IF(TITLE_NAME_OR_PR="","",TITLE_NAME_OR_PR),TITLE_NAME_OR_PR_CHANGE)</f>
        <v>Комитет по тарифному регулированию Мурманской области</v>
      </c>
      <c r="BC29" s="4405"/>
      <c r="BD29" s="4405"/>
      <c r="BE29" s="4405"/>
      <c r="BF29" s="4405"/>
      <c r="BG29" s="4405"/>
      <c r="BH29" s="4405"/>
      <c r="BI29" s="2055"/>
      <c r="BJ29" s="4405" t="str">
        <f>IF(TITLE_NAME_OR_PR_CHANGE="",IF(TITLE_NAME_OR_PR="","",TITLE_NAME_OR_PR),TITLE_NAME_OR_PR_CHANGE)</f>
        <v>Комитет по тарифному регулированию Мурманской области</v>
      </c>
      <c r="BK29" s="4405"/>
      <c r="BL29" s="4405"/>
      <c r="BM29" s="4405"/>
      <c r="BN29" s="4405"/>
      <c r="BO29" s="4405"/>
      <c r="BP29" s="4405"/>
      <c r="BQ29" s="2055"/>
      <c r="BR29" s="4405" t="str">
        <f>IF(TITLE_NAME_OR_PR_CHANGE="",IF(TITLE_NAME_OR_PR="","",TITLE_NAME_OR_PR),TITLE_NAME_OR_PR_CHANGE)</f>
        <v>Комитет по тарифному регулированию Мурманской области</v>
      </c>
      <c r="BS29" s="4405"/>
      <c r="BT29" s="4405"/>
      <c r="BU29" s="4405"/>
      <c r="BV29" s="4405"/>
      <c r="BW29" s="4405"/>
      <c r="BX29" s="4405"/>
      <c r="BY29" s="2055"/>
      <c r="BZ29" s="4405" t="str">
        <f>IF(TITLE_NAME_OR_PR_CHANGE="",IF(TITLE_NAME_OR_PR="","",TITLE_NAME_OR_PR),TITLE_NAME_OR_PR_CHANGE)</f>
        <v>Комитет по тарифному регулированию Мурманской области</v>
      </c>
      <c r="CA29" s="4405"/>
      <c r="CB29" s="4405"/>
      <c r="CC29" s="4405"/>
      <c r="CD29" s="4405"/>
      <c r="CE29" s="4405"/>
      <c r="CF29" s="4405"/>
      <c r="CG29" s="2055"/>
      <c r="CH29" s="4405" t="str">
        <f>IF(TITLE_NAME_OR_PR_CHANGE="",IF(TITLE_NAME_OR_PR="","",TITLE_NAME_OR_PR),TITLE_NAME_OR_PR_CHANGE)</f>
        <v>Комитет по тарифному регулированию Мурманской области</v>
      </c>
      <c r="CI29" s="4405"/>
      <c r="CJ29" s="4405"/>
      <c r="CK29" s="4405"/>
      <c r="CL29" s="4405"/>
      <c r="CM29" s="4405"/>
      <c r="CN29" s="4405"/>
      <c r="CO29" s="2055"/>
      <c r="CP29" s="4405" t="str">
        <f>IF(TITLE_NAME_OR_PR_CHANGE="",IF(TITLE_NAME_OR_PR="","",TITLE_NAME_OR_PR),TITLE_NAME_OR_PR_CHANGE)</f>
        <v>Комитет по тарифному регулированию Мурманской области</v>
      </c>
      <c r="CQ29" s="4405"/>
      <c r="CR29" s="4405"/>
      <c r="CS29" s="4405"/>
      <c r="CT29" s="4405"/>
      <c r="CU29" s="4405"/>
      <c r="CV29" s="4405"/>
      <c r="CW29" s="2055"/>
      <c r="CX29" s="4405" t="str">
        <f>IF(TITLE_NAME_OR_PR_CHANGE="",IF(TITLE_NAME_OR_PR="","",TITLE_NAME_OR_PR),TITLE_NAME_OR_PR_CHANGE)</f>
        <v>Комитет по тарифному регулированию Мурманской области</v>
      </c>
      <c r="CY29" s="4405"/>
      <c r="CZ29" s="4405"/>
      <c r="DA29" s="4405"/>
      <c r="DB29" s="4405"/>
      <c r="DC29" s="4405"/>
      <c r="DD29" s="4405"/>
      <c r="DE29" s="2055"/>
      <c r="DF29" s="4405" t="str">
        <f>IF(TITLE_NAME_OR_PR_CHANGE="",IF(TITLE_NAME_OR_PR="","",TITLE_NAME_OR_PR),TITLE_NAME_OR_PR_CHANGE)</f>
        <v>Комитет по тарифному регулированию Мурманской области</v>
      </c>
      <c r="DG29" s="4405"/>
      <c r="DH29" s="4405"/>
      <c r="DI29" s="4405"/>
      <c r="DJ29" s="4405"/>
      <c r="DK29" s="4405"/>
      <c r="DL29" s="4405"/>
      <c r="DM29" s="2055"/>
      <c r="DN29" s="4405" t="str">
        <f>IF(TITLE_NAME_OR_PR_CHANGE="",IF(TITLE_NAME_OR_PR="","",TITLE_NAME_OR_PR),TITLE_NAME_OR_PR_CHANGE)</f>
        <v>Комитет по тарифному регулированию Мурманской области</v>
      </c>
      <c r="DO29" s="4405"/>
      <c r="DP29" s="4405"/>
      <c r="DQ29" s="4405"/>
      <c r="DR29" s="4405"/>
      <c r="DS29" s="4405"/>
      <c r="DT29" s="4405"/>
      <c r="DU29" s="2055"/>
      <c r="DV29" s="4405" t="str">
        <f>IF(TITLE_NAME_OR_PR_CHANGE="",IF(TITLE_NAME_OR_PR="","",TITLE_NAME_OR_PR),TITLE_NAME_OR_PR_CHANGE)</f>
        <v>Комитет по тарифному регулированию Мурманской области</v>
      </c>
      <c r="DW29" s="4405"/>
      <c r="DX29" s="4405"/>
      <c r="DY29" s="4405"/>
      <c r="DZ29" s="4405"/>
      <c r="EA29" s="4405"/>
      <c r="EB29" s="4405"/>
      <c r="EC29" s="2055"/>
      <c r="ED29" s="4405" t="str">
        <f>IF(TITLE_NAME_OR_PR_CHANGE="",IF(TITLE_NAME_OR_PR="","",TITLE_NAME_OR_PR),TITLE_NAME_OR_PR_CHANGE)</f>
        <v>Комитет по тарифному регулированию Мурманской области</v>
      </c>
      <c r="EE29" s="4405"/>
      <c r="EF29" s="4405"/>
      <c r="EG29" s="4405"/>
      <c r="EH29" s="4405"/>
      <c r="EI29" s="4405"/>
      <c r="EJ29" s="4405"/>
      <c r="EK29" s="2055"/>
      <c r="EL29" s="4405" t="str">
        <f>IF(TITLE_NAME_OR_PR_CHANGE="",IF(TITLE_NAME_OR_PR="","",TITLE_NAME_OR_PR),TITLE_NAME_OR_PR_CHANGE)</f>
        <v>Комитет по тарифному регулированию Мурманской области</v>
      </c>
      <c r="EM29" s="4405"/>
      <c r="EN29" s="4405"/>
      <c r="EO29" s="4405"/>
      <c r="EP29" s="4405"/>
      <c r="EQ29" s="4405"/>
      <c r="ER29" s="4405"/>
      <c r="ES29" s="2055"/>
      <c r="ET29" s="4405" t="str">
        <f>IF(TITLE_NAME_OR_PR_CHANGE="",IF(TITLE_NAME_OR_PR="","",TITLE_NAME_OR_PR),TITLE_NAME_OR_PR_CHANGE)</f>
        <v>Комитет по тарифному регулированию Мурманской области</v>
      </c>
      <c r="EU29" s="4405"/>
      <c r="EV29" s="4405"/>
      <c r="EW29" s="4405"/>
      <c r="EX29" s="4405"/>
      <c r="EY29" s="4405"/>
      <c r="EZ29" s="4405"/>
      <c r="FA29" s="2055"/>
      <c r="FB29" s="4405" t="str">
        <f>IF(TITLE_NAME_OR_PR_CHANGE="",IF(TITLE_NAME_OR_PR="","",TITLE_NAME_OR_PR),TITLE_NAME_OR_PR_CHANGE)</f>
        <v>Комитет по тарифному регулированию Мурманской области</v>
      </c>
      <c r="FC29" s="4405"/>
      <c r="FD29" s="4405"/>
      <c r="FE29" s="4405"/>
      <c r="FF29" s="4405"/>
      <c r="FG29" s="4405"/>
      <c r="FH29" s="4405"/>
      <c r="FI29" s="2055"/>
      <c r="FJ29" s="4405" t="str">
        <f>IF(TITLE_NAME_OR_PR_CHANGE="",IF(TITLE_NAME_OR_PR="","",TITLE_NAME_OR_PR),TITLE_NAME_OR_PR_CHANGE)</f>
        <v>Комитет по тарифному регулированию Мурманской области</v>
      </c>
      <c r="FK29" s="4405"/>
      <c r="FL29" s="4405"/>
      <c r="FM29" s="4405"/>
      <c r="FN29" s="4405"/>
      <c r="FO29" s="4405"/>
      <c r="FP29" s="4405"/>
      <c r="FQ29" s="2055"/>
      <c r="FR29" s="4405" t="str">
        <f>IF(TITLE_NAME_OR_PR_CHANGE="",IF(TITLE_NAME_OR_PR="","",TITLE_NAME_OR_PR),TITLE_NAME_OR_PR_CHANGE)</f>
        <v>Комитет по тарифному регулированию Мурманской области</v>
      </c>
      <c r="FS29" s="4405"/>
      <c r="FT29" s="4405"/>
      <c r="FU29" s="4405"/>
      <c r="FV29" s="4405"/>
      <c r="FW29" s="4405"/>
      <c r="FX29" s="4405"/>
      <c r="FY29" s="2055"/>
      <c r="FZ29" s="4405" t="str">
        <f>IF(TITLE_NAME_OR_PR_CHANGE="",IF(TITLE_NAME_OR_PR="","",TITLE_NAME_OR_PR),TITLE_NAME_OR_PR_CHANGE)</f>
        <v>Комитет по тарифному регулированию Мурманской области</v>
      </c>
      <c r="GA29" s="4405"/>
      <c r="GB29" s="4405"/>
      <c r="GC29" s="4405"/>
      <c r="GD29" s="4405"/>
      <c r="GE29" s="4405"/>
      <c r="GF29" s="4405"/>
      <c r="GG29" s="2055"/>
      <c r="GH29" s="262"/>
      <c r="GI29" s="216"/>
      <c r="GJ29" s="303"/>
      <c r="GK29" s="303"/>
      <c r="GL29" s="303"/>
      <c r="GM29" s="303"/>
      <c r="GN29" s="303"/>
      <c r="GO29" s="353">
        <v>0</v>
      </c>
    </row>
    <row r="30" spans="1:197"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4404">
        <f>IF(TITLE_DATE_PR_CHANGE="",IF(TITLE_DATE_PR="","",TITLE_DATE_PR),TITLE_DATE_PR_CHANGE)</f>
        <v>45646</v>
      </c>
      <c r="AM30" s="4404"/>
      <c r="AN30" s="4404"/>
      <c r="AO30" s="4404"/>
      <c r="AP30" s="4404"/>
      <c r="AQ30" s="4404"/>
      <c r="AR30" s="4404"/>
      <c r="AS30" s="2055"/>
      <c r="AT30" s="4404">
        <f>IF(TITLE_DATE_PR_CHANGE="",IF(TITLE_DATE_PR="","",TITLE_DATE_PR),TITLE_DATE_PR_CHANGE)</f>
        <v>45646</v>
      </c>
      <c r="AU30" s="4404"/>
      <c r="AV30" s="4404"/>
      <c r="AW30" s="4404"/>
      <c r="AX30" s="4404"/>
      <c r="AY30" s="4404"/>
      <c r="AZ30" s="4404"/>
      <c r="BA30" s="2055"/>
      <c r="BB30" s="4404">
        <f>IF(TITLE_DATE_PR_CHANGE="",IF(TITLE_DATE_PR="","",TITLE_DATE_PR),TITLE_DATE_PR_CHANGE)</f>
        <v>45646</v>
      </c>
      <c r="BC30" s="4404"/>
      <c r="BD30" s="4404"/>
      <c r="BE30" s="4404"/>
      <c r="BF30" s="4404"/>
      <c r="BG30" s="4404"/>
      <c r="BH30" s="4404"/>
      <c r="BI30" s="2055"/>
      <c r="BJ30" s="4404">
        <f>IF(TITLE_DATE_PR_CHANGE="",IF(TITLE_DATE_PR="","",TITLE_DATE_PR),TITLE_DATE_PR_CHANGE)</f>
        <v>45646</v>
      </c>
      <c r="BK30" s="4404"/>
      <c r="BL30" s="4404"/>
      <c r="BM30" s="4404"/>
      <c r="BN30" s="4404"/>
      <c r="BO30" s="4404"/>
      <c r="BP30" s="4404"/>
      <c r="BQ30" s="2055"/>
      <c r="BR30" s="4404">
        <f>IF(TITLE_DATE_PR_CHANGE="",IF(TITLE_DATE_PR="","",TITLE_DATE_PR),TITLE_DATE_PR_CHANGE)</f>
        <v>45646</v>
      </c>
      <c r="BS30" s="4404"/>
      <c r="BT30" s="4404"/>
      <c r="BU30" s="4404"/>
      <c r="BV30" s="4404"/>
      <c r="BW30" s="4404"/>
      <c r="BX30" s="4404"/>
      <c r="BY30" s="2055"/>
      <c r="BZ30" s="4404">
        <f>IF(TITLE_DATE_PR_CHANGE="",IF(TITLE_DATE_PR="","",TITLE_DATE_PR),TITLE_DATE_PR_CHANGE)</f>
        <v>45646</v>
      </c>
      <c r="CA30" s="4404"/>
      <c r="CB30" s="4404"/>
      <c r="CC30" s="4404"/>
      <c r="CD30" s="4404"/>
      <c r="CE30" s="4404"/>
      <c r="CF30" s="4404"/>
      <c r="CG30" s="2055"/>
      <c r="CH30" s="4404">
        <f>IF(TITLE_DATE_PR_CHANGE="",IF(TITLE_DATE_PR="","",TITLE_DATE_PR),TITLE_DATE_PR_CHANGE)</f>
        <v>45646</v>
      </c>
      <c r="CI30" s="4404"/>
      <c r="CJ30" s="4404"/>
      <c r="CK30" s="4404"/>
      <c r="CL30" s="4404"/>
      <c r="CM30" s="4404"/>
      <c r="CN30" s="4404"/>
      <c r="CO30" s="2055"/>
      <c r="CP30" s="4404">
        <f>IF(TITLE_DATE_PR_CHANGE="",IF(TITLE_DATE_PR="","",TITLE_DATE_PR),TITLE_DATE_PR_CHANGE)</f>
        <v>45646</v>
      </c>
      <c r="CQ30" s="4404"/>
      <c r="CR30" s="4404"/>
      <c r="CS30" s="4404"/>
      <c r="CT30" s="4404"/>
      <c r="CU30" s="4404"/>
      <c r="CV30" s="4404"/>
      <c r="CW30" s="2055"/>
      <c r="CX30" s="4404">
        <f>IF(TITLE_DATE_PR_CHANGE="",IF(TITLE_DATE_PR="","",TITLE_DATE_PR),TITLE_DATE_PR_CHANGE)</f>
        <v>45646</v>
      </c>
      <c r="CY30" s="4404"/>
      <c r="CZ30" s="4404"/>
      <c r="DA30" s="4404"/>
      <c r="DB30" s="4404"/>
      <c r="DC30" s="4404"/>
      <c r="DD30" s="4404"/>
      <c r="DE30" s="2055"/>
      <c r="DF30" s="4404">
        <f>IF(TITLE_DATE_PR_CHANGE="",IF(TITLE_DATE_PR="","",TITLE_DATE_PR),TITLE_DATE_PR_CHANGE)</f>
        <v>45646</v>
      </c>
      <c r="DG30" s="4404"/>
      <c r="DH30" s="4404"/>
      <c r="DI30" s="4404"/>
      <c r="DJ30" s="4404"/>
      <c r="DK30" s="4404"/>
      <c r="DL30" s="4404"/>
      <c r="DM30" s="2055"/>
      <c r="DN30" s="4404">
        <f>IF(TITLE_DATE_PR_CHANGE="",IF(TITLE_DATE_PR="","",TITLE_DATE_PR),TITLE_DATE_PR_CHANGE)</f>
        <v>45646</v>
      </c>
      <c r="DO30" s="4404"/>
      <c r="DP30" s="4404"/>
      <c r="DQ30" s="4404"/>
      <c r="DR30" s="4404"/>
      <c r="DS30" s="4404"/>
      <c r="DT30" s="4404"/>
      <c r="DU30" s="2055"/>
      <c r="DV30" s="4404">
        <f>IF(TITLE_DATE_PR_CHANGE="",IF(TITLE_DATE_PR="","",TITLE_DATE_PR),TITLE_DATE_PR_CHANGE)</f>
        <v>45646</v>
      </c>
      <c r="DW30" s="4404"/>
      <c r="DX30" s="4404"/>
      <c r="DY30" s="4404"/>
      <c r="DZ30" s="4404"/>
      <c r="EA30" s="4404"/>
      <c r="EB30" s="4404"/>
      <c r="EC30" s="2055"/>
      <c r="ED30" s="4404">
        <f>IF(TITLE_DATE_PR_CHANGE="",IF(TITLE_DATE_PR="","",TITLE_DATE_PR),TITLE_DATE_PR_CHANGE)</f>
        <v>45646</v>
      </c>
      <c r="EE30" s="4404"/>
      <c r="EF30" s="4404"/>
      <c r="EG30" s="4404"/>
      <c r="EH30" s="4404"/>
      <c r="EI30" s="4404"/>
      <c r="EJ30" s="4404"/>
      <c r="EK30" s="2055"/>
      <c r="EL30" s="4404">
        <f>IF(TITLE_DATE_PR_CHANGE="",IF(TITLE_DATE_PR="","",TITLE_DATE_PR),TITLE_DATE_PR_CHANGE)</f>
        <v>45646</v>
      </c>
      <c r="EM30" s="4404"/>
      <c r="EN30" s="4404"/>
      <c r="EO30" s="4404"/>
      <c r="EP30" s="4404"/>
      <c r="EQ30" s="4404"/>
      <c r="ER30" s="4404"/>
      <c r="ES30" s="2055"/>
      <c r="ET30" s="4404">
        <f>IF(TITLE_DATE_PR_CHANGE="",IF(TITLE_DATE_PR="","",TITLE_DATE_PR),TITLE_DATE_PR_CHANGE)</f>
        <v>45646</v>
      </c>
      <c r="EU30" s="4404"/>
      <c r="EV30" s="4404"/>
      <c r="EW30" s="4404"/>
      <c r="EX30" s="4404"/>
      <c r="EY30" s="4404"/>
      <c r="EZ30" s="4404"/>
      <c r="FA30" s="2055"/>
      <c r="FB30" s="4404">
        <f>IF(TITLE_DATE_PR_CHANGE="",IF(TITLE_DATE_PR="","",TITLE_DATE_PR),TITLE_DATE_PR_CHANGE)</f>
        <v>45646</v>
      </c>
      <c r="FC30" s="4404"/>
      <c r="FD30" s="4404"/>
      <c r="FE30" s="4404"/>
      <c r="FF30" s="4404"/>
      <c r="FG30" s="4404"/>
      <c r="FH30" s="4404"/>
      <c r="FI30" s="2055"/>
      <c r="FJ30" s="4404">
        <f>IF(TITLE_DATE_PR_CHANGE="",IF(TITLE_DATE_PR="","",TITLE_DATE_PR),TITLE_DATE_PR_CHANGE)</f>
        <v>45646</v>
      </c>
      <c r="FK30" s="4404"/>
      <c r="FL30" s="4404"/>
      <c r="FM30" s="4404"/>
      <c r="FN30" s="4404"/>
      <c r="FO30" s="4404"/>
      <c r="FP30" s="4404"/>
      <c r="FQ30" s="2055"/>
      <c r="FR30" s="4404">
        <f>IF(TITLE_DATE_PR_CHANGE="",IF(TITLE_DATE_PR="","",TITLE_DATE_PR),TITLE_DATE_PR_CHANGE)</f>
        <v>45646</v>
      </c>
      <c r="FS30" s="4404"/>
      <c r="FT30" s="4404"/>
      <c r="FU30" s="4404"/>
      <c r="FV30" s="4404"/>
      <c r="FW30" s="4404"/>
      <c r="FX30" s="4404"/>
      <c r="FY30" s="2055"/>
      <c r="FZ30" s="4404">
        <f>IF(TITLE_DATE_PR_CHANGE="",IF(TITLE_DATE_PR="","",TITLE_DATE_PR),TITLE_DATE_PR_CHANGE)</f>
        <v>45646</v>
      </c>
      <c r="GA30" s="4404"/>
      <c r="GB30" s="4404"/>
      <c r="GC30" s="4404"/>
      <c r="GD30" s="4404"/>
      <c r="GE30" s="4404"/>
      <c r="GF30" s="4404"/>
      <c r="GG30" s="2055"/>
      <c r="GH30" s="262"/>
      <c r="GI30" s="216"/>
      <c r="GJ30" s="303"/>
      <c r="GK30" s="303"/>
      <c r="GL30" s="303"/>
      <c r="GM30" s="303"/>
      <c r="GN30" s="303"/>
      <c r="GO30" s="353">
        <v>0</v>
      </c>
    </row>
    <row r="31" spans="1:197"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4405" t="str">
        <f>IF(TITLE_NUMBER_PR_CHANGE="",IF(TITLE_NUMBER_PR="","",TITLE_NUMBER_PR),TITLE_NUMBER_PR_CHANGE)</f>
        <v>51/110</v>
      </c>
      <c r="AM31" s="4405"/>
      <c r="AN31" s="4405"/>
      <c r="AO31" s="4405"/>
      <c r="AP31" s="4405"/>
      <c r="AQ31" s="4405"/>
      <c r="AR31" s="4405"/>
      <c r="AS31" s="2055"/>
      <c r="AT31" s="4405" t="str">
        <f>IF(TITLE_NUMBER_PR_CHANGE="",IF(TITLE_NUMBER_PR="","",TITLE_NUMBER_PR),TITLE_NUMBER_PR_CHANGE)</f>
        <v>51/110</v>
      </c>
      <c r="AU31" s="4405"/>
      <c r="AV31" s="4405"/>
      <c r="AW31" s="4405"/>
      <c r="AX31" s="4405"/>
      <c r="AY31" s="4405"/>
      <c r="AZ31" s="4405"/>
      <c r="BA31" s="2055"/>
      <c r="BB31" s="4405" t="str">
        <f>IF(TITLE_NUMBER_PR_CHANGE="",IF(TITLE_NUMBER_PR="","",TITLE_NUMBER_PR),TITLE_NUMBER_PR_CHANGE)</f>
        <v>51/110</v>
      </c>
      <c r="BC31" s="4405"/>
      <c r="BD31" s="4405"/>
      <c r="BE31" s="4405"/>
      <c r="BF31" s="4405"/>
      <c r="BG31" s="4405"/>
      <c r="BH31" s="4405"/>
      <c r="BI31" s="2055"/>
      <c r="BJ31" s="4405" t="str">
        <f>IF(TITLE_NUMBER_PR_CHANGE="",IF(TITLE_NUMBER_PR="","",TITLE_NUMBER_PR),TITLE_NUMBER_PR_CHANGE)</f>
        <v>51/110</v>
      </c>
      <c r="BK31" s="4405"/>
      <c r="BL31" s="4405"/>
      <c r="BM31" s="4405"/>
      <c r="BN31" s="4405"/>
      <c r="BO31" s="4405"/>
      <c r="BP31" s="4405"/>
      <c r="BQ31" s="2055"/>
      <c r="BR31" s="4405" t="str">
        <f>IF(TITLE_NUMBER_PR_CHANGE="",IF(TITLE_NUMBER_PR="","",TITLE_NUMBER_PR),TITLE_NUMBER_PR_CHANGE)</f>
        <v>51/110</v>
      </c>
      <c r="BS31" s="4405"/>
      <c r="BT31" s="4405"/>
      <c r="BU31" s="4405"/>
      <c r="BV31" s="4405"/>
      <c r="BW31" s="4405"/>
      <c r="BX31" s="4405"/>
      <c r="BY31" s="2055"/>
      <c r="BZ31" s="4405" t="str">
        <f>IF(TITLE_NUMBER_PR_CHANGE="",IF(TITLE_NUMBER_PR="","",TITLE_NUMBER_PR),TITLE_NUMBER_PR_CHANGE)</f>
        <v>51/110</v>
      </c>
      <c r="CA31" s="4405"/>
      <c r="CB31" s="4405"/>
      <c r="CC31" s="4405"/>
      <c r="CD31" s="4405"/>
      <c r="CE31" s="4405"/>
      <c r="CF31" s="4405"/>
      <c r="CG31" s="2055"/>
      <c r="CH31" s="4405" t="str">
        <f>IF(TITLE_NUMBER_PR_CHANGE="",IF(TITLE_NUMBER_PR="","",TITLE_NUMBER_PR),TITLE_NUMBER_PR_CHANGE)</f>
        <v>51/110</v>
      </c>
      <c r="CI31" s="4405"/>
      <c r="CJ31" s="4405"/>
      <c r="CK31" s="4405"/>
      <c r="CL31" s="4405"/>
      <c r="CM31" s="4405"/>
      <c r="CN31" s="4405"/>
      <c r="CO31" s="2055"/>
      <c r="CP31" s="4405" t="str">
        <f>IF(TITLE_NUMBER_PR_CHANGE="",IF(TITLE_NUMBER_PR="","",TITLE_NUMBER_PR),TITLE_NUMBER_PR_CHANGE)</f>
        <v>51/110</v>
      </c>
      <c r="CQ31" s="4405"/>
      <c r="CR31" s="4405"/>
      <c r="CS31" s="4405"/>
      <c r="CT31" s="4405"/>
      <c r="CU31" s="4405"/>
      <c r="CV31" s="4405"/>
      <c r="CW31" s="2055"/>
      <c r="CX31" s="4405" t="str">
        <f>IF(TITLE_NUMBER_PR_CHANGE="",IF(TITLE_NUMBER_PR="","",TITLE_NUMBER_PR),TITLE_NUMBER_PR_CHANGE)</f>
        <v>51/110</v>
      </c>
      <c r="CY31" s="4405"/>
      <c r="CZ31" s="4405"/>
      <c r="DA31" s="4405"/>
      <c r="DB31" s="4405"/>
      <c r="DC31" s="4405"/>
      <c r="DD31" s="4405"/>
      <c r="DE31" s="2055"/>
      <c r="DF31" s="4405" t="str">
        <f>IF(TITLE_NUMBER_PR_CHANGE="",IF(TITLE_NUMBER_PR="","",TITLE_NUMBER_PR),TITLE_NUMBER_PR_CHANGE)</f>
        <v>51/110</v>
      </c>
      <c r="DG31" s="4405"/>
      <c r="DH31" s="4405"/>
      <c r="DI31" s="4405"/>
      <c r="DJ31" s="4405"/>
      <c r="DK31" s="4405"/>
      <c r="DL31" s="4405"/>
      <c r="DM31" s="2055"/>
      <c r="DN31" s="4405" t="str">
        <f>IF(TITLE_NUMBER_PR_CHANGE="",IF(TITLE_NUMBER_PR="","",TITLE_NUMBER_PR),TITLE_NUMBER_PR_CHANGE)</f>
        <v>51/110</v>
      </c>
      <c r="DO31" s="4405"/>
      <c r="DP31" s="4405"/>
      <c r="DQ31" s="4405"/>
      <c r="DR31" s="4405"/>
      <c r="DS31" s="4405"/>
      <c r="DT31" s="4405"/>
      <c r="DU31" s="2055"/>
      <c r="DV31" s="4405" t="str">
        <f>IF(TITLE_NUMBER_PR_CHANGE="",IF(TITLE_NUMBER_PR="","",TITLE_NUMBER_PR),TITLE_NUMBER_PR_CHANGE)</f>
        <v>51/110</v>
      </c>
      <c r="DW31" s="4405"/>
      <c r="DX31" s="4405"/>
      <c r="DY31" s="4405"/>
      <c r="DZ31" s="4405"/>
      <c r="EA31" s="4405"/>
      <c r="EB31" s="4405"/>
      <c r="EC31" s="2055"/>
      <c r="ED31" s="4405" t="str">
        <f>IF(TITLE_NUMBER_PR_CHANGE="",IF(TITLE_NUMBER_PR="","",TITLE_NUMBER_PR),TITLE_NUMBER_PR_CHANGE)</f>
        <v>51/110</v>
      </c>
      <c r="EE31" s="4405"/>
      <c r="EF31" s="4405"/>
      <c r="EG31" s="4405"/>
      <c r="EH31" s="4405"/>
      <c r="EI31" s="4405"/>
      <c r="EJ31" s="4405"/>
      <c r="EK31" s="2055"/>
      <c r="EL31" s="4405" t="str">
        <f>IF(TITLE_NUMBER_PR_CHANGE="",IF(TITLE_NUMBER_PR="","",TITLE_NUMBER_PR),TITLE_NUMBER_PR_CHANGE)</f>
        <v>51/110</v>
      </c>
      <c r="EM31" s="4405"/>
      <c r="EN31" s="4405"/>
      <c r="EO31" s="4405"/>
      <c r="EP31" s="4405"/>
      <c r="EQ31" s="4405"/>
      <c r="ER31" s="4405"/>
      <c r="ES31" s="2055"/>
      <c r="ET31" s="4405" t="str">
        <f>IF(TITLE_NUMBER_PR_CHANGE="",IF(TITLE_NUMBER_PR="","",TITLE_NUMBER_PR),TITLE_NUMBER_PR_CHANGE)</f>
        <v>51/110</v>
      </c>
      <c r="EU31" s="4405"/>
      <c r="EV31" s="4405"/>
      <c r="EW31" s="4405"/>
      <c r="EX31" s="4405"/>
      <c r="EY31" s="4405"/>
      <c r="EZ31" s="4405"/>
      <c r="FA31" s="2055"/>
      <c r="FB31" s="4405" t="str">
        <f>IF(TITLE_NUMBER_PR_CHANGE="",IF(TITLE_NUMBER_PR="","",TITLE_NUMBER_PR),TITLE_NUMBER_PR_CHANGE)</f>
        <v>51/110</v>
      </c>
      <c r="FC31" s="4405"/>
      <c r="FD31" s="4405"/>
      <c r="FE31" s="4405"/>
      <c r="FF31" s="4405"/>
      <c r="FG31" s="4405"/>
      <c r="FH31" s="4405"/>
      <c r="FI31" s="2055"/>
      <c r="FJ31" s="4405" t="str">
        <f>IF(TITLE_NUMBER_PR_CHANGE="",IF(TITLE_NUMBER_PR="","",TITLE_NUMBER_PR),TITLE_NUMBER_PR_CHANGE)</f>
        <v>51/110</v>
      </c>
      <c r="FK31" s="4405"/>
      <c r="FL31" s="4405"/>
      <c r="FM31" s="4405"/>
      <c r="FN31" s="4405"/>
      <c r="FO31" s="4405"/>
      <c r="FP31" s="4405"/>
      <c r="FQ31" s="2055"/>
      <c r="FR31" s="4405" t="str">
        <f>IF(TITLE_NUMBER_PR_CHANGE="",IF(TITLE_NUMBER_PR="","",TITLE_NUMBER_PR),TITLE_NUMBER_PR_CHANGE)</f>
        <v>51/110</v>
      </c>
      <c r="FS31" s="4405"/>
      <c r="FT31" s="4405"/>
      <c r="FU31" s="4405"/>
      <c r="FV31" s="4405"/>
      <c r="FW31" s="4405"/>
      <c r="FX31" s="4405"/>
      <c r="FY31" s="2055"/>
      <c r="FZ31" s="4405" t="str">
        <f>IF(TITLE_NUMBER_PR_CHANGE="",IF(TITLE_NUMBER_PR="","",TITLE_NUMBER_PR),TITLE_NUMBER_PR_CHANGE)</f>
        <v>51/110</v>
      </c>
      <c r="GA31" s="4405"/>
      <c r="GB31" s="4405"/>
      <c r="GC31" s="4405"/>
      <c r="GD31" s="4405"/>
      <c r="GE31" s="4405"/>
      <c r="GF31" s="4405"/>
      <c r="GG31" s="2055"/>
      <c r="GH31" s="262"/>
      <c r="GI31" s="216"/>
      <c r="GJ31" s="303"/>
      <c r="GK31" s="303"/>
      <c r="GL31" s="303"/>
      <c r="GM31" s="303"/>
      <c r="GN31" s="303"/>
      <c r="GO31" s="353">
        <v>0</v>
      </c>
    </row>
    <row r="32" spans="1:197"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4405" t="str">
        <f>IF(TITLE_IST_PUB_CHANGE="",IF(TITLE_IST_PUB="","",TITLE_IST_PUB),TITLE_IST_PUB_CHANGE)</f>
        <v>https://npa.gov-murman.ru/bitrix/components/b1team/govmurman.element.file/download.php?ID=537820&amp;FID=814582</v>
      </c>
      <c r="AM32" s="4405"/>
      <c r="AN32" s="4405"/>
      <c r="AO32" s="4405"/>
      <c r="AP32" s="4405"/>
      <c r="AQ32" s="4405"/>
      <c r="AR32" s="4405"/>
      <c r="AS32" s="2055"/>
      <c r="AT32" s="4405" t="str">
        <f>IF(TITLE_IST_PUB_CHANGE="",IF(TITLE_IST_PUB="","",TITLE_IST_PUB),TITLE_IST_PUB_CHANGE)</f>
        <v>https://npa.gov-murman.ru/bitrix/components/b1team/govmurman.element.file/download.php?ID=537820&amp;FID=814582</v>
      </c>
      <c r="AU32" s="4405"/>
      <c r="AV32" s="4405"/>
      <c r="AW32" s="4405"/>
      <c r="AX32" s="4405"/>
      <c r="AY32" s="4405"/>
      <c r="AZ32" s="4405"/>
      <c r="BA32" s="2055"/>
      <c r="BB32" s="4405" t="str">
        <f>IF(TITLE_IST_PUB_CHANGE="",IF(TITLE_IST_PUB="","",TITLE_IST_PUB),TITLE_IST_PUB_CHANGE)</f>
        <v>https://npa.gov-murman.ru/bitrix/components/b1team/govmurman.element.file/download.php?ID=537820&amp;FID=814582</v>
      </c>
      <c r="BC32" s="4405"/>
      <c r="BD32" s="4405"/>
      <c r="BE32" s="4405"/>
      <c r="BF32" s="4405"/>
      <c r="BG32" s="4405"/>
      <c r="BH32" s="4405"/>
      <c r="BI32" s="2055"/>
      <c r="BJ32" s="4405" t="str">
        <f>IF(TITLE_IST_PUB_CHANGE="",IF(TITLE_IST_PUB="","",TITLE_IST_PUB),TITLE_IST_PUB_CHANGE)</f>
        <v>https://npa.gov-murman.ru/bitrix/components/b1team/govmurman.element.file/download.php?ID=537820&amp;FID=814582</v>
      </c>
      <c r="BK32" s="4405"/>
      <c r="BL32" s="4405"/>
      <c r="BM32" s="4405"/>
      <c r="BN32" s="4405"/>
      <c r="BO32" s="4405"/>
      <c r="BP32" s="4405"/>
      <c r="BQ32" s="2055"/>
      <c r="BR32" s="4405" t="str">
        <f>IF(TITLE_IST_PUB_CHANGE="",IF(TITLE_IST_PUB="","",TITLE_IST_PUB),TITLE_IST_PUB_CHANGE)</f>
        <v>https://npa.gov-murman.ru/bitrix/components/b1team/govmurman.element.file/download.php?ID=537820&amp;FID=814582</v>
      </c>
      <c r="BS32" s="4405"/>
      <c r="BT32" s="4405"/>
      <c r="BU32" s="4405"/>
      <c r="BV32" s="4405"/>
      <c r="BW32" s="4405"/>
      <c r="BX32" s="4405"/>
      <c r="BY32" s="2055"/>
      <c r="BZ32" s="4405" t="str">
        <f>IF(TITLE_IST_PUB_CHANGE="",IF(TITLE_IST_PUB="","",TITLE_IST_PUB),TITLE_IST_PUB_CHANGE)</f>
        <v>https://npa.gov-murman.ru/bitrix/components/b1team/govmurman.element.file/download.php?ID=537820&amp;FID=814582</v>
      </c>
      <c r="CA32" s="4405"/>
      <c r="CB32" s="4405"/>
      <c r="CC32" s="4405"/>
      <c r="CD32" s="4405"/>
      <c r="CE32" s="4405"/>
      <c r="CF32" s="4405"/>
      <c r="CG32" s="2055"/>
      <c r="CH32" s="4405" t="str">
        <f>IF(TITLE_IST_PUB_CHANGE="",IF(TITLE_IST_PUB="","",TITLE_IST_PUB),TITLE_IST_PUB_CHANGE)</f>
        <v>https://npa.gov-murman.ru/bitrix/components/b1team/govmurman.element.file/download.php?ID=537820&amp;FID=814582</v>
      </c>
      <c r="CI32" s="4405"/>
      <c r="CJ32" s="4405"/>
      <c r="CK32" s="4405"/>
      <c r="CL32" s="4405"/>
      <c r="CM32" s="4405"/>
      <c r="CN32" s="4405"/>
      <c r="CO32" s="2055"/>
      <c r="CP32" s="4405" t="str">
        <f>IF(TITLE_IST_PUB_CHANGE="",IF(TITLE_IST_PUB="","",TITLE_IST_PUB),TITLE_IST_PUB_CHANGE)</f>
        <v>https://npa.gov-murman.ru/bitrix/components/b1team/govmurman.element.file/download.php?ID=537820&amp;FID=814582</v>
      </c>
      <c r="CQ32" s="4405"/>
      <c r="CR32" s="4405"/>
      <c r="CS32" s="4405"/>
      <c r="CT32" s="4405"/>
      <c r="CU32" s="4405"/>
      <c r="CV32" s="4405"/>
      <c r="CW32" s="2055"/>
      <c r="CX32" s="4405" t="str">
        <f>IF(TITLE_IST_PUB_CHANGE="",IF(TITLE_IST_PUB="","",TITLE_IST_PUB),TITLE_IST_PUB_CHANGE)</f>
        <v>https://npa.gov-murman.ru/bitrix/components/b1team/govmurman.element.file/download.php?ID=537820&amp;FID=814582</v>
      </c>
      <c r="CY32" s="4405"/>
      <c r="CZ32" s="4405"/>
      <c r="DA32" s="4405"/>
      <c r="DB32" s="4405"/>
      <c r="DC32" s="4405"/>
      <c r="DD32" s="4405"/>
      <c r="DE32" s="2055"/>
      <c r="DF32" s="4405" t="str">
        <f>IF(TITLE_IST_PUB_CHANGE="",IF(TITLE_IST_PUB="","",TITLE_IST_PUB),TITLE_IST_PUB_CHANGE)</f>
        <v>https://npa.gov-murman.ru/bitrix/components/b1team/govmurman.element.file/download.php?ID=537820&amp;FID=814582</v>
      </c>
      <c r="DG32" s="4405"/>
      <c r="DH32" s="4405"/>
      <c r="DI32" s="4405"/>
      <c r="DJ32" s="4405"/>
      <c r="DK32" s="4405"/>
      <c r="DL32" s="4405"/>
      <c r="DM32" s="2055"/>
      <c r="DN32" s="4405" t="str">
        <f>IF(TITLE_IST_PUB_CHANGE="",IF(TITLE_IST_PUB="","",TITLE_IST_PUB),TITLE_IST_PUB_CHANGE)</f>
        <v>https://npa.gov-murman.ru/bitrix/components/b1team/govmurman.element.file/download.php?ID=537820&amp;FID=814582</v>
      </c>
      <c r="DO32" s="4405"/>
      <c r="DP32" s="4405"/>
      <c r="DQ32" s="4405"/>
      <c r="DR32" s="4405"/>
      <c r="DS32" s="4405"/>
      <c r="DT32" s="4405"/>
      <c r="DU32" s="2055"/>
      <c r="DV32" s="4405" t="str">
        <f>IF(TITLE_IST_PUB_CHANGE="",IF(TITLE_IST_PUB="","",TITLE_IST_PUB),TITLE_IST_PUB_CHANGE)</f>
        <v>https://npa.gov-murman.ru/bitrix/components/b1team/govmurman.element.file/download.php?ID=537820&amp;FID=814582</v>
      </c>
      <c r="DW32" s="4405"/>
      <c r="DX32" s="4405"/>
      <c r="DY32" s="4405"/>
      <c r="DZ32" s="4405"/>
      <c r="EA32" s="4405"/>
      <c r="EB32" s="4405"/>
      <c r="EC32" s="2055"/>
      <c r="ED32" s="4405" t="str">
        <f>IF(TITLE_IST_PUB_CHANGE="",IF(TITLE_IST_PUB="","",TITLE_IST_PUB),TITLE_IST_PUB_CHANGE)</f>
        <v>https://npa.gov-murman.ru/bitrix/components/b1team/govmurman.element.file/download.php?ID=537820&amp;FID=814582</v>
      </c>
      <c r="EE32" s="4405"/>
      <c r="EF32" s="4405"/>
      <c r="EG32" s="4405"/>
      <c r="EH32" s="4405"/>
      <c r="EI32" s="4405"/>
      <c r="EJ32" s="4405"/>
      <c r="EK32" s="2055"/>
      <c r="EL32" s="4405" t="str">
        <f>IF(TITLE_IST_PUB_CHANGE="",IF(TITLE_IST_PUB="","",TITLE_IST_PUB),TITLE_IST_PUB_CHANGE)</f>
        <v>https://npa.gov-murman.ru/bitrix/components/b1team/govmurman.element.file/download.php?ID=537820&amp;FID=814582</v>
      </c>
      <c r="EM32" s="4405"/>
      <c r="EN32" s="4405"/>
      <c r="EO32" s="4405"/>
      <c r="EP32" s="4405"/>
      <c r="EQ32" s="4405"/>
      <c r="ER32" s="4405"/>
      <c r="ES32" s="2055"/>
      <c r="ET32" s="4405" t="str">
        <f>IF(TITLE_IST_PUB_CHANGE="",IF(TITLE_IST_PUB="","",TITLE_IST_PUB),TITLE_IST_PUB_CHANGE)</f>
        <v>https://npa.gov-murman.ru/bitrix/components/b1team/govmurman.element.file/download.php?ID=537820&amp;FID=814582</v>
      </c>
      <c r="EU32" s="4405"/>
      <c r="EV32" s="4405"/>
      <c r="EW32" s="4405"/>
      <c r="EX32" s="4405"/>
      <c r="EY32" s="4405"/>
      <c r="EZ32" s="4405"/>
      <c r="FA32" s="2055"/>
      <c r="FB32" s="4405" t="str">
        <f>IF(TITLE_IST_PUB_CHANGE="",IF(TITLE_IST_PUB="","",TITLE_IST_PUB),TITLE_IST_PUB_CHANGE)</f>
        <v>https://npa.gov-murman.ru/bitrix/components/b1team/govmurman.element.file/download.php?ID=537820&amp;FID=814582</v>
      </c>
      <c r="FC32" s="4405"/>
      <c r="FD32" s="4405"/>
      <c r="FE32" s="4405"/>
      <c r="FF32" s="4405"/>
      <c r="FG32" s="4405"/>
      <c r="FH32" s="4405"/>
      <c r="FI32" s="2055"/>
      <c r="FJ32" s="4405" t="str">
        <f>IF(TITLE_IST_PUB_CHANGE="",IF(TITLE_IST_PUB="","",TITLE_IST_PUB),TITLE_IST_PUB_CHANGE)</f>
        <v>https://npa.gov-murman.ru/bitrix/components/b1team/govmurman.element.file/download.php?ID=537820&amp;FID=814582</v>
      </c>
      <c r="FK32" s="4405"/>
      <c r="FL32" s="4405"/>
      <c r="FM32" s="4405"/>
      <c r="FN32" s="4405"/>
      <c r="FO32" s="4405"/>
      <c r="FP32" s="4405"/>
      <c r="FQ32" s="2055"/>
      <c r="FR32" s="4405" t="str">
        <f>IF(TITLE_IST_PUB_CHANGE="",IF(TITLE_IST_PUB="","",TITLE_IST_PUB),TITLE_IST_PUB_CHANGE)</f>
        <v>https://npa.gov-murman.ru/bitrix/components/b1team/govmurman.element.file/download.php?ID=537820&amp;FID=814582</v>
      </c>
      <c r="FS32" s="4405"/>
      <c r="FT32" s="4405"/>
      <c r="FU32" s="4405"/>
      <c r="FV32" s="4405"/>
      <c r="FW32" s="4405"/>
      <c r="FX32" s="4405"/>
      <c r="FY32" s="2055"/>
      <c r="FZ32" s="4405" t="str">
        <f>IF(TITLE_IST_PUB_CHANGE="",IF(TITLE_IST_PUB="","",TITLE_IST_PUB),TITLE_IST_PUB_CHANGE)</f>
        <v>https://npa.gov-murman.ru/bitrix/components/b1team/govmurman.element.file/download.php?ID=537820&amp;FID=814582</v>
      </c>
      <c r="GA32" s="4405"/>
      <c r="GB32" s="4405"/>
      <c r="GC32" s="4405"/>
      <c r="GD32" s="4405"/>
      <c r="GE32" s="4405"/>
      <c r="GF32" s="4405"/>
      <c r="GG32" s="2055"/>
      <c r="GH32" s="262"/>
      <c r="GI32" s="216"/>
      <c r="GJ32" s="303"/>
      <c r="GK32" s="303"/>
      <c r="GL32" s="303"/>
      <c r="GM32" s="303"/>
      <c r="GN32" s="303"/>
      <c r="GO32" s="353">
        <v>0</v>
      </c>
    </row>
    <row r="33" spans="1:197"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523"/>
      <c r="AM33" s="2523"/>
      <c r="AN33" s="2523"/>
      <c r="AO33" s="2523"/>
      <c r="AP33" s="2523"/>
      <c r="AQ33" s="2523"/>
      <c r="AR33" s="2523"/>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c r="BP33" s="2523"/>
      <c r="BQ33" s="2523"/>
      <c r="BR33" s="2523"/>
      <c r="BS33" s="2523"/>
      <c r="BT33" s="2523"/>
      <c r="BU33" s="2523"/>
      <c r="BV33" s="2523"/>
      <c r="BW33" s="2523"/>
      <c r="BX33" s="2523"/>
      <c r="BY33" s="2523"/>
      <c r="BZ33" s="2523"/>
      <c r="CA33" s="2523"/>
      <c r="CB33" s="2523"/>
      <c r="CC33" s="2523"/>
      <c r="CD33" s="2523"/>
      <c r="CE33" s="2523"/>
      <c r="CF33" s="2523"/>
      <c r="CG33" s="2523"/>
      <c r="CH33" s="2523"/>
      <c r="CI33" s="2523"/>
      <c r="CJ33" s="2523"/>
      <c r="CK33" s="2523"/>
      <c r="CL33" s="2523"/>
      <c r="CM33" s="2523"/>
      <c r="CN33" s="2523"/>
      <c r="CO33" s="2523"/>
      <c r="CP33" s="2523"/>
      <c r="CQ33" s="2523"/>
      <c r="CR33" s="2523"/>
      <c r="CS33" s="2523"/>
      <c r="CT33" s="2523"/>
      <c r="CU33" s="2523"/>
      <c r="CV33" s="2523"/>
      <c r="CW33" s="2523"/>
      <c r="CX33" s="2523"/>
      <c r="CY33" s="2523"/>
      <c r="CZ33" s="2523"/>
      <c r="DA33" s="2523"/>
      <c r="DB33" s="2523"/>
      <c r="DC33" s="2523"/>
      <c r="DD33" s="2523"/>
      <c r="DE33" s="2523"/>
      <c r="DF33" s="2523"/>
      <c r="DG33" s="2523"/>
      <c r="DH33" s="2523"/>
      <c r="DI33" s="2523"/>
      <c r="DJ33" s="2523"/>
      <c r="DK33" s="2523"/>
      <c r="DL33" s="2523"/>
      <c r="DM33" s="2523"/>
      <c r="DN33" s="2523"/>
      <c r="DO33" s="2523"/>
      <c r="DP33" s="2523"/>
      <c r="DQ33" s="2523"/>
      <c r="DR33" s="2523"/>
      <c r="DS33" s="2523"/>
      <c r="DT33" s="2523"/>
      <c r="DU33" s="2523"/>
      <c r="DV33" s="2523"/>
      <c r="DW33" s="2523"/>
      <c r="DX33" s="2523"/>
      <c r="DY33" s="2523"/>
      <c r="DZ33" s="2523"/>
      <c r="EA33" s="2523"/>
      <c r="EB33" s="2523"/>
      <c r="EC33" s="2523"/>
      <c r="ED33" s="2523"/>
      <c r="EE33" s="2523"/>
      <c r="EF33" s="2523"/>
      <c r="EG33" s="2523"/>
      <c r="EH33" s="2523"/>
      <c r="EI33" s="2523"/>
      <c r="EJ33" s="2523"/>
      <c r="EK33" s="2523"/>
      <c r="EL33" s="2523"/>
      <c r="EM33" s="2523"/>
      <c r="EN33" s="2523"/>
      <c r="EO33" s="2523"/>
      <c r="EP33" s="2523"/>
      <c r="EQ33" s="2523"/>
      <c r="ER33" s="2523"/>
      <c r="ES33" s="2523"/>
      <c r="ET33" s="2523"/>
      <c r="EU33" s="2523"/>
      <c r="EV33" s="2523"/>
      <c r="EW33" s="2523"/>
      <c r="EX33" s="2523"/>
      <c r="EY33" s="2523"/>
      <c r="EZ33" s="2523"/>
      <c r="FA33" s="2523"/>
      <c r="FB33" s="2523"/>
      <c r="FC33" s="2523"/>
      <c r="FD33" s="2523"/>
      <c r="FE33" s="2523"/>
      <c r="FF33" s="2523"/>
      <c r="FG33" s="2523"/>
      <c r="FH33" s="2523"/>
      <c r="FI33" s="2523"/>
      <c r="FJ33" s="2523"/>
      <c r="FK33" s="2523"/>
      <c r="FL33" s="2523"/>
      <c r="FM33" s="2523"/>
      <c r="FN33" s="2523"/>
      <c r="FO33" s="2523"/>
      <c r="FP33" s="2523"/>
      <c r="FQ33" s="2523"/>
      <c r="FR33" s="2523"/>
      <c r="FS33" s="2523"/>
      <c r="FT33" s="2523"/>
      <c r="FU33" s="2523"/>
      <c r="FV33" s="2523"/>
      <c r="FW33" s="2523"/>
      <c r="FX33" s="2523"/>
      <c r="FY33" s="2523"/>
      <c r="FZ33" s="2523"/>
      <c r="GA33" s="2523"/>
      <c r="GB33" s="2523"/>
      <c r="GC33" s="2523"/>
      <c r="GD33" s="2523"/>
      <c r="GE33" s="2523"/>
      <c r="GF33" s="2523"/>
      <c r="GG33" s="2523"/>
      <c r="GH33" s="444"/>
      <c r="GO33" s="1073">
        <v>0</v>
      </c>
    </row>
    <row r="34" spans="1:197"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4404">
        <f>IF(TITLE_DATE_PR_CHANGE="",IF(TITLE_DATE_PR="","",TITLE_DATE_PR),TITLE_DATE_PR_CHANGE)</f>
        <v>45646</v>
      </c>
      <c r="AM34" s="4404"/>
      <c r="AN34" s="4404"/>
      <c r="AO34" s="4404"/>
      <c r="AP34" s="4404"/>
      <c r="AQ34" s="4404"/>
      <c r="AR34" s="4404"/>
      <c r="AS34" s="2055"/>
      <c r="AT34" s="4404">
        <f>IF(TITLE_DATE_PR_CHANGE="",IF(TITLE_DATE_PR="","",TITLE_DATE_PR),TITLE_DATE_PR_CHANGE)</f>
        <v>45646</v>
      </c>
      <c r="AU34" s="4404"/>
      <c r="AV34" s="4404"/>
      <c r="AW34" s="4404"/>
      <c r="AX34" s="4404"/>
      <c r="AY34" s="4404"/>
      <c r="AZ34" s="4404"/>
      <c r="BA34" s="2055"/>
      <c r="BB34" s="4404">
        <f>IF(TITLE_DATE_PR_CHANGE="",IF(TITLE_DATE_PR="","",TITLE_DATE_PR),TITLE_DATE_PR_CHANGE)</f>
        <v>45646</v>
      </c>
      <c r="BC34" s="4404"/>
      <c r="BD34" s="4404"/>
      <c r="BE34" s="4404"/>
      <c r="BF34" s="4404"/>
      <c r="BG34" s="4404"/>
      <c r="BH34" s="4404"/>
      <c r="BI34" s="2055"/>
      <c r="BJ34" s="4404">
        <f>IF(TITLE_DATE_PR_CHANGE="",IF(TITLE_DATE_PR="","",TITLE_DATE_PR),TITLE_DATE_PR_CHANGE)</f>
        <v>45646</v>
      </c>
      <c r="BK34" s="4404"/>
      <c r="BL34" s="4404"/>
      <c r="BM34" s="4404"/>
      <c r="BN34" s="4404"/>
      <c r="BO34" s="4404"/>
      <c r="BP34" s="4404"/>
      <c r="BQ34" s="2055"/>
      <c r="BR34" s="4404">
        <f>IF(TITLE_DATE_PR_CHANGE="",IF(TITLE_DATE_PR="","",TITLE_DATE_PR),TITLE_DATE_PR_CHANGE)</f>
        <v>45646</v>
      </c>
      <c r="BS34" s="4404"/>
      <c r="BT34" s="4404"/>
      <c r="BU34" s="4404"/>
      <c r="BV34" s="4404"/>
      <c r="BW34" s="4404"/>
      <c r="BX34" s="4404"/>
      <c r="BY34" s="2055"/>
      <c r="BZ34" s="4404">
        <f>IF(TITLE_DATE_PR_CHANGE="",IF(TITLE_DATE_PR="","",TITLE_DATE_PR),TITLE_DATE_PR_CHANGE)</f>
        <v>45646</v>
      </c>
      <c r="CA34" s="4404"/>
      <c r="CB34" s="4404"/>
      <c r="CC34" s="4404"/>
      <c r="CD34" s="4404"/>
      <c r="CE34" s="4404"/>
      <c r="CF34" s="4404"/>
      <c r="CG34" s="2055"/>
      <c r="CH34" s="4404">
        <f>IF(TITLE_DATE_PR_CHANGE="",IF(TITLE_DATE_PR="","",TITLE_DATE_PR),TITLE_DATE_PR_CHANGE)</f>
        <v>45646</v>
      </c>
      <c r="CI34" s="4404"/>
      <c r="CJ34" s="4404"/>
      <c r="CK34" s="4404"/>
      <c r="CL34" s="4404"/>
      <c r="CM34" s="4404"/>
      <c r="CN34" s="4404"/>
      <c r="CO34" s="2055"/>
      <c r="CP34" s="4404">
        <f>IF(TITLE_DATE_PR_CHANGE="",IF(TITLE_DATE_PR="","",TITLE_DATE_PR),TITLE_DATE_PR_CHANGE)</f>
        <v>45646</v>
      </c>
      <c r="CQ34" s="4404"/>
      <c r="CR34" s="4404"/>
      <c r="CS34" s="4404"/>
      <c r="CT34" s="4404"/>
      <c r="CU34" s="4404"/>
      <c r="CV34" s="4404"/>
      <c r="CW34" s="2055"/>
      <c r="CX34" s="4404">
        <f>IF(TITLE_DATE_PR_CHANGE="",IF(TITLE_DATE_PR="","",TITLE_DATE_PR),TITLE_DATE_PR_CHANGE)</f>
        <v>45646</v>
      </c>
      <c r="CY34" s="4404"/>
      <c r="CZ34" s="4404"/>
      <c r="DA34" s="4404"/>
      <c r="DB34" s="4404"/>
      <c r="DC34" s="4404"/>
      <c r="DD34" s="4404"/>
      <c r="DE34" s="2055"/>
      <c r="DF34" s="4404">
        <f>IF(TITLE_DATE_PR_CHANGE="",IF(TITLE_DATE_PR="","",TITLE_DATE_PR),TITLE_DATE_PR_CHANGE)</f>
        <v>45646</v>
      </c>
      <c r="DG34" s="4404"/>
      <c r="DH34" s="4404"/>
      <c r="DI34" s="4404"/>
      <c r="DJ34" s="4404"/>
      <c r="DK34" s="4404"/>
      <c r="DL34" s="4404"/>
      <c r="DM34" s="2055"/>
      <c r="DN34" s="4404">
        <f>IF(TITLE_DATE_PR_CHANGE="",IF(TITLE_DATE_PR="","",TITLE_DATE_PR),TITLE_DATE_PR_CHANGE)</f>
        <v>45646</v>
      </c>
      <c r="DO34" s="4404"/>
      <c r="DP34" s="4404"/>
      <c r="DQ34" s="4404"/>
      <c r="DR34" s="4404"/>
      <c r="DS34" s="4404"/>
      <c r="DT34" s="4404"/>
      <c r="DU34" s="2055"/>
      <c r="DV34" s="4404">
        <f>IF(TITLE_DATE_PR_CHANGE="",IF(TITLE_DATE_PR="","",TITLE_DATE_PR),TITLE_DATE_PR_CHANGE)</f>
        <v>45646</v>
      </c>
      <c r="DW34" s="4404"/>
      <c r="DX34" s="4404"/>
      <c r="DY34" s="4404"/>
      <c r="DZ34" s="4404"/>
      <c r="EA34" s="4404"/>
      <c r="EB34" s="4404"/>
      <c r="EC34" s="2055"/>
      <c r="ED34" s="4404">
        <f>IF(TITLE_DATE_PR_CHANGE="",IF(TITLE_DATE_PR="","",TITLE_DATE_PR),TITLE_DATE_PR_CHANGE)</f>
        <v>45646</v>
      </c>
      <c r="EE34" s="4404"/>
      <c r="EF34" s="4404"/>
      <c r="EG34" s="4404"/>
      <c r="EH34" s="4404"/>
      <c r="EI34" s="4404"/>
      <c r="EJ34" s="4404"/>
      <c r="EK34" s="2055"/>
      <c r="EL34" s="4404">
        <f>IF(TITLE_DATE_PR_CHANGE="",IF(TITLE_DATE_PR="","",TITLE_DATE_PR),TITLE_DATE_PR_CHANGE)</f>
        <v>45646</v>
      </c>
      <c r="EM34" s="4404"/>
      <c r="EN34" s="4404"/>
      <c r="EO34" s="4404"/>
      <c r="EP34" s="4404"/>
      <c r="EQ34" s="4404"/>
      <c r="ER34" s="4404"/>
      <c r="ES34" s="2055"/>
      <c r="ET34" s="4404">
        <f>IF(TITLE_DATE_PR_CHANGE="",IF(TITLE_DATE_PR="","",TITLE_DATE_PR),TITLE_DATE_PR_CHANGE)</f>
        <v>45646</v>
      </c>
      <c r="EU34" s="4404"/>
      <c r="EV34" s="4404"/>
      <c r="EW34" s="4404"/>
      <c r="EX34" s="4404"/>
      <c r="EY34" s="4404"/>
      <c r="EZ34" s="4404"/>
      <c r="FA34" s="2055"/>
      <c r="FB34" s="4404">
        <f>IF(TITLE_DATE_PR_CHANGE="",IF(TITLE_DATE_PR="","",TITLE_DATE_PR),TITLE_DATE_PR_CHANGE)</f>
        <v>45646</v>
      </c>
      <c r="FC34" s="4404"/>
      <c r="FD34" s="4404"/>
      <c r="FE34" s="4404"/>
      <c r="FF34" s="4404"/>
      <c r="FG34" s="4404"/>
      <c r="FH34" s="4404"/>
      <c r="FI34" s="2055"/>
      <c r="FJ34" s="4404">
        <f>IF(TITLE_DATE_PR_CHANGE="",IF(TITLE_DATE_PR="","",TITLE_DATE_PR),TITLE_DATE_PR_CHANGE)</f>
        <v>45646</v>
      </c>
      <c r="FK34" s="4404"/>
      <c r="FL34" s="4404"/>
      <c r="FM34" s="4404"/>
      <c r="FN34" s="4404"/>
      <c r="FO34" s="4404"/>
      <c r="FP34" s="4404"/>
      <c r="FQ34" s="2055"/>
      <c r="FR34" s="4404">
        <f>IF(TITLE_DATE_PR_CHANGE="",IF(TITLE_DATE_PR="","",TITLE_DATE_PR),TITLE_DATE_PR_CHANGE)</f>
        <v>45646</v>
      </c>
      <c r="FS34" s="4404"/>
      <c r="FT34" s="4404"/>
      <c r="FU34" s="4404"/>
      <c r="FV34" s="4404"/>
      <c r="FW34" s="4404"/>
      <c r="FX34" s="4404"/>
      <c r="FY34" s="2055"/>
      <c r="FZ34" s="4404">
        <f>IF(TITLE_DATE_PR_CHANGE="",IF(TITLE_DATE_PR="","",TITLE_DATE_PR),TITLE_DATE_PR_CHANGE)</f>
        <v>45646</v>
      </c>
      <c r="GA34" s="4404"/>
      <c r="GB34" s="4404"/>
      <c r="GC34" s="4404"/>
      <c r="GD34" s="4404"/>
      <c r="GE34" s="4404"/>
      <c r="GF34" s="4404"/>
      <c r="GG34" s="2055"/>
      <c r="GH34" s="262"/>
      <c r="GI34" s="216"/>
      <c r="GJ34" s="303"/>
      <c r="GK34" s="303"/>
      <c r="GL34" s="303"/>
      <c r="GM34" s="303"/>
      <c r="GN34" s="303"/>
      <c r="GO34" s="353">
        <v>0</v>
      </c>
    </row>
    <row r="35" spans="1:197" s="4149" customFormat="1" ht="18.7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4405" t="str">
        <f>IF(TITLE_NUMBER_PR_CHANGE="",IF(TITLE_NUMBER_PR="","",TITLE_NUMBER_PR),TITLE_NUMBER_PR_CHANGE)</f>
        <v>51/110</v>
      </c>
      <c r="AM35" s="4405"/>
      <c r="AN35" s="4405"/>
      <c r="AO35" s="4405"/>
      <c r="AP35" s="4405"/>
      <c r="AQ35" s="4405"/>
      <c r="AR35" s="4405"/>
      <c r="AS35" s="2055"/>
      <c r="AT35" s="4405" t="str">
        <f>IF(TITLE_NUMBER_PR_CHANGE="",IF(TITLE_NUMBER_PR="","",TITLE_NUMBER_PR),TITLE_NUMBER_PR_CHANGE)</f>
        <v>51/110</v>
      </c>
      <c r="AU35" s="4405"/>
      <c r="AV35" s="4405"/>
      <c r="AW35" s="4405"/>
      <c r="AX35" s="4405"/>
      <c r="AY35" s="4405"/>
      <c r="AZ35" s="4405"/>
      <c r="BA35" s="2055"/>
      <c r="BB35" s="4405" t="str">
        <f>IF(TITLE_NUMBER_PR_CHANGE="",IF(TITLE_NUMBER_PR="","",TITLE_NUMBER_PR),TITLE_NUMBER_PR_CHANGE)</f>
        <v>51/110</v>
      </c>
      <c r="BC35" s="4405"/>
      <c r="BD35" s="4405"/>
      <c r="BE35" s="4405"/>
      <c r="BF35" s="4405"/>
      <c r="BG35" s="4405"/>
      <c r="BH35" s="4405"/>
      <c r="BI35" s="2055"/>
      <c r="BJ35" s="4405" t="str">
        <f>IF(TITLE_NUMBER_PR_CHANGE="",IF(TITLE_NUMBER_PR="","",TITLE_NUMBER_PR),TITLE_NUMBER_PR_CHANGE)</f>
        <v>51/110</v>
      </c>
      <c r="BK35" s="4405"/>
      <c r="BL35" s="4405"/>
      <c r="BM35" s="4405"/>
      <c r="BN35" s="4405"/>
      <c r="BO35" s="4405"/>
      <c r="BP35" s="4405"/>
      <c r="BQ35" s="2055"/>
      <c r="BR35" s="4405" t="str">
        <f>IF(TITLE_NUMBER_PR_CHANGE="",IF(TITLE_NUMBER_PR="","",TITLE_NUMBER_PR),TITLE_NUMBER_PR_CHANGE)</f>
        <v>51/110</v>
      </c>
      <c r="BS35" s="4405"/>
      <c r="BT35" s="4405"/>
      <c r="BU35" s="4405"/>
      <c r="BV35" s="4405"/>
      <c r="BW35" s="4405"/>
      <c r="BX35" s="4405"/>
      <c r="BY35" s="2055"/>
      <c r="BZ35" s="4405" t="str">
        <f>IF(TITLE_NUMBER_PR_CHANGE="",IF(TITLE_NUMBER_PR="","",TITLE_NUMBER_PR),TITLE_NUMBER_PR_CHANGE)</f>
        <v>51/110</v>
      </c>
      <c r="CA35" s="4405"/>
      <c r="CB35" s="4405"/>
      <c r="CC35" s="4405"/>
      <c r="CD35" s="4405"/>
      <c r="CE35" s="4405"/>
      <c r="CF35" s="4405"/>
      <c r="CG35" s="2055"/>
      <c r="CH35" s="4405" t="str">
        <f>IF(TITLE_NUMBER_PR_CHANGE="",IF(TITLE_NUMBER_PR="","",TITLE_NUMBER_PR),TITLE_NUMBER_PR_CHANGE)</f>
        <v>51/110</v>
      </c>
      <c r="CI35" s="4405"/>
      <c r="CJ35" s="4405"/>
      <c r="CK35" s="4405"/>
      <c r="CL35" s="4405"/>
      <c r="CM35" s="4405"/>
      <c r="CN35" s="4405"/>
      <c r="CO35" s="2055"/>
      <c r="CP35" s="4405" t="str">
        <f>IF(TITLE_NUMBER_PR_CHANGE="",IF(TITLE_NUMBER_PR="","",TITLE_NUMBER_PR),TITLE_NUMBER_PR_CHANGE)</f>
        <v>51/110</v>
      </c>
      <c r="CQ35" s="4405"/>
      <c r="CR35" s="4405"/>
      <c r="CS35" s="4405"/>
      <c r="CT35" s="4405"/>
      <c r="CU35" s="4405"/>
      <c r="CV35" s="4405"/>
      <c r="CW35" s="2055"/>
      <c r="CX35" s="4405" t="str">
        <f>IF(TITLE_NUMBER_PR_CHANGE="",IF(TITLE_NUMBER_PR="","",TITLE_NUMBER_PR),TITLE_NUMBER_PR_CHANGE)</f>
        <v>51/110</v>
      </c>
      <c r="CY35" s="4405"/>
      <c r="CZ35" s="4405"/>
      <c r="DA35" s="4405"/>
      <c r="DB35" s="4405"/>
      <c r="DC35" s="4405"/>
      <c r="DD35" s="4405"/>
      <c r="DE35" s="2055"/>
      <c r="DF35" s="4405" t="str">
        <f>IF(TITLE_NUMBER_PR_CHANGE="",IF(TITLE_NUMBER_PR="","",TITLE_NUMBER_PR),TITLE_NUMBER_PR_CHANGE)</f>
        <v>51/110</v>
      </c>
      <c r="DG35" s="4405"/>
      <c r="DH35" s="4405"/>
      <c r="DI35" s="4405"/>
      <c r="DJ35" s="4405"/>
      <c r="DK35" s="4405"/>
      <c r="DL35" s="4405"/>
      <c r="DM35" s="2055"/>
      <c r="DN35" s="4405" t="str">
        <f>IF(TITLE_NUMBER_PR_CHANGE="",IF(TITLE_NUMBER_PR="","",TITLE_NUMBER_PR),TITLE_NUMBER_PR_CHANGE)</f>
        <v>51/110</v>
      </c>
      <c r="DO35" s="4405"/>
      <c r="DP35" s="4405"/>
      <c r="DQ35" s="4405"/>
      <c r="DR35" s="4405"/>
      <c r="DS35" s="4405"/>
      <c r="DT35" s="4405"/>
      <c r="DU35" s="2055"/>
      <c r="DV35" s="4405" t="str">
        <f>IF(TITLE_NUMBER_PR_CHANGE="",IF(TITLE_NUMBER_PR="","",TITLE_NUMBER_PR),TITLE_NUMBER_PR_CHANGE)</f>
        <v>51/110</v>
      </c>
      <c r="DW35" s="4405"/>
      <c r="DX35" s="4405"/>
      <c r="DY35" s="4405"/>
      <c r="DZ35" s="4405"/>
      <c r="EA35" s="4405"/>
      <c r="EB35" s="4405"/>
      <c r="EC35" s="2055"/>
      <c r="ED35" s="4405" t="str">
        <f>IF(TITLE_NUMBER_PR_CHANGE="",IF(TITLE_NUMBER_PR="","",TITLE_NUMBER_PR),TITLE_NUMBER_PR_CHANGE)</f>
        <v>51/110</v>
      </c>
      <c r="EE35" s="4405"/>
      <c r="EF35" s="4405"/>
      <c r="EG35" s="4405"/>
      <c r="EH35" s="4405"/>
      <c r="EI35" s="4405"/>
      <c r="EJ35" s="4405"/>
      <c r="EK35" s="2055"/>
      <c r="EL35" s="4405" t="str">
        <f>IF(TITLE_NUMBER_PR_CHANGE="",IF(TITLE_NUMBER_PR="","",TITLE_NUMBER_PR),TITLE_NUMBER_PR_CHANGE)</f>
        <v>51/110</v>
      </c>
      <c r="EM35" s="4405"/>
      <c r="EN35" s="4405"/>
      <c r="EO35" s="4405"/>
      <c r="EP35" s="4405"/>
      <c r="EQ35" s="4405"/>
      <c r="ER35" s="4405"/>
      <c r="ES35" s="2055"/>
      <c r="ET35" s="4405" t="str">
        <f>IF(TITLE_NUMBER_PR_CHANGE="",IF(TITLE_NUMBER_PR="","",TITLE_NUMBER_PR),TITLE_NUMBER_PR_CHANGE)</f>
        <v>51/110</v>
      </c>
      <c r="EU35" s="4405"/>
      <c r="EV35" s="4405"/>
      <c r="EW35" s="4405"/>
      <c r="EX35" s="4405"/>
      <c r="EY35" s="4405"/>
      <c r="EZ35" s="4405"/>
      <c r="FA35" s="2055"/>
      <c r="FB35" s="4405" t="str">
        <f>IF(TITLE_NUMBER_PR_CHANGE="",IF(TITLE_NUMBER_PR="","",TITLE_NUMBER_PR),TITLE_NUMBER_PR_CHANGE)</f>
        <v>51/110</v>
      </c>
      <c r="FC35" s="4405"/>
      <c r="FD35" s="4405"/>
      <c r="FE35" s="4405"/>
      <c r="FF35" s="4405"/>
      <c r="FG35" s="4405"/>
      <c r="FH35" s="4405"/>
      <c r="FI35" s="2055"/>
      <c r="FJ35" s="4405" t="str">
        <f>IF(TITLE_NUMBER_PR_CHANGE="",IF(TITLE_NUMBER_PR="","",TITLE_NUMBER_PR),TITLE_NUMBER_PR_CHANGE)</f>
        <v>51/110</v>
      </c>
      <c r="FK35" s="4405"/>
      <c r="FL35" s="4405"/>
      <c r="FM35" s="4405"/>
      <c r="FN35" s="4405"/>
      <c r="FO35" s="4405"/>
      <c r="FP35" s="4405"/>
      <c r="FQ35" s="2055"/>
      <c r="FR35" s="4405" t="str">
        <f>IF(TITLE_NUMBER_PR_CHANGE="",IF(TITLE_NUMBER_PR="","",TITLE_NUMBER_PR),TITLE_NUMBER_PR_CHANGE)</f>
        <v>51/110</v>
      </c>
      <c r="FS35" s="4405"/>
      <c r="FT35" s="4405"/>
      <c r="FU35" s="4405"/>
      <c r="FV35" s="4405"/>
      <c r="FW35" s="4405"/>
      <c r="FX35" s="4405"/>
      <c r="FY35" s="2055"/>
      <c r="FZ35" s="4405" t="str">
        <f>IF(TITLE_NUMBER_PR_CHANGE="",IF(TITLE_NUMBER_PR="","",TITLE_NUMBER_PR),TITLE_NUMBER_PR_CHANGE)</f>
        <v>51/110</v>
      </c>
      <c r="GA35" s="4405"/>
      <c r="GB35" s="4405"/>
      <c r="GC35" s="4405"/>
      <c r="GD35" s="4405"/>
      <c r="GE35" s="4405"/>
      <c r="GF35" s="4405"/>
      <c r="GG35" s="2055"/>
      <c r="GH35" s="262"/>
      <c r="GI35" s="216"/>
      <c r="GJ35" s="303"/>
      <c r="GK35" s="303"/>
      <c r="GL35" s="303"/>
      <c r="GM35" s="303"/>
      <c r="GN35" s="303"/>
      <c r="GO35" s="353">
        <v>0</v>
      </c>
    </row>
    <row r="36" spans="1:197" s="414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445</v>
      </c>
      <c r="AD36" s="262"/>
      <c r="AE36" s="262"/>
      <c r="AF36" s="262"/>
      <c r="AG36" s="262"/>
      <c r="AH36" s="262"/>
      <c r="AI36" s="262"/>
      <c r="AJ36" s="262"/>
      <c r="AK36" s="214" t="s">
        <v>445</v>
      </c>
      <c r="AL36" s="2055"/>
      <c r="AM36" s="2055"/>
      <c r="AN36" s="2055"/>
      <c r="AO36" s="2055"/>
      <c r="AP36" s="2055"/>
      <c r="AQ36" s="2055"/>
      <c r="AR36" s="2055"/>
      <c r="AS36" s="2524" t="s">
        <v>445</v>
      </c>
      <c r="AT36" s="2055"/>
      <c r="AU36" s="2055"/>
      <c r="AV36" s="2055"/>
      <c r="AW36" s="2055"/>
      <c r="AX36" s="2055"/>
      <c r="AY36" s="2055"/>
      <c r="AZ36" s="2055"/>
      <c r="BA36" s="2524" t="s">
        <v>445</v>
      </c>
      <c r="BB36" s="2055"/>
      <c r="BC36" s="2055"/>
      <c r="BD36" s="2055"/>
      <c r="BE36" s="2055"/>
      <c r="BF36" s="2055"/>
      <c r="BG36" s="2055"/>
      <c r="BH36" s="2055"/>
      <c r="BI36" s="2524" t="s">
        <v>445</v>
      </c>
      <c r="BJ36" s="2055"/>
      <c r="BK36" s="2055"/>
      <c r="BL36" s="2055"/>
      <c r="BM36" s="2055"/>
      <c r="BN36" s="2055"/>
      <c r="BO36" s="2055"/>
      <c r="BP36" s="2055"/>
      <c r="BQ36" s="2524" t="s">
        <v>445</v>
      </c>
      <c r="BR36" s="2055"/>
      <c r="BS36" s="2055"/>
      <c r="BT36" s="2055"/>
      <c r="BU36" s="2055"/>
      <c r="BV36" s="2055"/>
      <c r="BW36" s="2055"/>
      <c r="BX36" s="2055"/>
      <c r="BY36" s="2524" t="s">
        <v>445</v>
      </c>
      <c r="BZ36" s="2055"/>
      <c r="CA36" s="2055"/>
      <c r="CB36" s="2055"/>
      <c r="CC36" s="2055"/>
      <c r="CD36" s="2055"/>
      <c r="CE36" s="2055"/>
      <c r="CF36" s="2055"/>
      <c r="CG36" s="2524" t="s">
        <v>445</v>
      </c>
      <c r="CH36" s="2055"/>
      <c r="CI36" s="2055"/>
      <c r="CJ36" s="2055"/>
      <c r="CK36" s="2055"/>
      <c r="CL36" s="2055"/>
      <c r="CM36" s="2055"/>
      <c r="CN36" s="2055"/>
      <c r="CO36" s="2524" t="s">
        <v>445</v>
      </c>
      <c r="CP36" s="2055"/>
      <c r="CQ36" s="2055"/>
      <c r="CR36" s="2055"/>
      <c r="CS36" s="2055"/>
      <c r="CT36" s="2055"/>
      <c r="CU36" s="2055"/>
      <c r="CV36" s="2055"/>
      <c r="CW36" s="2524" t="s">
        <v>445</v>
      </c>
      <c r="CX36" s="2055"/>
      <c r="CY36" s="2055"/>
      <c r="CZ36" s="2055"/>
      <c r="DA36" s="2055"/>
      <c r="DB36" s="2055"/>
      <c r="DC36" s="2055"/>
      <c r="DD36" s="2055"/>
      <c r="DE36" s="2524" t="s">
        <v>445</v>
      </c>
      <c r="DF36" s="2055"/>
      <c r="DG36" s="2055"/>
      <c r="DH36" s="2055"/>
      <c r="DI36" s="2055"/>
      <c r="DJ36" s="2055"/>
      <c r="DK36" s="2055"/>
      <c r="DL36" s="2055"/>
      <c r="DM36" s="2524" t="s">
        <v>445</v>
      </c>
      <c r="DN36" s="2055"/>
      <c r="DO36" s="2055"/>
      <c r="DP36" s="2055"/>
      <c r="DQ36" s="2055"/>
      <c r="DR36" s="2055"/>
      <c r="DS36" s="2055"/>
      <c r="DT36" s="2055"/>
      <c r="DU36" s="2524" t="s">
        <v>445</v>
      </c>
      <c r="DV36" s="2055"/>
      <c r="DW36" s="2055"/>
      <c r="DX36" s="2055"/>
      <c r="DY36" s="2055"/>
      <c r="DZ36" s="2055"/>
      <c r="EA36" s="2055"/>
      <c r="EB36" s="2055"/>
      <c r="EC36" s="2524" t="s">
        <v>445</v>
      </c>
      <c r="ED36" s="2055"/>
      <c r="EE36" s="2055"/>
      <c r="EF36" s="2055"/>
      <c r="EG36" s="2055"/>
      <c r="EH36" s="2055"/>
      <c r="EI36" s="2055"/>
      <c r="EJ36" s="2055"/>
      <c r="EK36" s="2524" t="s">
        <v>445</v>
      </c>
      <c r="EL36" s="2055"/>
      <c r="EM36" s="2055"/>
      <c r="EN36" s="2055"/>
      <c r="EO36" s="2055"/>
      <c r="EP36" s="2055"/>
      <c r="EQ36" s="2055"/>
      <c r="ER36" s="2055"/>
      <c r="ES36" s="2524" t="s">
        <v>445</v>
      </c>
      <c r="ET36" s="2055"/>
      <c r="EU36" s="2055"/>
      <c r="EV36" s="2055"/>
      <c r="EW36" s="2055"/>
      <c r="EX36" s="2055"/>
      <c r="EY36" s="2055"/>
      <c r="EZ36" s="2055"/>
      <c r="FA36" s="2524" t="s">
        <v>445</v>
      </c>
      <c r="FB36" s="2055"/>
      <c r="FC36" s="2055"/>
      <c r="FD36" s="2055"/>
      <c r="FE36" s="2055"/>
      <c r="FF36" s="2055"/>
      <c r="FG36" s="2055"/>
      <c r="FH36" s="2055"/>
      <c r="FI36" s="2524" t="s">
        <v>445</v>
      </c>
      <c r="FJ36" s="2055"/>
      <c r="FK36" s="2055"/>
      <c r="FL36" s="2055"/>
      <c r="FM36" s="2055"/>
      <c r="FN36" s="2055"/>
      <c r="FO36" s="2055"/>
      <c r="FP36" s="2055"/>
      <c r="FQ36" s="2524" t="s">
        <v>445</v>
      </c>
      <c r="FR36" s="2055"/>
      <c r="FS36" s="2055"/>
      <c r="FT36" s="2055"/>
      <c r="FU36" s="2055"/>
      <c r="FV36" s="2055"/>
      <c r="FW36" s="2055"/>
      <c r="FX36" s="2055"/>
      <c r="FY36" s="2524" t="s">
        <v>445</v>
      </c>
      <c r="FZ36" s="2055"/>
      <c r="GA36" s="2055"/>
      <c r="GB36" s="2055"/>
      <c r="GC36" s="2055"/>
      <c r="GD36" s="2055"/>
      <c r="GE36" s="2055"/>
      <c r="GF36" s="2055"/>
      <c r="GG36" s="2524" t="s">
        <v>445</v>
      </c>
      <c r="GJ36" s="303"/>
      <c r="GK36" s="303"/>
      <c r="GL36" s="303"/>
      <c r="GM36" s="303"/>
      <c r="GN36" s="303"/>
      <c r="GO36" s="353">
        <v>0</v>
      </c>
    </row>
    <row r="37" spans="1:197"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L37" s="4424" t="s">
        <v>175</v>
      </c>
      <c r="AM37" s="4424"/>
      <c r="AN37" s="4424"/>
      <c r="AO37" s="4424"/>
      <c r="AP37" s="4424"/>
      <c r="AQ37" s="4424"/>
      <c r="AR37" s="4424"/>
      <c r="AS37" s="4424"/>
      <c r="AT37" s="4424" t="s">
        <v>175</v>
      </c>
      <c r="AU37" s="4424"/>
      <c r="AV37" s="4424"/>
      <c r="AW37" s="4424"/>
      <c r="AX37" s="4424"/>
      <c r="AY37" s="4424"/>
      <c r="AZ37" s="4424"/>
      <c r="BA37" s="4424"/>
      <c r="BB37" s="4424" t="s">
        <v>175</v>
      </c>
      <c r="BC37" s="4424"/>
      <c r="BD37" s="4424"/>
      <c r="BE37" s="4424"/>
      <c r="BF37" s="4424"/>
      <c r="BG37" s="4424"/>
      <c r="BH37" s="4424"/>
      <c r="BI37" s="4424"/>
      <c r="BJ37" s="4424" t="s">
        <v>175</v>
      </c>
      <c r="BK37" s="4424"/>
      <c r="BL37" s="4424"/>
      <c r="BM37" s="4424"/>
      <c r="BN37" s="4424"/>
      <c r="BO37" s="4424"/>
      <c r="BP37" s="4424"/>
      <c r="BQ37" s="4424"/>
      <c r="BR37" s="4424" t="s">
        <v>175</v>
      </c>
      <c r="BS37" s="4424"/>
      <c r="BT37" s="4424"/>
      <c r="BU37" s="4424"/>
      <c r="BV37" s="4424"/>
      <c r="BW37" s="4424"/>
      <c r="BX37" s="4424"/>
      <c r="BY37" s="4424"/>
      <c r="BZ37" s="4424" t="s">
        <v>175</v>
      </c>
      <c r="CA37" s="4424"/>
      <c r="CB37" s="4424"/>
      <c r="CC37" s="4424"/>
      <c r="CD37" s="4424"/>
      <c r="CE37" s="4424"/>
      <c r="CF37" s="4424"/>
      <c r="CG37" s="4424"/>
      <c r="CH37" s="4424" t="s">
        <v>175</v>
      </c>
      <c r="CI37" s="4424"/>
      <c r="CJ37" s="4424"/>
      <c r="CK37" s="4424"/>
      <c r="CL37" s="4424"/>
      <c r="CM37" s="4424"/>
      <c r="CN37" s="4424"/>
      <c r="CO37" s="4424"/>
      <c r="CP37" s="4424" t="s">
        <v>175</v>
      </c>
      <c r="CQ37" s="4424"/>
      <c r="CR37" s="4424"/>
      <c r="CS37" s="4424"/>
      <c r="CT37" s="4424"/>
      <c r="CU37" s="4424"/>
      <c r="CV37" s="4424"/>
      <c r="CW37" s="4424"/>
      <c r="CX37" s="4424" t="s">
        <v>175</v>
      </c>
      <c r="CY37" s="4424"/>
      <c r="CZ37" s="4424"/>
      <c r="DA37" s="4424"/>
      <c r="DB37" s="4424"/>
      <c r="DC37" s="4424"/>
      <c r="DD37" s="4424"/>
      <c r="DE37" s="4424"/>
      <c r="DF37" s="4424" t="s">
        <v>175</v>
      </c>
      <c r="DG37" s="4424"/>
      <c r="DH37" s="4424"/>
      <c r="DI37" s="4424"/>
      <c r="DJ37" s="4424"/>
      <c r="DK37" s="4424"/>
      <c r="DL37" s="4424"/>
      <c r="DM37" s="4424"/>
      <c r="DN37" s="4424" t="s">
        <v>175</v>
      </c>
      <c r="DO37" s="4424"/>
      <c r="DP37" s="4424"/>
      <c r="DQ37" s="4424"/>
      <c r="DR37" s="4424"/>
      <c r="DS37" s="4424"/>
      <c r="DT37" s="4424"/>
      <c r="DU37" s="4424"/>
      <c r="DV37" s="4424" t="s">
        <v>175</v>
      </c>
      <c r="DW37" s="4424"/>
      <c r="DX37" s="4424"/>
      <c r="DY37" s="4424"/>
      <c r="DZ37" s="4424"/>
      <c r="EA37" s="4424"/>
      <c r="EB37" s="4424"/>
      <c r="EC37" s="4424"/>
      <c r="ED37" s="4424" t="s">
        <v>175</v>
      </c>
      <c r="EE37" s="4424"/>
      <c r="EF37" s="4424"/>
      <c r="EG37" s="4424"/>
      <c r="EH37" s="4424"/>
      <c r="EI37" s="4424"/>
      <c r="EJ37" s="4424"/>
      <c r="EK37" s="4424"/>
      <c r="EL37" s="4424" t="s">
        <v>175</v>
      </c>
      <c r="EM37" s="4424"/>
      <c r="EN37" s="4424"/>
      <c r="EO37" s="4424"/>
      <c r="EP37" s="4424"/>
      <c r="EQ37" s="4424"/>
      <c r="ER37" s="4424"/>
      <c r="ES37" s="4424"/>
      <c r="ET37" s="4424" t="s">
        <v>175</v>
      </c>
      <c r="EU37" s="4424"/>
      <c r="EV37" s="4424"/>
      <c r="EW37" s="4424"/>
      <c r="EX37" s="4424"/>
      <c r="EY37" s="4424"/>
      <c r="EZ37" s="4424"/>
      <c r="FA37" s="4424"/>
      <c r="FB37" s="4424" t="s">
        <v>175</v>
      </c>
      <c r="FC37" s="4424"/>
      <c r="FD37" s="4424"/>
      <c r="FE37" s="4424"/>
      <c r="FF37" s="4424"/>
      <c r="FG37" s="4424"/>
      <c r="FH37" s="4424"/>
      <c r="FI37" s="4424"/>
      <c r="FJ37" s="4424" t="s">
        <v>175</v>
      </c>
      <c r="FK37" s="4424"/>
      <c r="FL37" s="4424"/>
      <c r="FM37" s="4424"/>
      <c r="FN37" s="4424"/>
      <c r="FO37" s="4424"/>
      <c r="FP37" s="4424"/>
      <c r="FQ37" s="4424"/>
      <c r="FR37" s="4424" t="s">
        <v>175</v>
      </c>
      <c r="FS37" s="4424"/>
      <c r="FT37" s="4424"/>
      <c r="FU37" s="4424"/>
      <c r="FV37" s="4424"/>
      <c r="FW37" s="4424"/>
      <c r="FX37" s="4424"/>
      <c r="FY37" s="4424"/>
      <c r="FZ37" s="4424" t="s">
        <v>175</v>
      </c>
      <c r="GA37" s="4424"/>
      <c r="GB37" s="4424"/>
      <c r="GC37" s="4424"/>
      <c r="GD37" s="4424"/>
      <c r="GE37" s="4424"/>
      <c r="GF37" s="4424"/>
      <c r="GG37" s="4424"/>
      <c r="GO37" s="1073">
        <v>14</v>
      </c>
    </row>
    <row r="38" spans="1:197" ht="1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t="s">
        <v>321</v>
      </c>
      <c r="AM38" s="4274"/>
      <c r="AN38" s="4274"/>
      <c r="AO38" s="4274"/>
      <c r="AP38" s="4274"/>
      <c r="AQ38" s="4274"/>
      <c r="AR38" s="4274"/>
      <c r="AS38" s="4274"/>
      <c r="AT38" s="4274" t="s">
        <v>321</v>
      </c>
      <c r="AU38" s="4274"/>
      <c r="AV38" s="4274"/>
      <c r="AW38" s="4274"/>
      <c r="AX38" s="4274"/>
      <c r="AY38" s="4274"/>
      <c r="AZ38" s="4274"/>
      <c r="BA38" s="4274"/>
      <c r="BB38" s="4274" t="s">
        <v>321</v>
      </c>
      <c r="BC38" s="4274"/>
      <c r="BD38" s="4274"/>
      <c r="BE38" s="4274"/>
      <c r="BF38" s="4274"/>
      <c r="BG38" s="4274"/>
      <c r="BH38" s="4274"/>
      <c r="BI38" s="4274"/>
      <c r="BJ38" s="4274" t="s">
        <v>321</v>
      </c>
      <c r="BK38" s="4274"/>
      <c r="BL38" s="4274"/>
      <c r="BM38" s="4274"/>
      <c r="BN38" s="4274"/>
      <c r="BO38" s="4274"/>
      <c r="BP38" s="4274"/>
      <c r="BQ38" s="4274"/>
      <c r="BR38" s="4274" t="s">
        <v>321</v>
      </c>
      <c r="BS38" s="4274"/>
      <c r="BT38" s="4274"/>
      <c r="BU38" s="4274"/>
      <c r="BV38" s="4274"/>
      <c r="BW38" s="4274"/>
      <c r="BX38" s="4274"/>
      <c r="BY38" s="4274"/>
      <c r="BZ38" s="4274" t="s">
        <v>321</v>
      </c>
      <c r="CA38" s="4274"/>
      <c r="CB38" s="4274"/>
      <c r="CC38" s="4274"/>
      <c r="CD38" s="4274"/>
      <c r="CE38" s="4274"/>
      <c r="CF38" s="4274"/>
      <c r="CG38" s="4274"/>
      <c r="CH38" s="4274" t="s">
        <v>321</v>
      </c>
      <c r="CI38" s="4274"/>
      <c r="CJ38" s="4274"/>
      <c r="CK38" s="4274"/>
      <c r="CL38" s="4274"/>
      <c r="CM38" s="4274"/>
      <c r="CN38" s="4274"/>
      <c r="CO38" s="4274"/>
      <c r="CP38" s="4274" t="s">
        <v>321</v>
      </c>
      <c r="CQ38" s="4274"/>
      <c r="CR38" s="4274"/>
      <c r="CS38" s="4274"/>
      <c r="CT38" s="4274"/>
      <c r="CU38" s="4274"/>
      <c r="CV38" s="4274"/>
      <c r="CW38" s="4274"/>
      <c r="CX38" s="4274" t="s">
        <v>321</v>
      </c>
      <c r="CY38" s="4274"/>
      <c r="CZ38" s="4274"/>
      <c r="DA38" s="4274"/>
      <c r="DB38" s="4274"/>
      <c r="DC38" s="4274"/>
      <c r="DD38" s="4274"/>
      <c r="DE38" s="4274"/>
      <c r="DF38" s="4274" t="s">
        <v>321</v>
      </c>
      <c r="DG38" s="4274"/>
      <c r="DH38" s="4274"/>
      <c r="DI38" s="4274"/>
      <c r="DJ38" s="4274"/>
      <c r="DK38" s="4274"/>
      <c r="DL38" s="4274"/>
      <c r="DM38" s="4274"/>
      <c r="DN38" s="4274" t="s">
        <v>321</v>
      </c>
      <c r="DO38" s="4274"/>
      <c r="DP38" s="4274"/>
      <c r="DQ38" s="4274"/>
      <c r="DR38" s="4274"/>
      <c r="DS38" s="4274"/>
      <c r="DT38" s="4274"/>
      <c r="DU38" s="4274"/>
      <c r="DV38" s="4274" t="s">
        <v>321</v>
      </c>
      <c r="DW38" s="4274"/>
      <c r="DX38" s="4274"/>
      <c r="DY38" s="4274"/>
      <c r="DZ38" s="4274"/>
      <c r="EA38" s="4274"/>
      <c r="EB38" s="4274"/>
      <c r="EC38" s="4274"/>
      <c r="ED38" s="4274" t="s">
        <v>321</v>
      </c>
      <c r="EE38" s="4274"/>
      <c r="EF38" s="4274"/>
      <c r="EG38" s="4274"/>
      <c r="EH38" s="4274"/>
      <c r="EI38" s="4274"/>
      <c r="EJ38" s="4274"/>
      <c r="EK38" s="4274"/>
      <c r="EL38" s="4274" t="s">
        <v>321</v>
      </c>
      <c r="EM38" s="4274"/>
      <c r="EN38" s="4274"/>
      <c r="EO38" s="4274"/>
      <c r="EP38" s="4274"/>
      <c r="EQ38" s="4274"/>
      <c r="ER38" s="4274"/>
      <c r="ES38" s="4274"/>
      <c r="ET38" s="4274" t="s">
        <v>321</v>
      </c>
      <c r="EU38" s="4274"/>
      <c r="EV38" s="4274"/>
      <c r="EW38" s="4274"/>
      <c r="EX38" s="4274"/>
      <c r="EY38" s="4274"/>
      <c r="EZ38" s="4274"/>
      <c r="FA38" s="4274"/>
      <c r="FB38" s="4274" t="s">
        <v>321</v>
      </c>
      <c r="FC38" s="4274"/>
      <c r="FD38" s="4274"/>
      <c r="FE38" s="4274"/>
      <c r="FF38" s="4274"/>
      <c r="FG38" s="4274"/>
      <c r="FH38" s="4274"/>
      <c r="FI38" s="4274"/>
      <c r="FJ38" s="4274" t="s">
        <v>321</v>
      </c>
      <c r="FK38" s="4274"/>
      <c r="FL38" s="4274"/>
      <c r="FM38" s="4274"/>
      <c r="FN38" s="4274"/>
      <c r="FO38" s="4274"/>
      <c r="FP38" s="4274"/>
      <c r="FQ38" s="4274"/>
      <c r="FR38" s="4274" t="s">
        <v>321</v>
      </c>
      <c r="FS38" s="4274"/>
      <c r="FT38" s="4274"/>
      <c r="FU38" s="4274"/>
      <c r="FV38" s="4274"/>
      <c r="FW38" s="4274"/>
      <c r="FX38" s="4274"/>
      <c r="FY38" s="4274"/>
      <c r="FZ38" s="4274" t="s">
        <v>321</v>
      </c>
      <c r="GA38" s="4274"/>
      <c r="GB38" s="4274"/>
      <c r="GC38" s="4274"/>
      <c r="GD38" s="4274"/>
      <c r="GE38" s="4274"/>
      <c r="GF38" s="4274"/>
      <c r="GG38" s="4274"/>
      <c r="GH38" s="4274"/>
      <c r="GI38" s="4274"/>
      <c r="GO38" s="1073"/>
    </row>
    <row r="39" spans="1:197" ht="14.65" customHeight="1">
      <c r="Q39" s="311"/>
      <c r="R39" s="311"/>
      <c r="S39" s="4425" t="s">
        <v>92</v>
      </c>
      <c r="T39" s="4373" t="s">
        <v>446</v>
      </c>
      <c r="U39" s="237"/>
      <c r="V39" s="4426" t="s">
        <v>447</v>
      </c>
      <c r="W39" s="4427"/>
      <c r="X39" s="4427"/>
      <c r="Y39" s="4427"/>
      <c r="Z39" s="4427"/>
      <c r="AA39" s="4427"/>
      <c r="AB39" s="4428"/>
      <c r="AC39" s="4429" t="s">
        <v>448</v>
      </c>
      <c r="AD39" s="4426" t="s">
        <v>447</v>
      </c>
      <c r="AE39" s="4427"/>
      <c r="AF39" s="4427"/>
      <c r="AG39" s="4427"/>
      <c r="AH39" s="4427"/>
      <c r="AI39" s="4427"/>
      <c r="AJ39" s="4428"/>
      <c r="AK39" s="4429" t="s">
        <v>449</v>
      </c>
      <c r="AL39" s="4426" t="s">
        <v>447</v>
      </c>
      <c r="AM39" s="4427"/>
      <c r="AN39" s="4427"/>
      <c r="AO39" s="4427"/>
      <c r="AP39" s="4427"/>
      <c r="AQ39" s="4427"/>
      <c r="AR39" s="4428"/>
      <c r="AS39" s="4429" t="s">
        <v>448</v>
      </c>
      <c r="AT39" s="4426" t="s">
        <v>447</v>
      </c>
      <c r="AU39" s="4427"/>
      <c r="AV39" s="4427"/>
      <c r="AW39" s="4427"/>
      <c r="AX39" s="4427"/>
      <c r="AY39" s="4427"/>
      <c r="AZ39" s="4428"/>
      <c r="BA39" s="4429" t="s">
        <v>448</v>
      </c>
      <c r="BB39" s="4426" t="s">
        <v>447</v>
      </c>
      <c r="BC39" s="4427"/>
      <c r="BD39" s="4427"/>
      <c r="BE39" s="4427"/>
      <c r="BF39" s="4427"/>
      <c r="BG39" s="4427"/>
      <c r="BH39" s="4428"/>
      <c r="BI39" s="4429" t="s">
        <v>448</v>
      </c>
      <c r="BJ39" s="4426" t="s">
        <v>447</v>
      </c>
      <c r="BK39" s="4427"/>
      <c r="BL39" s="4427"/>
      <c r="BM39" s="4427"/>
      <c r="BN39" s="4427"/>
      <c r="BO39" s="4427"/>
      <c r="BP39" s="4428"/>
      <c r="BQ39" s="4429" t="s">
        <v>448</v>
      </c>
      <c r="BR39" s="4426" t="s">
        <v>447</v>
      </c>
      <c r="BS39" s="4427"/>
      <c r="BT39" s="4427"/>
      <c r="BU39" s="4427"/>
      <c r="BV39" s="4427"/>
      <c r="BW39" s="4427"/>
      <c r="BX39" s="4428"/>
      <c r="BY39" s="4429" t="s">
        <v>448</v>
      </c>
      <c r="BZ39" s="4426" t="s">
        <v>447</v>
      </c>
      <c r="CA39" s="4427"/>
      <c r="CB39" s="4427"/>
      <c r="CC39" s="4427"/>
      <c r="CD39" s="4427"/>
      <c r="CE39" s="4427"/>
      <c r="CF39" s="4428"/>
      <c r="CG39" s="4429" t="s">
        <v>448</v>
      </c>
      <c r="CH39" s="4426" t="s">
        <v>447</v>
      </c>
      <c r="CI39" s="4427"/>
      <c r="CJ39" s="4427"/>
      <c r="CK39" s="4427"/>
      <c r="CL39" s="4427"/>
      <c r="CM39" s="4427"/>
      <c r="CN39" s="4428"/>
      <c r="CO39" s="4429" t="s">
        <v>448</v>
      </c>
      <c r="CP39" s="4426" t="s">
        <v>447</v>
      </c>
      <c r="CQ39" s="4427"/>
      <c r="CR39" s="4427"/>
      <c r="CS39" s="4427"/>
      <c r="CT39" s="4427"/>
      <c r="CU39" s="4427"/>
      <c r="CV39" s="4428"/>
      <c r="CW39" s="4429" t="s">
        <v>448</v>
      </c>
      <c r="CX39" s="4426" t="s">
        <v>447</v>
      </c>
      <c r="CY39" s="4427"/>
      <c r="CZ39" s="4427"/>
      <c r="DA39" s="4427"/>
      <c r="DB39" s="4427"/>
      <c r="DC39" s="4427"/>
      <c r="DD39" s="4428"/>
      <c r="DE39" s="4429" t="s">
        <v>448</v>
      </c>
      <c r="DF39" s="4426" t="s">
        <v>447</v>
      </c>
      <c r="DG39" s="4427"/>
      <c r="DH39" s="4427"/>
      <c r="DI39" s="4427"/>
      <c r="DJ39" s="4427"/>
      <c r="DK39" s="4427"/>
      <c r="DL39" s="4428"/>
      <c r="DM39" s="4429" t="s">
        <v>448</v>
      </c>
      <c r="DN39" s="4426" t="s">
        <v>447</v>
      </c>
      <c r="DO39" s="4427"/>
      <c r="DP39" s="4427"/>
      <c r="DQ39" s="4427"/>
      <c r="DR39" s="4427"/>
      <c r="DS39" s="4427"/>
      <c r="DT39" s="4428"/>
      <c r="DU39" s="4429" t="s">
        <v>448</v>
      </c>
      <c r="DV39" s="4426" t="s">
        <v>447</v>
      </c>
      <c r="DW39" s="4427"/>
      <c r="DX39" s="4427"/>
      <c r="DY39" s="4427"/>
      <c r="DZ39" s="4427"/>
      <c r="EA39" s="4427"/>
      <c r="EB39" s="4428"/>
      <c r="EC39" s="4429" t="s">
        <v>448</v>
      </c>
      <c r="ED39" s="4426" t="s">
        <v>447</v>
      </c>
      <c r="EE39" s="4427"/>
      <c r="EF39" s="4427"/>
      <c r="EG39" s="4427"/>
      <c r="EH39" s="4427"/>
      <c r="EI39" s="4427"/>
      <c r="EJ39" s="4428"/>
      <c r="EK39" s="4429" t="s">
        <v>448</v>
      </c>
      <c r="EL39" s="4426" t="s">
        <v>447</v>
      </c>
      <c r="EM39" s="4427"/>
      <c r="EN39" s="4427"/>
      <c r="EO39" s="4427"/>
      <c r="EP39" s="4427"/>
      <c r="EQ39" s="4427"/>
      <c r="ER39" s="4428"/>
      <c r="ES39" s="4429" t="s">
        <v>448</v>
      </c>
      <c r="ET39" s="4426" t="s">
        <v>447</v>
      </c>
      <c r="EU39" s="4427"/>
      <c r="EV39" s="4427"/>
      <c r="EW39" s="4427"/>
      <c r="EX39" s="4427"/>
      <c r="EY39" s="4427"/>
      <c r="EZ39" s="4428"/>
      <c r="FA39" s="4429" t="s">
        <v>448</v>
      </c>
      <c r="FB39" s="4426" t="s">
        <v>447</v>
      </c>
      <c r="FC39" s="4427"/>
      <c r="FD39" s="4427"/>
      <c r="FE39" s="4427"/>
      <c r="FF39" s="4427"/>
      <c r="FG39" s="4427"/>
      <c r="FH39" s="4428"/>
      <c r="FI39" s="4429" t="s">
        <v>448</v>
      </c>
      <c r="FJ39" s="4426" t="s">
        <v>447</v>
      </c>
      <c r="FK39" s="4427"/>
      <c r="FL39" s="4427"/>
      <c r="FM39" s="4427"/>
      <c r="FN39" s="4427"/>
      <c r="FO39" s="4427"/>
      <c r="FP39" s="4428"/>
      <c r="FQ39" s="4429" t="s">
        <v>448</v>
      </c>
      <c r="FR39" s="4426" t="s">
        <v>447</v>
      </c>
      <c r="FS39" s="4427"/>
      <c r="FT39" s="4427"/>
      <c r="FU39" s="4427"/>
      <c r="FV39" s="4427"/>
      <c r="FW39" s="4427"/>
      <c r="FX39" s="4428"/>
      <c r="FY39" s="4429" t="s">
        <v>448</v>
      </c>
      <c r="FZ39" s="4426" t="s">
        <v>447</v>
      </c>
      <c r="GA39" s="4427"/>
      <c r="GB39" s="4427"/>
      <c r="GC39" s="4427"/>
      <c r="GD39" s="4427"/>
      <c r="GE39" s="4427"/>
      <c r="GF39" s="4428"/>
      <c r="GG39" s="4429" t="s">
        <v>448</v>
      </c>
      <c r="GH39" s="4432" t="s">
        <v>450</v>
      </c>
      <c r="GI39" s="4274"/>
      <c r="GO39" s="1073">
        <v>14</v>
      </c>
    </row>
    <row r="40" spans="1:197" ht="35.65" customHeight="1">
      <c r="Q40" s="311"/>
      <c r="R40" s="311"/>
      <c r="S40" s="4425"/>
      <c r="T40" s="4373"/>
      <c r="U40" s="953"/>
      <c r="V40" s="4345" t="s">
        <v>451</v>
      </c>
      <c r="W40" s="4421" t="s">
        <v>452</v>
      </c>
      <c r="X40" s="4256" t="s">
        <v>453</v>
      </c>
      <c r="Y40" s="4255"/>
      <c r="Z40" s="4256" t="s">
        <v>466</v>
      </c>
      <c r="AA40" s="4261"/>
      <c r="AB40" s="4255"/>
      <c r="AC40" s="4430"/>
      <c r="AD40" s="4345" t="s">
        <v>451</v>
      </c>
      <c r="AE40" s="4421" t="s">
        <v>452</v>
      </c>
      <c r="AF40" s="4256" t="s">
        <v>453</v>
      </c>
      <c r="AG40" s="4255"/>
      <c r="AH40" s="4256" t="s">
        <v>454</v>
      </c>
      <c r="AI40" s="4261"/>
      <c r="AJ40" s="4255"/>
      <c r="AK40" s="4430"/>
      <c r="AL40" s="4345" t="s">
        <v>451</v>
      </c>
      <c r="AM40" s="4421" t="s">
        <v>452</v>
      </c>
      <c r="AN40" s="4256" t="s">
        <v>453</v>
      </c>
      <c r="AO40" s="4255"/>
      <c r="AP40" s="4256" t="s">
        <v>466</v>
      </c>
      <c r="AQ40" s="4261"/>
      <c r="AR40" s="4255"/>
      <c r="AS40" s="4430"/>
      <c r="AT40" s="4345" t="s">
        <v>451</v>
      </c>
      <c r="AU40" s="4421" t="s">
        <v>452</v>
      </c>
      <c r="AV40" s="4256" t="s">
        <v>453</v>
      </c>
      <c r="AW40" s="4255"/>
      <c r="AX40" s="4256" t="s">
        <v>466</v>
      </c>
      <c r="AY40" s="4261"/>
      <c r="AZ40" s="4255"/>
      <c r="BA40" s="4430"/>
      <c r="BB40" s="4345" t="s">
        <v>451</v>
      </c>
      <c r="BC40" s="4421" t="s">
        <v>452</v>
      </c>
      <c r="BD40" s="4256" t="s">
        <v>453</v>
      </c>
      <c r="BE40" s="4255"/>
      <c r="BF40" s="4256" t="s">
        <v>466</v>
      </c>
      <c r="BG40" s="4261"/>
      <c r="BH40" s="4255"/>
      <c r="BI40" s="4430"/>
      <c r="BJ40" s="4345" t="s">
        <v>451</v>
      </c>
      <c r="BK40" s="4421" t="s">
        <v>452</v>
      </c>
      <c r="BL40" s="4256" t="s">
        <v>453</v>
      </c>
      <c r="BM40" s="4255"/>
      <c r="BN40" s="4256" t="s">
        <v>466</v>
      </c>
      <c r="BO40" s="4261"/>
      <c r="BP40" s="4255"/>
      <c r="BQ40" s="4430"/>
      <c r="BR40" s="4345" t="s">
        <v>451</v>
      </c>
      <c r="BS40" s="4421" t="s">
        <v>452</v>
      </c>
      <c r="BT40" s="4256" t="s">
        <v>453</v>
      </c>
      <c r="BU40" s="4255"/>
      <c r="BV40" s="4256" t="s">
        <v>466</v>
      </c>
      <c r="BW40" s="4261"/>
      <c r="BX40" s="4255"/>
      <c r="BY40" s="4430"/>
      <c r="BZ40" s="4345" t="s">
        <v>451</v>
      </c>
      <c r="CA40" s="4421" t="s">
        <v>452</v>
      </c>
      <c r="CB40" s="4256" t="s">
        <v>453</v>
      </c>
      <c r="CC40" s="4255"/>
      <c r="CD40" s="4256" t="s">
        <v>466</v>
      </c>
      <c r="CE40" s="4261"/>
      <c r="CF40" s="4255"/>
      <c r="CG40" s="4430"/>
      <c r="CH40" s="4345" t="s">
        <v>451</v>
      </c>
      <c r="CI40" s="4421" t="s">
        <v>452</v>
      </c>
      <c r="CJ40" s="4256" t="s">
        <v>453</v>
      </c>
      <c r="CK40" s="4255"/>
      <c r="CL40" s="4256" t="s">
        <v>466</v>
      </c>
      <c r="CM40" s="4261"/>
      <c r="CN40" s="4255"/>
      <c r="CO40" s="4430"/>
      <c r="CP40" s="4345" t="s">
        <v>451</v>
      </c>
      <c r="CQ40" s="4421" t="s">
        <v>452</v>
      </c>
      <c r="CR40" s="4256" t="s">
        <v>453</v>
      </c>
      <c r="CS40" s="4255"/>
      <c r="CT40" s="4256" t="s">
        <v>466</v>
      </c>
      <c r="CU40" s="4261"/>
      <c r="CV40" s="4255"/>
      <c r="CW40" s="4430"/>
      <c r="CX40" s="4345" t="s">
        <v>451</v>
      </c>
      <c r="CY40" s="4421" t="s">
        <v>452</v>
      </c>
      <c r="CZ40" s="4256" t="s">
        <v>453</v>
      </c>
      <c r="DA40" s="4255"/>
      <c r="DB40" s="4256" t="s">
        <v>466</v>
      </c>
      <c r="DC40" s="4261"/>
      <c r="DD40" s="4255"/>
      <c r="DE40" s="4430"/>
      <c r="DF40" s="4345" t="s">
        <v>451</v>
      </c>
      <c r="DG40" s="4421" t="s">
        <v>452</v>
      </c>
      <c r="DH40" s="4256" t="s">
        <v>453</v>
      </c>
      <c r="DI40" s="4255"/>
      <c r="DJ40" s="4256" t="s">
        <v>466</v>
      </c>
      <c r="DK40" s="4261"/>
      <c r="DL40" s="4255"/>
      <c r="DM40" s="4430"/>
      <c r="DN40" s="4345" t="s">
        <v>451</v>
      </c>
      <c r="DO40" s="4421" t="s">
        <v>452</v>
      </c>
      <c r="DP40" s="4256" t="s">
        <v>453</v>
      </c>
      <c r="DQ40" s="4255"/>
      <c r="DR40" s="4256" t="s">
        <v>466</v>
      </c>
      <c r="DS40" s="4261"/>
      <c r="DT40" s="4255"/>
      <c r="DU40" s="4430"/>
      <c r="DV40" s="4345" t="s">
        <v>451</v>
      </c>
      <c r="DW40" s="4421" t="s">
        <v>452</v>
      </c>
      <c r="DX40" s="4256" t="s">
        <v>453</v>
      </c>
      <c r="DY40" s="4255"/>
      <c r="DZ40" s="4256" t="s">
        <v>466</v>
      </c>
      <c r="EA40" s="4261"/>
      <c r="EB40" s="4255"/>
      <c r="EC40" s="4430"/>
      <c r="ED40" s="4345" t="s">
        <v>451</v>
      </c>
      <c r="EE40" s="4421" t="s">
        <v>452</v>
      </c>
      <c r="EF40" s="4256" t="s">
        <v>453</v>
      </c>
      <c r="EG40" s="4255"/>
      <c r="EH40" s="4256" t="s">
        <v>466</v>
      </c>
      <c r="EI40" s="4261"/>
      <c r="EJ40" s="4255"/>
      <c r="EK40" s="4430"/>
      <c r="EL40" s="4345" t="s">
        <v>451</v>
      </c>
      <c r="EM40" s="4421" t="s">
        <v>452</v>
      </c>
      <c r="EN40" s="4256" t="s">
        <v>453</v>
      </c>
      <c r="EO40" s="4255"/>
      <c r="EP40" s="4256" t="s">
        <v>466</v>
      </c>
      <c r="EQ40" s="4261"/>
      <c r="ER40" s="4255"/>
      <c r="ES40" s="4430"/>
      <c r="ET40" s="4345" t="s">
        <v>451</v>
      </c>
      <c r="EU40" s="4421" t="s">
        <v>452</v>
      </c>
      <c r="EV40" s="4256" t="s">
        <v>453</v>
      </c>
      <c r="EW40" s="4255"/>
      <c r="EX40" s="4256" t="s">
        <v>466</v>
      </c>
      <c r="EY40" s="4261"/>
      <c r="EZ40" s="4255"/>
      <c r="FA40" s="4430"/>
      <c r="FB40" s="4345" t="s">
        <v>451</v>
      </c>
      <c r="FC40" s="4421" t="s">
        <v>452</v>
      </c>
      <c r="FD40" s="4256" t="s">
        <v>453</v>
      </c>
      <c r="FE40" s="4255"/>
      <c r="FF40" s="4256" t="s">
        <v>466</v>
      </c>
      <c r="FG40" s="4261"/>
      <c r="FH40" s="4255"/>
      <c r="FI40" s="4430"/>
      <c r="FJ40" s="4345" t="s">
        <v>451</v>
      </c>
      <c r="FK40" s="4421" t="s">
        <v>452</v>
      </c>
      <c r="FL40" s="4256" t="s">
        <v>453</v>
      </c>
      <c r="FM40" s="4255"/>
      <c r="FN40" s="4256" t="s">
        <v>466</v>
      </c>
      <c r="FO40" s="4261"/>
      <c r="FP40" s="4255"/>
      <c r="FQ40" s="4430"/>
      <c r="FR40" s="4345" t="s">
        <v>451</v>
      </c>
      <c r="FS40" s="4421" t="s">
        <v>452</v>
      </c>
      <c r="FT40" s="4256" t="s">
        <v>453</v>
      </c>
      <c r="FU40" s="4255"/>
      <c r="FV40" s="4256" t="s">
        <v>466</v>
      </c>
      <c r="FW40" s="4261"/>
      <c r="FX40" s="4255"/>
      <c r="FY40" s="4430"/>
      <c r="FZ40" s="4345" t="s">
        <v>451</v>
      </c>
      <c r="GA40" s="4421" t="s">
        <v>452</v>
      </c>
      <c r="GB40" s="4256" t="s">
        <v>453</v>
      </c>
      <c r="GC40" s="4255"/>
      <c r="GD40" s="4256" t="s">
        <v>466</v>
      </c>
      <c r="GE40" s="4261"/>
      <c r="GF40" s="4255"/>
      <c r="GG40" s="4430"/>
      <c r="GH40" s="4433"/>
      <c r="GI40" s="4274"/>
      <c r="GO40" s="1073">
        <v>34</v>
      </c>
    </row>
    <row r="41" spans="1:197" ht="35.65"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Q41" s="311"/>
      <c r="R41" s="311"/>
      <c r="S41" s="4425"/>
      <c r="T41" s="4373"/>
      <c r="U41" s="238"/>
      <c r="V41" s="4398"/>
      <c r="W41" s="4422"/>
      <c r="X41" s="1140" t="s">
        <v>462</v>
      </c>
      <c r="Y41" s="1140" t="s">
        <v>463</v>
      </c>
      <c r="Z41" s="1256" t="s">
        <v>464</v>
      </c>
      <c r="AA41" s="4378" t="s">
        <v>465</v>
      </c>
      <c r="AB41" s="4392"/>
      <c r="AC41" s="4431"/>
      <c r="AD41" s="4398"/>
      <c r="AE41" s="4422"/>
      <c r="AF41" s="1140" t="s">
        <v>462</v>
      </c>
      <c r="AG41" s="1140" t="s">
        <v>463</v>
      </c>
      <c r="AH41" s="1256" t="s">
        <v>464</v>
      </c>
      <c r="AI41" s="4378" t="s">
        <v>465</v>
      </c>
      <c r="AJ41" s="4392"/>
      <c r="AK41" s="4431"/>
      <c r="AL41" s="4398"/>
      <c r="AM41" s="4422"/>
      <c r="AN41" s="2525" t="s">
        <v>462</v>
      </c>
      <c r="AO41" s="2525" t="s">
        <v>463</v>
      </c>
      <c r="AP41" s="2525" t="s">
        <v>464</v>
      </c>
      <c r="AQ41" s="4378" t="s">
        <v>465</v>
      </c>
      <c r="AR41" s="4392"/>
      <c r="AS41" s="4431"/>
      <c r="AT41" s="4398"/>
      <c r="AU41" s="4422"/>
      <c r="AV41" s="2525" t="s">
        <v>462</v>
      </c>
      <c r="AW41" s="2525" t="s">
        <v>463</v>
      </c>
      <c r="AX41" s="2525" t="s">
        <v>464</v>
      </c>
      <c r="AY41" s="4378" t="s">
        <v>465</v>
      </c>
      <c r="AZ41" s="4392"/>
      <c r="BA41" s="4431"/>
      <c r="BB41" s="4398"/>
      <c r="BC41" s="4422"/>
      <c r="BD41" s="2525" t="s">
        <v>462</v>
      </c>
      <c r="BE41" s="2525" t="s">
        <v>463</v>
      </c>
      <c r="BF41" s="2525" t="s">
        <v>464</v>
      </c>
      <c r="BG41" s="4378" t="s">
        <v>465</v>
      </c>
      <c r="BH41" s="4392"/>
      <c r="BI41" s="4431"/>
      <c r="BJ41" s="4398"/>
      <c r="BK41" s="4422"/>
      <c r="BL41" s="2525" t="s">
        <v>462</v>
      </c>
      <c r="BM41" s="2525" t="s">
        <v>463</v>
      </c>
      <c r="BN41" s="2525" t="s">
        <v>464</v>
      </c>
      <c r="BO41" s="4378" t="s">
        <v>465</v>
      </c>
      <c r="BP41" s="4392"/>
      <c r="BQ41" s="4431"/>
      <c r="BR41" s="4398"/>
      <c r="BS41" s="4422"/>
      <c r="BT41" s="2525" t="s">
        <v>462</v>
      </c>
      <c r="BU41" s="2525" t="s">
        <v>463</v>
      </c>
      <c r="BV41" s="2525" t="s">
        <v>464</v>
      </c>
      <c r="BW41" s="4378" t="s">
        <v>465</v>
      </c>
      <c r="BX41" s="4392"/>
      <c r="BY41" s="4431"/>
      <c r="BZ41" s="4398"/>
      <c r="CA41" s="4422"/>
      <c r="CB41" s="2525" t="s">
        <v>462</v>
      </c>
      <c r="CC41" s="2525" t="s">
        <v>463</v>
      </c>
      <c r="CD41" s="2525" t="s">
        <v>464</v>
      </c>
      <c r="CE41" s="4378" t="s">
        <v>465</v>
      </c>
      <c r="CF41" s="4392"/>
      <c r="CG41" s="4431"/>
      <c r="CH41" s="4398"/>
      <c r="CI41" s="4422"/>
      <c r="CJ41" s="2525" t="s">
        <v>462</v>
      </c>
      <c r="CK41" s="2525" t="s">
        <v>463</v>
      </c>
      <c r="CL41" s="2525" t="s">
        <v>464</v>
      </c>
      <c r="CM41" s="4378" t="s">
        <v>465</v>
      </c>
      <c r="CN41" s="4392"/>
      <c r="CO41" s="4431"/>
      <c r="CP41" s="4398"/>
      <c r="CQ41" s="4422"/>
      <c r="CR41" s="2525" t="s">
        <v>462</v>
      </c>
      <c r="CS41" s="2525" t="s">
        <v>463</v>
      </c>
      <c r="CT41" s="2525" t="s">
        <v>464</v>
      </c>
      <c r="CU41" s="4378" t="s">
        <v>465</v>
      </c>
      <c r="CV41" s="4392"/>
      <c r="CW41" s="4431"/>
      <c r="CX41" s="4398"/>
      <c r="CY41" s="4422"/>
      <c r="CZ41" s="2525" t="s">
        <v>462</v>
      </c>
      <c r="DA41" s="2525" t="s">
        <v>463</v>
      </c>
      <c r="DB41" s="2525" t="s">
        <v>464</v>
      </c>
      <c r="DC41" s="4378" t="s">
        <v>465</v>
      </c>
      <c r="DD41" s="4392"/>
      <c r="DE41" s="4431"/>
      <c r="DF41" s="4398"/>
      <c r="DG41" s="4422"/>
      <c r="DH41" s="2525" t="s">
        <v>462</v>
      </c>
      <c r="DI41" s="2525" t="s">
        <v>463</v>
      </c>
      <c r="DJ41" s="2525" t="s">
        <v>464</v>
      </c>
      <c r="DK41" s="4378" t="s">
        <v>465</v>
      </c>
      <c r="DL41" s="4392"/>
      <c r="DM41" s="4431"/>
      <c r="DN41" s="4398"/>
      <c r="DO41" s="4422"/>
      <c r="DP41" s="2525" t="s">
        <v>462</v>
      </c>
      <c r="DQ41" s="2525" t="s">
        <v>463</v>
      </c>
      <c r="DR41" s="2525" t="s">
        <v>464</v>
      </c>
      <c r="DS41" s="4378" t="s">
        <v>465</v>
      </c>
      <c r="DT41" s="4392"/>
      <c r="DU41" s="4431"/>
      <c r="DV41" s="4398"/>
      <c r="DW41" s="4422"/>
      <c r="DX41" s="2525" t="s">
        <v>462</v>
      </c>
      <c r="DY41" s="2525" t="s">
        <v>463</v>
      </c>
      <c r="DZ41" s="2525" t="s">
        <v>464</v>
      </c>
      <c r="EA41" s="4378" t="s">
        <v>465</v>
      </c>
      <c r="EB41" s="4392"/>
      <c r="EC41" s="4431"/>
      <c r="ED41" s="4398"/>
      <c r="EE41" s="4422"/>
      <c r="EF41" s="2525" t="s">
        <v>462</v>
      </c>
      <c r="EG41" s="2525" t="s">
        <v>463</v>
      </c>
      <c r="EH41" s="2525" t="s">
        <v>464</v>
      </c>
      <c r="EI41" s="4378" t="s">
        <v>465</v>
      </c>
      <c r="EJ41" s="4392"/>
      <c r="EK41" s="4431"/>
      <c r="EL41" s="4398"/>
      <c r="EM41" s="4422"/>
      <c r="EN41" s="2525" t="s">
        <v>462</v>
      </c>
      <c r="EO41" s="2525" t="s">
        <v>463</v>
      </c>
      <c r="EP41" s="2525" t="s">
        <v>464</v>
      </c>
      <c r="EQ41" s="4378" t="s">
        <v>465</v>
      </c>
      <c r="ER41" s="4392"/>
      <c r="ES41" s="4431"/>
      <c r="ET41" s="4398"/>
      <c r="EU41" s="4422"/>
      <c r="EV41" s="2525" t="s">
        <v>462</v>
      </c>
      <c r="EW41" s="2525" t="s">
        <v>463</v>
      </c>
      <c r="EX41" s="2525" t="s">
        <v>464</v>
      </c>
      <c r="EY41" s="4378" t="s">
        <v>465</v>
      </c>
      <c r="EZ41" s="4392"/>
      <c r="FA41" s="4431"/>
      <c r="FB41" s="4398"/>
      <c r="FC41" s="4422"/>
      <c r="FD41" s="2525" t="s">
        <v>462</v>
      </c>
      <c r="FE41" s="2525" t="s">
        <v>463</v>
      </c>
      <c r="FF41" s="2525" t="s">
        <v>464</v>
      </c>
      <c r="FG41" s="4378" t="s">
        <v>465</v>
      </c>
      <c r="FH41" s="4392"/>
      <c r="FI41" s="4431"/>
      <c r="FJ41" s="4398"/>
      <c r="FK41" s="4422"/>
      <c r="FL41" s="2525" t="s">
        <v>462</v>
      </c>
      <c r="FM41" s="2525" t="s">
        <v>463</v>
      </c>
      <c r="FN41" s="2525" t="s">
        <v>464</v>
      </c>
      <c r="FO41" s="4378" t="s">
        <v>465</v>
      </c>
      <c r="FP41" s="4392"/>
      <c r="FQ41" s="4431"/>
      <c r="FR41" s="4398"/>
      <c r="FS41" s="4422"/>
      <c r="FT41" s="2525" t="s">
        <v>462</v>
      </c>
      <c r="FU41" s="2525" t="s">
        <v>463</v>
      </c>
      <c r="FV41" s="2525" t="s">
        <v>464</v>
      </c>
      <c r="FW41" s="4378" t="s">
        <v>465</v>
      </c>
      <c r="FX41" s="4392"/>
      <c r="FY41" s="4431"/>
      <c r="FZ41" s="4398"/>
      <c r="GA41" s="4422"/>
      <c r="GB41" s="2525" t="s">
        <v>462</v>
      </c>
      <c r="GC41" s="2525" t="s">
        <v>463</v>
      </c>
      <c r="GD41" s="2525" t="s">
        <v>464</v>
      </c>
      <c r="GE41" s="4378" t="s">
        <v>465</v>
      </c>
      <c r="GF41" s="4392"/>
      <c r="GG41" s="4431"/>
      <c r="GH41" s="4434"/>
      <c r="GI41" s="4274"/>
      <c r="GO41" s="1073">
        <v>34</v>
      </c>
    </row>
    <row r="42" spans="1:197"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4423">
        <f ca="1">OFFSET(AA42,0,-1)+1</f>
        <v>4</v>
      </c>
      <c r="AB42" s="4423"/>
      <c r="AC42" s="1253">
        <f ca="1">OFFSET(AC42,0,-2)+1</f>
        <v>5</v>
      </c>
      <c r="AD42" s="1253">
        <f ca="1">OFFSET(AD42,0,-1)+1</f>
        <v>6</v>
      </c>
      <c r="AE42" s="1253"/>
      <c r="AF42" s="1253">
        <f ca="1">OFFSET(AF42,0,-1)+1</f>
        <v>1</v>
      </c>
      <c r="AG42" s="1253">
        <f ca="1">OFFSET(AG42,0,-1)+1</f>
        <v>2</v>
      </c>
      <c r="AH42" s="1253">
        <f ca="1">OFFSET(AH42,0,-1)+1</f>
        <v>3</v>
      </c>
      <c r="AI42" s="4423">
        <f ca="1">OFFSET(AI42,0,-1)+1</f>
        <v>4</v>
      </c>
      <c r="AJ42" s="4423"/>
      <c r="AK42" s="1253">
        <f ca="1">OFFSET(AK42,0,-2)+1</f>
        <v>5</v>
      </c>
      <c r="AL42" s="2527">
        <f ca="1">OFFSET(AL42,0,-1)+1</f>
        <v>6</v>
      </c>
      <c r="AM42" s="2527"/>
      <c r="AN42" s="2527">
        <f ca="1">OFFSET(AN42,0,-1)+1</f>
        <v>1</v>
      </c>
      <c r="AO42" s="2527">
        <f ca="1">OFFSET(AO42,0,-1)+1</f>
        <v>2</v>
      </c>
      <c r="AP42" s="2527">
        <f ca="1">OFFSET(AP42,0,-1)+1</f>
        <v>3</v>
      </c>
      <c r="AQ42" s="4423">
        <f ca="1">OFFSET(AQ42,0,-1)+1</f>
        <v>4</v>
      </c>
      <c r="AR42" s="4423"/>
      <c r="AS42" s="2527">
        <f ca="1">OFFSET(AS42,0,-2)+1</f>
        <v>5</v>
      </c>
      <c r="AT42" s="2527">
        <f ca="1">OFFSET(AT42,0,-1)+1</f>
        <v>6</v>
      </c>
      <c r="AU42" s="2527"/>
      <c r="AV42" s="2527">
        <f ca="1">OFFSET(AV42,0,-1)+1</f>
        <v>1</v>
      </c>
      <c r="AW42" s="2527">
        <f ca="1">OFFSET(AW42,0,-1)+1</f>
        <v>2</v>
      </c>
      <c r="AX42" s="2527">
        <f ca="1">OFFSET(AX42,0,-1)+1</f>
        <v>3</v>
      </c>
      <c r="AY42" s="4423">
        <f ca="1">OFFSET(AY42,0,-1)+1</f>
        <v>4</v>
      </c>
      <c r="AZ42" s="4423"/>
      <c r="BA42" s="2527">
        <f ca="1">OFFSET(BA42,0,-2)+1</f>
        <v>5</v>
      </c>
      <c r="BB42" s="2527">
        <f ca="1">OFFSET(BB42,0,-1)+1</f>
        <v>6</v>
      </c>
      <c r="BC42" s="2527"/>
      <c r="BD42" s="2527">
        <f ca="1">OFFSET(BD42,0,-1)+1</f>
        <v>1</v>
      </c>
      <c r="BE42" s="2527">
        <f ca="1">OFFSET(BE42,0,-1)+1</f>
        <v>2</v>
      </c>
      <c r="BF42" s="2527">
        <f ca="1">OFFSET(BF42,0,-1)+1</f>
        <v>3</v>
      </c>
      <c r="BG42" s="4423">
        <f ca="1">OFFSET(BG42,0,-1)+1</f>
        <v>4</v>
      </c>
      <c r="BH42" s="4423"/>
      <c r="BI42" s="2527">
        <f ca="1">OFFSET(BI42,0,-2)+1</f>
        <v>5</v>
      </c>
      <c r="BJ42" s="2527">
        <f ca="1">OFFSET(BJ42,0,-1)+1</f>
        <v>6</v>
      </c>
      <c r="BK42" s="2527"/>
      <c r="BL42" s="2527">
        <f ca="1">OFFSET(BL42,0,-1)+1</f>
        <v>1</v>
      </c>
      <c r="BM42" s="2527">
        <f ca="1">OFFSET(BM42,0,-1)+1</f>
        <v>2</v>
      </c>
      <c r="BN42" s="2527">
        <f ca="1">OFFSET(BN42,0,-1)+1</f>
        <v>3</v>
      </c>
      <c r="BO42" s="4423">
        <f ca="1">OFFSET(BO42,0,-1)+1</f>
        <v>4</v>
      </c>
      <c r="BP42" s="4423"/>
      <c r="BQ42" s="2527">
        <f ca="1">OFFSET(BQ42,0,-2)+1</f>
        <v>5</v>
      </c>
      <c r="BR42" s="2527">
        <f ca="1">OFFSET(BR42,0,-1)+1</f>
        <v>6</v>
      </c>
      <c r="BS42" s="2527"/>
      <c r="BT42" s="2527">
        <f ca="1">OFFSET(BT42,0,-1)+1</f>
        <v>1</v>
      </c>
      <c r="BU42" s="2527">
        <f ca="1">OFFSET(BU42,0,-1)+1</f>
        <v>2</v>
      </c>
      <c r="BV42" s="2527">
        <f ca="1">OFFSET(BV42,0,-1)+1</f>
        <v>3</v>
      </c>
      <c r="BW42" s="4423">
        <f ca="1">OFFSET(BW42,0,-1)+1</f>
        <v>4</v>
      </c>
      <c r="BX42" s="4423"/>
      <c r="BY42" s="2527">
        <f ca="1">OFFSET(BY42,0,-2)+1</f>
        <v>5</v>
      </c>
      <c r="BZ42" s="2527">
        <f ca="1">OFFSET(BZ42,0,-1)+1</f>
        <v>6</v>
      </c>
      <c r="CA42" s="2527"/>
      <c r="CB42" s="2527">
        <f ca="1">OFFSET(CB42,0,-1)+1</f>
        <v>1</v>
      </c>
      <c r="CC42" s="2527">
        <f ca="1">OFFSET(CC42,0,-1)+1</f>
        <v>2</v>
      </c>
      <c r="CD42" s="2527">
        <f ca="1">OFFSET(CD42,0,-1)+1</f>
        <v>3</v>
      </c>
      <c r="CE42" s="4423">
        <f ca="1">OFFSET(CE42,0,-1)+1</f>
        <v>4</v>
      </c>
      <c r="CF42" s="4423"/>
      <c r="CG42" s="2527">
        <f ca="1">OFFSET(CG42,0,-2)+1</f>
        <v>5</v>
      </c>
      <c r="CH42" s="2527">
        <f ca="1">OFFSET(CH42,0,-1)+1</f>
        <v>6</v>
      </c>
      <c r="CI42" s="2527"/>
      <c r="CJ42" s="2527">
        <f ca="1">OFFSET(CJ42,0,-1)+1</f>
        <v>1</v>
      </c>
      <c r="CK42" s="2527">
        <f ca="1">OFFSET(CK42,0,-1)+1</f>
        <v>2</v>
      </c>
      <c r="CL42" s="2527">
        <f ca="1">OFFSET(CL42,0,-1)+1</f>
        <v>3</v>
      </c>
      <c r="CM42" s="4423">
        <f ca="1">OFFSET(CM42,0,-1)+1</f>
        <v>4</v>
      </c>
      <c r="CN42" s="4423"/>
      <c r="CO42" s="2527">
        <f ca="1">OFFSET(CO42,0,-2)+1</f>
        <v>5</v>
      </c>
      <c r="CP42" s="2527">
        <f ca="1">OFFSET(CP42,0,-1)+1</f>
        <v>6</v>
      </c>
      <c r="CQ42" s="2527"/>
      <c r="CR42" s="2527">
        <f ca="1">OFFSET(CR42,0,-1)+1</f>
        <v>1</v>
      </c>
      <c r="CS42" s="2527">
        <f ca="1">OFFSET(CS42,0,-1)+1</f>
        <v>2</v>
      </c>
      <c r="CT42" s="2527">
        <f ca="1">OFFSET(CT42,0,-1)+1</f>
        <v>3</v>
      </c>
      <c r="CU42" s="4423">
        <f ca="1">OFFSET(CU42,0,-1)+1</f>
        <v>4</v>
      </c>
      <c r="CV42" s="4423"/>
      <c r="CW42" s="2527">
        <f ca="1">OFFSET(CW42,0,-2)+1</f>
        <v>5</v>
      </c>
      <c r="CX42" s="2527">
        <f ca="1">OFFSET(CX42,0,-1)+1</f>
        <v>6</v>
      </c>
      <c r="CY42" s="2527"/>
      <c r="CZ42" s="2527">
        <f ca="1">OFFSET(CZ42,0,-1)+1</f>
        <v>1</v>
      </c>
      <c r="DA42" s="2527">
        <f ca="1">OFFSET(DA42,0,-1)+1</f>
        <v>2</v>
      </c>
      <c r="DB42" s="2527">
        <f ca="1">OFFSET(DB42,0,-1)+1</f>
        <v>3</v>
      </c>
      <c r="DC42" s="4423">
        <f ca="1">OFFSET(DC42,0,-1)+1</f>
        <v>4</v>
      </c>
      <c r="DD42" s="4423"/>
      <c r="DE42" s="2527">
        <f ca="1">OFFSET(DE42,0,-2)+1</f>
        <v>5</v>
      </c>
      <c r="DF42" s="2527">
        <f ca="1">OFFSET(DF42,0,-1)+1</f>
        <v>6</v>
      </c>
      <c r="DG42" s="2527"/>
      <c r="DH42" s="2527">
        <f ca="1">OFFSET(DH42,0,-1)+1</f>
        <v>1</v>
      </c>
      <c r="DI42" s="2527">
        <f ca="1">OFFSET(DI42,0,-1)+1</f>
        <v>2</v>
      </c>
      <c r="DJ42" s="2527">
        <f ca="1">OFFSET(DJ42,0,-1)+1</f>
        <v>3</v>
      </c>
      <c r="DK42" s="4423">
        <f ca="1">OFFSET(DK42,0,-1)+1</f>
        <v>4</v>
      </c>
      <c r="DL42" s="4423"/>
      <c r="DM42" s="2527">
        <f ca="1">OFFSET(DM42,0,-2)+1</f>
        <v>5</v>
      </c>
      <c r="DN42" s="2527">
        <f ca="1">OFFSET(DN42,0,-1)+1</f>
        <v>6</v>
      </c>
      <c r="DO42" s="2527"/>
      <c r="DP42" s="2527">
        <f ca="1">OFFSET(DP42,0,-1)+1</f>
        <v>1</v>
      </c>
      <c r="DQ42" s="2527">
        <f ca="1">OFFSET(DQ42,0,-1)+1</f>
        <v>2</v>
      </c>
      <c r="DR42" s="2527">
        <f ca="1">OFFSET(DR42,0,-1)+1</f>
        <v>3</v>
      </c>
      <c r="DS42" s="4423">
        <f ca="1">OFFSET(DS42,0,-1)+1</f>
        <v>4</v>
      </c>
      <c r="DT42" s="4423"/>
      <c r="DU42" s="2527">
        <f ca="1">OFFSET(DU42,0,-2)+1</f>
        <v>5</v>
      </c>
      <c r="DV42" s="2527">
        <f ca="1">OFFSET(DV42,0,-1)+1</f>
        <v>6</v>
      </c>
      <c r="DW42" s="2527"/>
      <c r="DX42" s="2527">
        <f ca="1">OFFSET(DX42,0,-1)+1</f>
        <v>1</v>
      </c>
      <c r="DY42" s="2527">
        <f ca="1">OFFSET(DY42,0,-1)+1</f>
        <v>2</v>
      </c>
      <c r="DZ42" s="2527">
        <f ca="1">OFFSET(DZ42,0,-1)+1</f>
        <v>3</v>
      </c>
      <c r="EA42" s="4423">
        <f ca="1">OFFSET(EA42,0,-1)+1</f>
        <v>4</v>
      </c>
      <c r="EB42" s="4423"/>
      <c r="EC42" s="2527">
        <f ca="1">OFFSET(EC42,0,-2)+1</f>
        <v>5</v>
      </c>
      <c r="ED42" s="2527">
        <f ca="1">OFFSET(ED42,0,-1)+1</f>
        <v>6</v>
      </c>
      <c r="EE42" s="2527"/>
      <c r="EF42" s="2527">
        <f ca="1">OFFSET(EF42,0,-1)+1</f>
        <v>1</v>
      </c>
      <c r="EG42" s="2527">
        <f ca="1">OFFSET(EG42,0,-1)+1</f>
        <v>2</v>
      </c>
      <c r="EH42" s="2527">
        <f ca="1">OFFSET(EH42,0,-1)+1</f>
        <v>3</v>
      </c>
      <c r="EI42" s="4423">
        <f ca="1">OFFSET(EI42,0,-1)+1</f>
        <v>4</v>
      </c>
      <c r="EJ42" s="4423"/>
      <c r="EK42" s="2527">
        <f ca="1">OFFSET(EK42,0,-2)+1</f>
        <v>5</v>
      </c>
      <c r="EL42" s="2527">
        <f ca="1">OFFSET(EL42,0,-1)+1</f>
        <v>6</v>
      </c>
      <c r="EM42" s="2527"/>
      <c r="EN42" s="2527">
        <f ca="1">OFFSET(EN42,0,-1)+1</f>
        <v>1</v>
      </c>
      <c r="EO42" s="2527">
        <f ca="1">OFFSET(EO42,0,-1)+1</f>
        <v>2</v>
      </c>
      <c r="EP42" s="2527">
        <f ca="1">OFFSET(EP42,0,-1)+1</f>
        <v>3</v>
      </c>
      <c r="EQ42" s="4423">
        <f ca="1">OFFSET(EQ42,0,-1)+1</f>
        <v>4</v>
      </c>
      <c r="ER42" s="4423"/>
      <c r="ES42" s="2527">
        <f ca="1">OFFSET(ES42,0,-2)+1</f>
        <v>5</v>
      </c>
      <c r="ET42" s="2527">
        <f ca="1">OFFSET(ET42,0,-1)+1</f>
        <v>6</v>
      </c>
      <c r="EU42" s="2527"/>
      <c r="EV42" s="2527">
        <f ca="1">OFFSET(EV42,0,-1)+1</f>
        <v>1</v>
      </c>
      <c r="EW42" s="2527">
        <f ca="1">OFFSET(EW42,0,-1)+1</f>
        <v>2</v>
      </c>
      <c r="EX42" s="2527">
        <f ca="1">OFFSET(EX42,0,-1)+1</f>
        <v>3</v>
      </c>
      <c r="EY42" s="4423">
        <f ca="1">OFFSET(EY42,0,-1)+1</f>
        <v>4</v>
      </c>
      <c r="EZ42" s="4423"/>
      <c r="FA42" s="2527">
        <f ca="1">OFFSET(FA42,0,-2)+1</f>
        <v>5</v>
      </c>
      <c r="FB42" s="2527">
        <f ca="1">OFFSET(FB42,0,-1)+1</f>
        <v>6</v>
      </c>
      <c r="FC42" s="2527"/>
      <c r="FD42" s="2527">
        <f ca="1">OFFSET(FD42,0,-1)+1</f>
        <v>1</v>
      </c>
      <c r="FE42" s="2527">
        <f ca="1">OFFSET(FE42,0,-1)+1</f>
        <v>2</v>
      </c>
      <c r="FF42" s="2527">
        <f ca="1">OFFSET(FF42,0,-1)+1</f>
        <v>3</v>
      </c>
      <c r="FG42" s="4423">
        <f ca="1">OFFSET(FG42,0,-1)+1</f>
        <v>4</v>
      </c>
      <c r="FH42" s="4423"/>
      <c r="FI42" s="2527">
        <f ca="1">OFFSET(FI42,0,-2)+1</f>
        <v>5</v>
      </c>
      <c r="FJ42" s="2527">
        <f ca="1">OFFSET(FJ42,0,-1)+1</f>
        <v>6</v>
      </c>
      <c r="FK42" s="2527"/>
      <c r="FL42" s="2527">
        <f ca="1">OFFSET(FL42,0,-1)+1</f>
        <v>1</v>
      </c>
      <c r="FM42" s="2527">
        <f ca="1">OFFSET(FM42,0,-1)+1</f>
        <v>2</v>
      </c>
      <c r="FN42" s="2527">
        <f ca="1">OFFSET(FN42,0,-1)+1</f>
        <v>3</v>
      </c>
      <c r="FO42" s="4423">
        <f ca="1">OFFSET(FO42,0,-1)+1</f>
        <v>4</v>
      </c>
      <c r="FP42" s="4423"/>
      <c r="FQ42" s="2527">
        <f ca="1">OFFSET(FQ42,0,-2)+1</f>
        <v>5</v>
      </c>
      <c r="FR42" s="2527">
        <f ca="1">OFFSET(FR42,0,-1)+1</f>
        <v>6</v>
      </c>
      <c r="FS42" s="2527"/>
      <c r="FT42" s="2527">
        <f ca="1">OFFSET(FT42,0,-1)+1</f>
        <v>1</v>
      </c>
      <c r="FU42" s="2527">
        <f ca="1">OFFSET(FU42,0,-1)+1</f>
        <v>2</v>
      </c>
      <c r="FV42" s="2527">
        <f ca="1">OFFSET(FV42,0,-1)+1</f>
        <v>3</v>
      </c>
      <c r="FW42" s="4423">
        <f ca="1">OFFSET(FW42,0,-1)+1</f>
        <v>4</v>
      </c>
      <c r="FX42" s="4423"/>
      <c r="FY42" s="2527">
        <f ca="1">OFFSET(FY42,0,-2)+1</f>
        <v>5</v>
      </c>
      <c r="FZ42" s="2527">
        <f ca="1">OFFSET(FZ42,0,-1)+1</f>
        <v>6</v>
      </c>
      <c r="GA42" s="2527"/>
      <c r="GB42" s="2527">
        <f ca="1">OFFSET(GB42,0,-1)+1</f>
        <v>1</v>
      </c>
      <c r="GC42" s="2527">
        <f ca="1">OFFSET(GC42,0,-1)+1</f>
        <v>2</v>
      </c>
      <c r="GD42" s="2527">
        <f ca="1">OFFSET(GD42,0,-1)+1</f>
        <v>3</v>
      </c>
      <c r="GE42" s="4423">
        <f ca="1">OFFSET(GE42,0,-1)+1</f>
        <v>4</v>
      </c>
      <c r="GF42" s="4423"/>
      <c r="GG42" s="2527">
        <f ca="1">OFFSET(GG42,0,-2)+1</f>
        <v>5</v>
      </c>
      <c r="GH42" s="1163">
        <f ca="1">OFFSET(GH42,0,-1)</f>
        <v>5</v>
      </c>
      <c r="GI42" s="1253">
        <f ca="1">OFFSET(GI42,0,-1)+1</f>
        <v>6</v>
      </c>
      <c r="GJ42" s="446"/>
      <c r="GK42" s="446"/>
      <c r="GL42" s="446"/>
      <c r="GM42" s="446"/>
      <c r="GN42" s="446"/>
      <c r="GO42" s="431">
        <v>0</v>
      </c>
    </row>
    <row r="43" spans="1:197" ht="21.95" customHeight="1">
      <c r="A43" s="1281" t="s">
        <v>168</v>
      </c>
      <c r="B43" s="1281"/>
      <c r="C43" s="1281"/>
      <c r="D43" s="1281"/>
      <c r="E43" s="441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126</v>
      </c>
      <c r="U43" s="236"/>
      <c r="V43" s="4406"/>
      <c r="W43" s="4407"/>
      <c r="X43" s="4407"/>
      <c r="Y43" s="4407"/>
      <c r="Z43" s="4407"/>
      <c r="AA43" s="4407"/>
      <c r="AB43" s="4407"/>
      <c r="AC43" s="4408"/>
      <c r="AD43" s="4406" t="str">
        <f>INDEX(PT_DIFFERENTIATION_NTAR,MATCH(A43,PT_DIFFERENTIATION_NTAR_ID,0))</f>
        <v>Тарифы на тепловую энергию, поставляемую потребителям</v>
      </c>
      <c r="AE43" s="4407"/>
      <c r="AF43" s="4407"/>
      <c r="AG43" s="4407"/>
      <c r="AH43" s="4407"/>
      <c r="AI43" s="4407"/>
      <c r="AJ43" s="4407"/>
      <c r="AK43" s="4407"/>
      <c r="AL43" s="4406"/>
      <c r="AM43" s="4407"/>
      <c r="AN43" s="4407"/>
      <c r="AO43" s="4407"/>
      <c r="AP43" s="4407"/>
      <c r="AQ43" s="4407"/>
      <c r="AR43" s="4407"/>
      <c r="AS43" s="4408"/>
      <c r="AT43" s="4406"/>
      <c r="AU43" s="4407"/>
      <c r="AV43" s="4407"/>
      <c r="AW43" s="4407"/>
      <c r="AX43" s="4407"/>
      <c r="AY43" s="4407"/>
      <c r="AZ43" s="4407"/>
      <c r="BA43" s="4408"/>
      <c r="BB43" s="4406"/>
      <c r="BC43" s="4407"/>
      <c r="BD43" s="4407"/>
      <c r="BE43" s="4407"/>
      <c r="BF43" s="4407"/>
      <c r="BG43" s="4407"/>
      <c r="BH43" s="4407"/>
      <c r="BI43" s="4408"/>
      <c r="BJ43" s="4406"/>
      <c r="BK43" s="4407"/>
      <c r="BL43" s="4407"/>
      <c r="BM43" s="4407"/>
      <c r="BN43" s="4407"/>
      <c r="BO43" s="4407"/>
      <c r="BP43" s="4407"/>
      <c r="BQ43" s="4408"/>
      <c r="BR43" s="4406"/>
      <c r="BS43" s="4407"/>
      <c r="BT43" s="4407"/>
      <c r="BU43" s="4407"/>
      <c r="BV43" s="4407"/>
      <c r="BW43" s="4407"/>
      <c r="BX43" s="4407"/>
      <c r="BY43" s="4408"/>
      <c r="BZ43" s="4406"/>
      <c r="CA43" s="4407"/>
      <c r="CB43" s="4407"/>
      <c r="CC43" s="4407"/>
      <c r="CD43" s="4407"/>
      <c r="CE43" s="4407"/>
      <c r="CF43" s="4407"/>
      <c r="CG43" s="4408"/>
      <c r="CH43" s="4406"/>
      <c r="CI43" s="4407"/>
      <c r="CJ43" s="4407"/>
      <c r="CK43" s="4407"/>
      <c r="CL43" s="4407"/>
      <c r="CM43" s="4407"/>
      <c r="CN43" s="4407"/>
      <c r="CO43" s="4408"/>
      <c r="CP43" s="4406"/>
      <c r="CQ43" s="4407"/>
      <c r="CR43" s="4407"/>
      <c r="CS43" s="4407"/>
      <c r="CT43" s="4407"/>
      <c r="CU43" s="4407"/>
      <c r="CV43" s="4407"/>
      <c r="CW43" s="4408"/>
      <c r="CX43" s="4406"/>
      <c r="CY43" s="4407"/>
      <c r="CZ43" s="4407"/>
      <c r="DA43" s="4407"/>
      <c r="DB43" s="4407"/>
      <c r="DC43" s="4407"/>
      <c r="DD43" s="4407"/>
      <c r="DE43" s="4408"/>
      <c r="DF43" s="4406"/>
      <c r="DG43" s="4407"/>
      <c r="DH43" s="4407"/>
      <c r="DI43" s="4407"/>
      <c r="DJ43" s="4407"/>
      <c r="DK43" s="4407"/>
      <c r="DL43" s="4407"/>
      <c r="DM43" s="4408"/>
      <c r="DN43" s="4406"/>
      <c r="DO43" s="4407"/>
      <c r="DP43" s="4407"/>
      <c r="DQ43" s="4407"/>
      <c r="DR43" s="4407"/>
      <c r="DS43" s="4407"/>
      <c r="DT43" s="4407"/>
      <c r="DU43" s="4408"/>
      <c r="DV43" s="4406"/>
      <c r="DW43" s="4407"/>
      <c r="DX43" s="4407"/>
      <c r="DY43" s="4407"/>
      <c r="DZ43" s="4407"/>
      <c r="EA43" s="4407"/>
      <c r="EB43" s="4407"/>
      <c r="EC43" s="4408"/>
      <c r="ED43" s="4406"/>
      <c r="EE43" s="4407"/>
      <c r="EF43" s="4407"/>
      <c r="EG43" s="4407"/>
      <c r="EH43" s="4407"/>
      <c r="EI43" s="4407"/>
      <c r="EJ43" s="4407"/>
      <c r="EK43" s="4408"/>
      <c r="EL43" s="4406"/>
      <c r="EM43" s="4407"/>
      <c r="EN43" s="4407"/>
      <c r="EO43" s="4407"/>
      <c r="EP43" s="4407"/>
      <c r="EQ43" s="4407"/>
      <c r="ER43" s="4407"/>
      <c r="ES43" s="4408"/>
      <c r="ET43" s="4406"/>
      <c r="EU43" s="4407"/>
      <c r="EV43" s="4407"/>
      <c r="EW43" s="4407"/>
      <c r="EX43" s="4407"/>
      <c r="EY43" s="4407"/>
      <c r="EZ43" s="4407"/>
      <c r="FA43" s="4408"/>
      <c r="FB43" s="4406"/>
      <c r="FC43" s="4407"/>
      <c r="FD43" s="4407"/>
      <c r="FE43" s="4407"/>
      <c r="FF43" s="4407"/>
      <c r="FG43" s="4407"/>
      <c r="FH43" s="4407"/>
      <c r="FI43" s="4408"/>
      <c r="FJ43" s="4406"/>
      <c r="FK43" s="4407"/>
      <c r="FL43" s="4407"/>
      <c r="FM43" s="4407"/>
      <c r="FN43" s="4407"/>
      <c r="FO43" s="4407"/>
      <c r="FP43" s="4407"/>
      <c r="FQ43" s="4408"/>
      <c r="FR43" s="4406"/>
      <c r="FS43" s="4407"/>
      <c r="FT43" s="4407"/>
      <c r="FU43" s="4407"/>
      <c r="FV43" s="4407"/>
      <c r="FW43" s="4407"/>
      <c r="FX43" s="4407"/>
      <c r="FY43" s="4408"/>
      <c r="FZ43" s="4406"/>
      <c r="GA43" s="4407"/>
      <c r="GB43" s="4407"/>
      <c r="GC43" s="4407"/>
      <c r="GD43" s="4407"/>
      <c r="GE43" s="4407"/>
      <c r="GF43" s="4407"/>
      <c r="GG43" s="4408"/>
      <c r="GH43" s="4408"/>
      <c r="GI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GK43" s="435"/>
      <c r="GL43" s="435" t="str">
        <f t="shared" ref="GL43:GL85" si="1">IF(T43="","",T43)</f>
        <v>Наименование тарифа</v>
      </c>
      <c r="GM43" s="435"/>
      <c r="GN43" s="435"/>
      <c r="GO43" s="1073">
        <v>21</v>
      </c>
    </row>
    <row r="44" spans="1:197" ht="21.95" customHeight="1">
      <c r="A44" s="1281" t="s">
        <v>168</v>
      </c>
      <c r="B44" s="1281" t="s">
        <v>169</v>
      </c>
      <c r="C44" s="1281"/>
      <c r="D44" s="1281"/>
      <c r="E44" s="4413"/>
      <c r="F44" s="4412">
        <v>1</v>
      </c>
      <c r="G44" s="1281"/>
      <c r="H44" s="1281"/>
      <c r="I44" s="1281"/>
      <c r="J44" s="1281"/>
      <c r="K44" s="1281"/>
      <c r="L44" s="1282"/>
      <c r="M44" s="1283"/>
      <c r="N44" s="1283"/>
      <c r="O44" s="1283"/>
      <c r="P44" s="1250"/>
      <c r="Q44" s="287"/>
      <c r="R44" s="288"/>
      <c r="S44" s="1254" t="str">
        <f>INDEX(PT_DIFFERENTIATION_NUM_TER,MATCH(B44,PT_DIFFERENTIATION_TER_ID,0))</f>
        <v>1.1</v>
      </c>
      <c r="T44" s="244" t="s">
        <v>418</v>
      </c>
      <c r="U44" s="236"/>
      <c r="V44" s="4406"/>
      <c r="W44" s="4407"/>
      <c r="X44" s="4407"/>
      <c r="Y44" s="4407"/>
      <c r="Z44" s="4407"/>
      <c r="AA44" s="4407"/>
      <c r="AB44" s="4407"/>
      <c r="AC44" s="4408"/>
      <c r="AD44" s="4406" t="str">
        <f>INDEX(PT_DIFFERENTIATION_TER,MATCH(B44,PT_DIFFERENTIATION_TER_ID,0))</f>
        <v>без дифференциации</v>
      </c>
      <c r="AE44" s="4407"/>
      <c r="AF44" s="4407"/>
      <c r="AG44" s="4407"/>
      <c r="AH44" s="4407"/>
      <c r="AI44" s="4407"/>
      <c r="AJ44" s="4407"/>
      <c r="AK44" s="4407"/>
      <c r="AL44" s="4406"/>
      <c r="AM44" s="4407"/>
      <c r="AN44" s="4407"/>
      <c r="AO44" s="4407"/>
      <c r="AP44" s="4407"/>
      <c r="AQ44" s="4407"/>
      <c r="AR44" s="4407"/>
      <c r="AS44" s="4408"/>
      <c r="AT44" s="4406"/>
      <c r="AU44" s="4407"/>
      <c r="AV44" s="4407"/>
      <c r="AW44" s="4407"/>
      <c r="AX44" s="4407"/>
      <c r="AY44" s="4407"/>
      <c r="AZ44" s="4407"/>
      <c r="BA44" s="4408"/>
      <c r="BB44" s="4406"/>
      <c r="BC44" s="4407"/>
      <c r="BD44" s="4407"/>
      <c r="BE44" s="4407"/>
      <c r="BF44" s="4407"/>
      <c r="BG44" s="4407"/>
      <c r="BH44" s="4407"/>
      <c r="BI44" s="4408"/>
      <c r="BJ44" s="4406"/>
      <c r="BK44" s="4407"/>
      <c r="BL44" s="4407"/>
      <c r="BM44" s="4407"/>
      <c r="BN44" s="4407"/>
      <c r="BO44" s="4407"/>
      <c r="BP44" s="4407"/>
      <c r="BQ44" s="4408"/>
      <c r="BR44" s="4406"/>
      <c r="BS44" s="4407"/>
      <c r="BT44" s="4407"/>
      <c r="BU44" s="4407"/>
      <c r="BV44" s="4407"/>
      <c r="BW44" s="4407"/>
      <c r="BX44" s="4407"/>
      <c r="BY44" s="4408"/>
      <c r="BZ44" s="4406"/>
      <c r="CA44" s="4407"/>
      <c r="CB44" s="4407"/>
      <c r="CC44" s="4407"/>
      <c r="CD44" s="4407"/>
      <c r="CE44" s="4407"/>
      <c r="CF44" s="4407"/>
      <c r="CG44" s="4408"/>
      <c r="CH44" s="4406"/>
      <c r="CI44" s="4407"/>
      <c r="CJ44" s="4407"/>
      <c r="CK44" s="4407"/>
      <c r="CL44" s="4407"/>
      <c r="CM44" s="4407"/>
      <c r="CN44" s="4407"/>
      <c r="CO44" s="4408"/>
      <c r="CP44" s="4406"/>
      <c r="CQ44" s="4407"/>
      <c r="CR44" s="4407"/>
      <c r="CS44" s="4407"/>
      <c r="CT44" s="4407"/>
      <c r="CU44" s="4407"/>
      <c r="CV44" s="4407"/>
      <c r="CW44" s="4408"/>
      <c r="CX44" s="4406"/>
      <c r="CY44" s="4407"/>
      <c r="CZ44" s="4407"/>
      <c r="DA44" s="4407"/>
      <c r="DB44" s="4407"/>
      <c r="DC44" s="4407"/>
      <c r="DD44" s="4407"/>
      <c r="DE44" s="4408"/>
      <c r="DF44" s="4406"/>
      <c r="DG44" s="4407"/>
      <c r="DH44" s="4407"/>
      <c r="DI44" s="4407"/>
      <c r="DJ44" s="4407"/>
      <c r="DK44" s="4407"/>
      <c r="DL44" s="4407"/>
      <c r="DM44" s="4408"/>
      <c r="DN44" s="4406"/>
      <c r="DO44" s="4407"/>
      <c r="DP44" s="4407"/>
      <c r="DQ44" s="4407"/>
      <c r="DR44" s="4407"/>
      <c r="DS44" s="4407"/>
      <c r="DT44" s="4407"/>
      <c r="DU44" s="4408"/>
      <c r="DV44" s="4406"/>
      <c r="DW44" s="4407"/>
      <c r="DX44" s="4407"/>
      <c r="DY44" s="4407"/>
      <c r="DZ44" s="4407"/>
      <c r="EA44" s="4407"/>
      <c r="EB44" s="4407"/>
      <c r="EC44" s="4408"/>
      <c r="ED44" s="4406"/>
      <c r="EE44" s="4407"/>
      <c r="EF44" s="4407"/>
      <c r="EG44" s="4407"/>
      <c r="EH44" s="4407"/>
      <c r="EI44" s="4407"/>
      <c r="EJ44" s="4407"/>
      <c r="EK44" s="4408"/>
      <c r="EL44" s="4406"/>
      <c r="EM44" s="4407"/>
      <c r="EN44" s="4407"/>
      <c r="EO44" s="4407"/>
      <c r="EP44" s="4407"/>
      <c r="EQ44" s="4407"/>
      <c r="ER44" s="4407"/>
      <c r="ES44" s="4408"/>
      <c r="ET44" s="4406"/>
      <c r="EU44" s="4407"/>
      <c r="EV44" s="4407"/>
      <c r="EW44" s="4407"/>
      <c r="EX44" s="4407"/>
      <c r="EY44" s="4407"/>
      <c r="EZ44" s="4407"/>
      <c r="FA44" s="4408"/>
      <c r="FB44" s="4406"/>
      <c r="FC44" s="4407"/>
      <c r="FD44" s="4407"/>
      <c r="FE44" s="4407"/>
      <c r="FF44" s="4407"/>
      <c r="FG44" s="4407"/>
      <c r="FH44" s="4407"/>
      <c r="FI44" s="4408"/>
      <c r="FJ44" s="4406"/>
      <c r="FK44" s="4407"/>
      <c r="FL44" s="4407"/>
      <c r="FM44" s="4407"/>
      <c r="FN44" s="4407"/>
      <c r="FO44" s="4407"/>
      <c r="FP44" s="4407"/>
      <c r="FQ44" s="4408"/>
      <c r="FR44" s="4406"/>
      <c r="FS44" s="4407"/>
      <c r="FT44" s="4407"/>
      <c r="FU44" s="4407"/>
      <c r="FV44" s="4407"/>
      <c r="FW44" s="4407"/>
      <c r="FX44" s="4407"/>
      <c r="FY44" s="4408"/>
      <c r="FZ44" s="4406"/>
      <c r="GA44" s="4407"/>
      <c r="GB44" s="4407"/>
      <c r="GC44" s="4407"/>
      <c r="GD44" s="4407"/>
      <c r="GE44" s="4407"/>
      <c r="GF44" s="4407"/>
      <c r="GG44" s="4408"/>
      <c r="GH44" s="4408"/>
      <c r="GI44" s="1176" t="s">
        <v>419</v>
      </c>
      <c r="GK44" s="435"/>
      <c r="GL44" s="435" t="str">
        <f t="shared" si="1"/>
        <v>Территория действия тарифа</v>
      </c>
      <c r="GM44" s="435"/>
      <c r="GN44" s="435"/>
      <c r="GO44" s="1073">
        <v>21</v>
      </c>
    </row>
    <row r="45" spans="1:197" ht="24" customHeight="1">
      <c r="A45" s="1281" t="s">
        <v>168</v>
      </c>
      <c r="B45" s="1281" t="s">
        <v>169</v>
      </c>
      <c r="C45" s="1281" t="s">
        <v>170</v>
      </c>
      <c r="D45" s="1281"/>
      <c r="E45" s="4413"/>
      <c r="F45" s="4413"/>
      <c r="G45" s="4412">
        <v>1</v>
      </c>
      <c r="H45" s="1281"/>
      <c r="I45" s="1281"/>
      <c r="J45" s="1281"/>
      <c r="K45" s="1281"/>
      <c r="L45" s="1282"/>
      <c r="M45" s="1283"/>
      <c r="N45" s="1283"/>
      <c r="O45" s="1283"/>
      <c r="P45" s="289"/>
      <c r="Q45" s="287"/>
      <c r="R45" s="288"/>
      <c r="S45" s="1254" t="str">
        <f>INDEX(PT_DIFFERENTIATION_NUM_CS,MATCH(C45,PT_DIFFERENTIATION_CS_ID,0))</f>
        <v>1.1.1</v>
      </c>
      <c r="T45" s="245" t="s">
        <v>420</v>
      </c>
      <c r="U45" s="236"/>
      <c r="V45" s="4406"/>
      <c r="W45" s="4407"/>
      <c r="X45" s="4407"/>
      <c r="Y45" s="4407"/>
      <c r="Z45" s="4407"/>
      <c r="AA45" s="4407"/>
      <c r="AB45" s="4407"/>
      <c r="AC45" s="4408"/>
      <c r="AD45" s="4406" t="str">
        <f>INDEX(PT_DIFFERENTIATION_CS,MATCH(C45,PT_DIFFERENTIATION_CS_ID,0))</f>
        <v>без дифференциации</v>
      </c>
      <c r="AE45" s="4407"/>
      <c r="AF45" s="4407"/>
      <c r="AG45" s="4407"/>
      <c r="AH45" s="4407"/>
      <c r="AI45" s="4407"/>
      <c r="AJ45" s="4407"/>
      <c r="AK45" s="4407"/>
      <c r="AL45" s="4406"/>
      <c r="AM45" s="4407"/>
      <c r="AN45" s="4407"/>
      <c r="AO45" s="4407"/>
      <c r="AP45" s="4407"/>
      <c r="AQ45" s="4407"/>
      <c r="AR45" s="4407"/>
      <c r="AS45" s="4408"/>
      <c r="AT45" s="4406"/>
      <c r="AU45" s="4407"/>
      <c r="AV45" s="4407"/>
      <c r="AW45" s="4407"/>
      <c r="AX45" s="4407"/>
      <c r="AY45" s="4407"/>
      <c r="AZ45" s="4407"/>
      <c r="BA45" s="4408"/>
      <c r="BB45" s="4406"/>
      <c r="BC45" s="4407"/>
      <c r="BD45" s="4407"/>
      <c r="BE45" s="4407"/>
      <c r="BF45" s="4407"/>
      <c r="BG45" s="4407"/>
      <c r="BH45" s="4407"/>
      <c r="BI45" s="4408"/>
      <c r="BJ45" s="4406"/>
      <c r="BK45" s="4407"/>
      <c r="BL45" s="4407"/>
      <c r="BM45" s="4407"/>
      <c r="BN45" s="4407"/>
      <c r="BO45" s="4407"/>
      <c r="BP45" s="4407"/>
      <c r="BQ45" s="4408"/>
      <c r="BR45" s="4406"/>
      <c r="BS45" s="4407"/>
      <c r="BT45" s="4407"/>
      <c r="BU45" s="4407"/>
      <c r="BV45" s="4407"/>
      <c r="BW45" s="4407"/>
      <c r="BX45" s="4407"/>
      <c r="BY45" s="4408"/>
      <c r="BZ45" s="4406"/>
      <c r="CA45" s="4407"/>
      <c r="CB45" s="4407"/>
      <c r="CC45" s="4407"/>
      <c r="CD45" s="4407"/>
      <c r="CE45" s="4407"/>
      <c r="CF45" s="4407"/>
      <c r="CG45" s="4408"/>
      <c r="CH45" s="4406"/>
      <c r="CI45" s="4407"/>
      <c r="CJ45" s="4407"/>
      <c r="CK45" s="4407"/>
      <c r="CL45" s="4407"/>
      <c r="CM45" s="4407"/>
      <c r="CN45" s="4407"/>
      <c r="CO45" s="4408"/>
      <c r="CP45" s="4406"/>
      <c r="CQ45" s="4407"/>
      <c r="CR45" s="4407"/>
      <c r="CS45" s="4407"/>
      <c r="CT45" s="4407"/>
      <c r="CU45" s="4407"/>
      <c r="CV45" s="4407"/>
      <c r="CW45" s="4408"/>
      <c r="CX45" s="4406"/>
      <c r="CY45" s="4407"/>
      <c r="CZ45" s="4407"/>
      <c r="DA45" s="4407"/>
      <c r="DB45" s="4407"/>
      <c r="DC45" s="4407"/>
      <c r="DD45" s="4407"/>
      <c r="DE45" s="4408"/>
      <c r="DF45" s="4406"/>
      <c r="DG45" s="4407"/>
      <c r="DH45" s="4407"/>
      <c r="DI45" s="4407"/>
      <c r="DJ45" s="4407"/>
      <c r="DK45" s="4407"/>
      <c r="DL45" s="4407"/>
      <c r="DM45" s="4408"/>
      <c r="DN45" s="4406"/>
      <c r="DO45" s="4407"/>
      <c r="DP45" s="4407"/>
      <c r="DQ45" s="4407"/>
      <c r="DR45" s="4407"/>
      <c r="DS45" s="4407"/>
      <c r="DT45" s="4407"/>
      <c r="DU45" s="4408"/>
      <c r="DV45" s="4406"/>
      <c r="DW45" s="4407"/>
      <c r="DX45" s="4407"/>
      <c r="DY45" s="4407"/>
      <c r="DZ45" s="4407"/>
      <c r="EA45" s="4407"/>
      <c r="EB45" s="4407"/>
      <c r="EC45" s="4408"/>
      <c r="ED45" s="4406"/>
      <c r="EE45" s="4407"/>
      <c r="EF45" s="4407"/>
      <c r="EG45" s="4407"/>
      <c r="EH45" s="4407"/>
      <c r="EI45" s="4407"/>
      <c r="EJ45" s="4407"/>
      <c r="EK45" s="4408"/>
      <c r="EL45" s="4406"/>
      <c r="EM45" s="4407"/>
      <c r="EN45" s="4407"/>
      <c r="EO45" s="4407"/>
      <c r="EP45" s="4407"/>
      <c r="EQ45" s="4407"/>
      <c r="ER45" s="4407"/>
      <c r="ES45" s="4408"/>
      <c r="ET45" s="4406"/>
      <c r="EU45" s="4407"/>
      <c r="EV45" s="4407"/>
      <c r="EW45" s="4407"/>
      <c r="EX45" s="4407"/>
      <c r="EY45" s="4407"/>
      <c r="EZ45" s="4407"/>
      <c r="FA45" s="4408"/>
      <c r="FB45" s="4406"/>
      <c r="FC45" s="4407"/>
      <c r="FD45" s="4407"/>
      <c r="FE45" s="4407"/>
      <c r="FF45" s="4407"/>
      <c r="FG45" s="4407"/>
      <c r="FH45" s="4407"/>
      <c r="FI45" s="4408"/>
      <c r="FJ45" s="4406"/>
      <c r="FK45" s="4407"/>
      <c r="FL45" s="4407"/>
      <c r="FM45" s="4407"/>
      <c r="FN45" s="4407"/>
      <c r="FO45" s="4407"/>
      <c r="FP45" s="4407"/>
      <c r="FQ45" s="4408"/>
      <c r="FR45" s="4406"/>
      <c r="FS45" s="4407"/>
      <c r="FT45" s="4407"/>
      <c r="FU45" s="4407"/>
      <c r="FV45" s="4407"/>
      <c r="FW45" s="4407"/>
      <c r="FX45" s="4407"/>
      <c r="FY45" s="4408"/>
      <c r="FZ45" s="4406"/>
      <c r="GA45" s="4407"/>
      <c r="GB45" s="4407"/>
      <c r="GC45" s="4407"/>
      <c r="GD45" s="4407"/>
      <c r="GE45" s="4407"/>
      <c r="GF45" s="4407"/>
      <c r="GG45" s="4408"/>
      <c r="GH45" s="4408"/>
      <c r="GI45" s="1176" t="s">
        <v>421</v>
      </c>
      <c r="GK45" s="435"/>
      <c r="GL45" s="435" t="str">
        <f t="shared" si="1"/>
        <v xml:space="preserve">Наименование системы теплоснабжения </v>
      </c>
      <c r="GM45" s="435"/>
      <c r="GN45" s="435"/>
      <c r="GO45" s="1073">
        <v>23</v>
      </c>
    </row>
    <row r="46" spans="1:197" ht="21.95" customHeight="1">
      <c r="A46" s="1281" t="s">
        <v>168</v>
      </c>
      <c r="B46" s="1281" t="s">
        <v>169</v>
      </c>
      <c r="C46" s="1281" t="s">
        <v>170</v>
      </c>
      <c r="D46" s="1281" t="s">
        <v>171</v>
      </c>
      <c r="E46" s="4413"/>
      <c r="F46" s="4413"/>
      <c r="G46" s="4413"/>
      <c r="H46" s="4412">
        <v>1</v>
      </c>
      <c r="I46" s="1281"/>
      <c r="J46" s="1281"/>
      <c r="K46" s="1281"/>
      <c r="L46" s="1282"/>
      <c r="M46" s="1283"/>
      <c r="N46" s="1283"/>
      <c r="O46" s="1283"/>
      <c r="P46" s="289"/>
      <c r="Q46" s="287"/>
      <c r="R46" s="288"/>
      <c r="S46" s="1254" t="str">
        <f>INDEX(PT_DIFFERENTIATION_NUM_IST_TE,MATCH(D46,PT_DIFFERENTIATION_IST_TE_ID,0))</f>
        <v>1.1.1.1</v>
      </c>
      <c r="T46" s="246" t="s">
        <v>422</v>
      </c>
      <c r="U46" s="236"/>
      <c r="V46" s="4406"/>
      <c r="W46" s="4407"/>
      <c r="X46" s="4407"/>
      <c r="Y46" s="4407"/>
      <c r="Z46" s="4407"/>
      <c r="AA46" s="4407"/>
      <c r="AB46" s="4407"/>
      <c r="AC46" s="4408"/>
      <c r="AD46" s="4406" t="str">
        <f>INDEX(PT_DIFFERENTIATION_IST_TE,MATCH(D46,PT_DIFFERENTIATION_IST_TE_ID,0))</f>
        <v>без дифференциации</v>
      </c>
      <c r="AE46" s="4407"/>
      <c r="AF46" s="4407"/>
      <c r="AG46" s="4407"/>
      <c r="AH46" s="4407"/>
      <c r="AI46" s="4407"/>
      <c r="AJ46" s="4407"/>
      <c r="AK46" s="4407"/>
      <c r="AL46" s="4406"/>
      <c r="AM46" s="4407"/>
      <c r="AN46" s="4407"/>
      <c r="AO46" s="4407"/>
      <c r="AP46" s="4407"/>
      <c r="AQ46" s="4407"/>
      <c r="AR46" s="4407"/>
      <c r="AS46" s="4408"/>
      <c r="AT46" s="4406"/>
      <c r="AU46" s="4407"/>
      <c r="AV46" s="4407"/>
      <c r="AW46" s="4407"/>
      <c r="AX46" s="4407"/>
      <c r="AY46" s="4407"/>
      <c r="AZ46" s="4407"/>
      <c r="BA46" s="4408"/>
      <c r="BB46" s="4406"/>
      <c r="BC46" s="4407"/>
      <c r="BD46" s="4407"/>
      <c r="BE46" s="4407"/>
      <c r="BF46" s="4407"/>
      <c r="BG46" s="4407"/>
      <c r="BH46" s="4407"/>
      <c r="BI46" s="4408"/>
      <c r="BJ46" s="4406"/>
      <c r="BK46" s="4407"/>
      <c r="BL46" s="4407"/>
      <c r="BM46" s="4407"/>
      <c r="BN46" s="4407"/>
      <c r="BO46" s="4407"/>
      <c r="BP46" s="4407"/>
      <c r="BQ46" s="4408"/>
      <c r="BR46" s="4406"/>
      <c r="BS46" s="4407"/>
      <c r="BT46" s="4407"/>
      <c r="BU46" s="4407"/>
      <c r="BV46" s="4407"/>
      <c r="BW46" s="4407"/>
      <c r="BX46" s="4407"/>
      <c r="BY46" s="4408"/>
      <c r="BZ46" s="4406"/>
      <c r="CA46" s="4407"/>
      <c r="CB46" s="4407"/>
      <c r="CC46" s="4407"/>
      <c r="CD46" s="4407"/>
      <c r="CE46" s="4407"/>
      <c r="CF46" s="4407"/>
      <c r="CG46" s="4408"/>
      <c r="CH46" s="4406"/>
      <c r="CI46" s="4407"/>
      <c r="CJ46" s="4407"/>
      <c r="CK46" s="4407"/>
      <c r="CL46" s="4407"/>
      <c r="CM46" s="4407"/>
      <c r="CN46" s="4407"/>
      <c r="CO46" s="4408"/>
      <c r="CP46" s="4406"/>
      <c r="CQ46" s="4407"/>
      <c r="CR46" s="4407"/>
      <c r="CS46" s="4407"/>
      <c r="CT46" s="4407"/>
      <c r="CU46" s="4407"/>
      <c r="CV46" s="4407"/>
      <c r="CW46" s="4408"/>
      <c r="CX46" s="4406"/>
      <c r="CY46" s="4407"/>
      <c r="CZ46" s="4407"/>
      <c r="DA46" s="4407"/>
      <c r="DB46" s="4407"/>
      <c r="DC46" s="4407"/>
      <c r="DD46" s="4407"/>
      <c r="DE46" s="4408"/>
      <c r="DF46" s="4406"/>
      <c r="DG46" s="4407"/>
      <c r="DH46" s="4407"/>
      <c r="DI46" s="4407"/>
      <c r="DJ46" s="4407"/>
      <c r="DK46" s="4407"/>
      <c r="DL46" s="4407"/>
      <c r="DM46" s="4408"/>
      <c r="DN46" s="4406"/>
      <c r="DO46" s="4407"/>
      <c r="DP46" s="4407"/>
      <c r="DQ46" s="4407"/>
      <c r="DR46" s="4407"/>
      <c r="DS46" s="4407"/>
      <c r="DT46" s="4407"/>
      <c r="DU46" s="4408"/>
      <c r="DV46" s="4406"/>
      <c r="DW46" s="4407"/>
      <c r="DX46" s="4407"/>
      <c r="DY46" s="4407"/>
      <c r="DZ46" s="4407"/>
      <c r="EA46" s="4407"/>
      <c r="EB46" s="4407"/>
      <c r="EC46" s="4408"/>
      <c r="ED46" s="4406"/>
      <c r="EE46" s="4407"/>
      <c r="EF46" s="4407"/>
      <c r="EG46" s="4407"/>
      <c r="EH46" s="4407"/>
      <c r="EI46" s="4407"/>
      <c r="EJ46" s="4407"/>
      <c r="EK46" s="4408"/>
      <c r="EL46" s="4406"/>
      <c r="EM46" s="4407"/>
      <c r="EN46" s="4407"/>
      <c r="EO46" s="4407"/>
      <c r="EP46" s="4407"/>
      <c r="EQ46" s="4407"/>
      <c r="ER46" s="4407"/>
      <c r="ES46" s="4408"/>
      <c r="ET46" s="4406"/>
      <c r="EU46" s="4407"/>
      <c r="EV46" s="4407"/>
      <c r="EW46" s="4407"/>
      <c r="EX46" s="4407"/>
      <c r="EY46" s="4407"/>
      <c r="EZ46" s="4407"/>
      <c r="FA46" s="4408"/>
      <c r="FB46" s="4406"/>
      <c r="FC46" s="4407"/>
      <c r="FD46" s="4407"/>
      <c r="FE46" s="4407"/>
      <c r="FF46" s="4407"/>
      <c r="FG46" s="4407"/>
      <c r="FH46" s="4407"/>
      <c r="FI46" s="4408"/>
      <c r="FJ46" s="4406"/>
      <c r="FK46" s="4407"/>
      <c r="FL46" s="4407"/>
      <c r="FM46" s="4407"/>
      <c r="FN46" s="4407"/>
      <c r="FO46" s="4407"/>
      <c r="FP46" s="4407"/>
      <c r="FQ46" s="4408"/>
      <c r="FR46" s="4406"/>
      <c r="FS46" s="4407"/>
      <c r="FT46" s="4407"/>
      <c r="FU46" s="4407"/>
      <c r="FV46" s="4407"/>
      <c r="FW46" s="4407"/>
      <c r="FX46" s="4407"/>
      <c r="FY46" s="4408"/>
      <c r="FZ46" s="4406"/>
      <c r="GA46" s="4407"/>
      <c r="GB46" s="4407"/>
      <c r="GC46" s="4407"/>
      <c r="GD46" s="4407"/>
      <c r="GE46" s="4407"/>
      <c r="GF46" s="4407"/>
      <c r="GG46" s="4408"/>
      <c r="GH46" s="4408"/>
      <c r="GI46" s="1176" t="s">
        <v>423</v>
      </c>
      <c r="GK46" s="435"/>
      <c r="GL46" s="435" t="str">
        <f t="shared" si="1"/>
        <v xml:space="preserve">Источник тепловой энергии  </v>
      </c>
      <c r="GM46" s="435"/>
      <c r="GN46" s="435"/>
      <c r="GO46" s="1073">
        <v>21</v>
      </c>
    </row>
    <row r="47" spans="1:197" ht="49.5" customHeight="1">
      <c r="A47" s="1281" t="s">
        <v>168</v>
      </c>
      <c r="B47" s="1281" t="s">
        <v>169</v>
      </c>
      <c r="C47" s="1281" t="s">
        <v>170</v>
      </c>
      <c r="D47" s="1281" t="s">
        <v>171</v>
      </c>
      <c r="E47" s="4413"/>
      <c r="F47" s="4413"/>
      <c r="G47" s="4413"/>
      <c r="H47" s="4413"/>
      <c r="I47" s="4414" t="str">
        <f>S46&amp;".1"</f>
        <v>1.1.1.1.1</v>
      </c>
      <c r="J47" s="1281"/>
      <c r="K47" s="1281"/>
      <c r="L47" s="1282" t="s">
        <v>424</v>
      </c>
      <c r="P47" s="4416">
        <v>1</v>
      </c>
      <c r="Q47" s="1249"/>
      <c r="R47" s="291"/>
      <c r="S47" s="1254" t="str">
        <f>$I47</f>
        <v>1.1.1.1.1</v>
      </c>
      <c r="T47" s="221" t="s">
        <v>425</v>
      </c>
      <c r="U47" s="236"/>
      <c r="V47" s="4400"/>
      <c r="W47" s="4401"/>
      <c r="X47" s="4401"/>
      <c r="Y47" s="4401"/>
      <c r="Z47" s="4401"/>
      <c r="AA47" s="4401"/>
      <c r="AB47" s="4401"/>
      <c r="AC47" s="4402"/>
      <c r="AD47" s="4400" t="s">
        <v>467</v>
      </c>
      <c r="AE47" s="4401"/>
      <c r="AF47" s="4401"/>
      <c r="AG47" s="4401"/>
      <c r="AH47" s="4401"/>
      <c r="AI47" s="4401"/>
      <c r="AJ47" s="4401"/>
      <c r="AK47" s="4401"/>
      <c r="AL47" s="4400"/>
      <c r="AM47" s="4401"/>
      <c r="AN47" s="4401"/>
      <c r="AO47" s="4401"/>
      <c r="AP47" s="4401"/>
      <c r="AQ47" s="4401"/>
      <c r="AR47" s="4401"/>
      <c r="AS47" s="4402"/>
      <c r="AT47" s="4400"/>
      <c r="AU47" s="4401"/>
      <c r="AV47" s="4401"/>
      <c r="AW47" s="4401"/>
      <c r="AX47" s="4401"/>
      <c r="AY47" s="4401"/>
      <c r="AZ47" s="4401"/>
      <c r="BA47" s="4402"/>
      <c r="BB47" s="4400"/>
      <c r="BC47" s="4401"/>
      <c r="BD47" s="4401"/>
      <c r="BE47" s="4401"/>
      <c r="BF47" s="4401"/>
      <c r="BG47" s="4401"/>
      <c r="BH47" s="4401"/>
      <c r="BI47" s="4402"/>
      <c r="BJ47" s="4400"/>
      <c r="BK47" s="4401"/>
      <c r="BL47" s="4401"/>
      <c r="BM47" s="4401"/>
      <c r="BN47" s="4401"/>
      <c r="BO47" s="4401"/>
      <c r="BP47" s="4401"/>
      <c r="BQ47" s="4402"/>
      <c r="BR47" s="4400"/>
      <c r="BS47" s="4401"/>
      <c r="BT47" s="4401"/>
      <c r="BU47" s="4401"/>
      <c r="BV47" s="4401"/>
      <c r="BW47" s="4401"/>
      <c r="BX47" s="4401"/>
      <c r="BY47" s="4402"/>
      <c r="BZ47" s="4400"/>
      <c r="CA47" s="4401"/>
      <c r="CB47" s="4401"/>
      <c r="CC47" s="4401"/>
      <c r="CD47" s="4401"/>
      <c r="CE47" s="4401"/>
      <c r="CF47" s="4401"/>
      <c r="CG47" s="4402"/>
      <c r="CH47" s="4400"/>
      <c r="CI47" s="4401"/>
      <c r="CJ47" s="4401"/>
      <c r="CK47" s="4401"/>
      <c r="CL47" s="4401"/>
      <c r="CM47" s="4401"/>
      <c r="CN47" s="4401"/>
      <c r="CO47" s="4402"/>
      <c r="CP47" s="4400"/>
      <c r="CQ47" s="4401"/>
      <c r="CR47" s="4401"/>
      <c r="CS47" s="4401"/>
      <c r="CT47" s="4401"/>
      <c r="CU47" s="4401"/>
      <c r="CV47" s="4401"/>
      <c r="CW47" s="4402"/>
      <c r="CX47" s="4400"/>
      <c r="CY47" s="4401"/>
      <c r="CZ47" s="4401"/>
      <c r="DA47" s="4401"/>
      <c r="DB47" s="4401"/>
      <c r="DC47" s="4401"/>
      <c r="DD47" s="4401"/>
      <c r="DE47" s="4402"/>
      <c r="DF47" s="4400"/>
      <c r="DG47" s="4401"/>
      <c r="DH47" s="4401"/>
      <c r="DI47" s="4401"/>
      <c r="DJ47" s="4401"/>
      <c r="DK47" s="4401"/>
      <c r="DL47" s="4401"/>
      <c r="DM47" s="4402"/>
      <c r="DN47" s="4400"/>
      <c r="DO47" s="4401"/>
      <c r="DP47" s="4401"/>
      <c r="DQ47" s="4401"/>
      <c r="DR47" s="4401"/>
      <c r="DS47" s="4401"/>
      <c r="DT47" s="4401"/>
      <c r="DU47" s="4402"/>
      <c r="DV47" s="4400"/>
      <c r="DW47" s="4401"/>
      <c r="DX47" s="4401"/>
      <c r="DY47" s="4401"/>
      <c r="DZ47" s="4401"/>
      <c r="EA47" s="4401"/>
      <c r="EB47" s="4401"/>
      <c r="EC47" s="4402"/>
      <c r="ED47" s="4400"/>
      <c r="EE47" s="4401"/>
      <c r="EF47" s="4401"/>
      <c r="EG47" s="4401"/>
      <c r="EH47" s="4401"/>
      <c r="EI47" s="4401"/>
      <c r="EJ47" s="4401"/>
      <c r="EK47" s="4402"/>
      <c r="EL47" s="4400"/>
      <c r="EM47" s="4401"/>
      <c r="EN47" s="4401"/>
      <c r="EO47" s="4401"/>
      <c r="EP47" s="4401"/>
      <c r="EQ47" s="4401"/>
      <c r="ER47" s="4401"/>
      <c r="ES47" s="4402"/>
      <c r="ET47" s="4400"/>
      <c r="EU47" s="4401"/>
      <c r="EV47" s="4401"/>
      <c r="EW47" s="4401"/>
      <c r="EX47" s="4401"/>
      <c r="EY47" s="4401"/>
      <c r="EZ47" s="4401"/>
      <c r="FA47" s="4402"/>
      <c r="FB47" s="4400"/>
      <c r="FC47" s="4401"/>
      <c r="FD47" s="4401"/>
      <c r="FE47" s="4401"/>
      <c r="FF47" s="4401"/>
      <c r="FG47" s="4401"/>
      <c r="FH47" s="4401"/>
      <c r="FI47" s="4402"/>
      <c r="FJ47" s="4400"/>
      <c r="FK47" s="4401"/>
      <c r="FL47" s="4401"/>
      <c r="FM47" s="4401"/>
      <c r="FN47" s="4401"/>
      <c r="FO47" s="4401"/>
      <c r="FP47" s="4401"/>
      <c r="FQ47" s="4402"/>
      <c r="FR47" s="4400"/>
      <c r="FS47" s="4401"/>
      <c r="FT47" s="4401"/>
      <c r="FU47" s="4401"/>
      <c r="FV47" s="4401"/>
      <c r="FW47" s="4401"/>
      <c r="FX47" s="4401"/>
      <c r="FY47" s="4402"/>
      <c r="FZ47" s="4400"/>
      <c r="GA47" s="4401"/>
      <c r="GB47" s="4401"/>
      <c r="GC47" s="4401"/>
      <c r="GD47" s="4401"/>
      <c r="GE47" s="4401"/>
      <c r="GF47" s="4401"/>
      <c r="GG47" s="4402"/>
      <c r="GH47" s="4402"/>
      <c r="GI47" s="1176" t="s">
        <v>426</v>
      </c>
      <c r="GK47" s="435"/>
      <c r="GL47" s="435" t="str">
        <f t="shared" si="1"/>
        <v>Схема подключения теплопотребляющей установки к коллектору источника тепловой энергии</v>
      </c>
      <c r="GM47" s="435"/>
      <c r="GN47" s="435"/>
      <c r="GO47" s="1073">
        <v>47</v>
      </c>
    </row>
    <row r="48" spans="1:197" ht="21.95" customHeight="1">
      <c r="A48" s="1281" t="s">
        <v>168</v>
      </c>
      <c r="B48" s="1281" t="s">
        <v>169</v>
      </c>
      <c r="C48" s="1281" t="s">
        <v>170</v>
      </c>
      <c r="D48" s="1281" t="s">
        <v>171</v>
      </c>
      <c r="E48" s="4413"/>
      <c r="F48" s="4413"/>
      <c r="G48" s="4413"/>
      <c r="H48" s="4413"/>
      <c r="I48" s="4415"/>
      <c r="J48" s="4414" t="str">
        <f>I47&amp;".1"</f>
        <v>1.1.1.1.1.1</v>
      </c>
      <c r="K48" s="1281"/>
      <c r="L48" s="1282" t="s">
        <v>427</v>
      </c>
      <c r="P48" s="4416"/>
      <c r="Q48" s="4416">
        <v>1</v>
      </c>
      <c r="R48" s="292"/>
      <c r="S48" s="1254" t="str">
        <f>$J48</f>
        <v>1.1.1.1.1.1</v>
      </c>
      <c r="T48" s="222" t="s">
        <v>428</v>
      </c>
      <c r="U48" s="236"/>
      <c r="V48" s="4400"/>
      <c r="W48" s="4401"/>
      <c r="X48" s="4401"/>
      <c r="Y48" s="4401"/>
      <c r="Z48" s="4401"/>
      <c r="AA48" s="4401"/>
      <c r="AB48" s="4401"/>
      <c r="AC48" s="4402"/>
      <c r="AD48" s="4400" t="s">
        <v>468</v>
      </c>
      <c r="AE48" s="4401"/>
      <c r="AF48" s="4401"/>
      <c r="AG48" s="4401"/>
      <c r="AH48" s="4401"/>
      <c r="AI48" s="4401"/>
      <c r="AJ48" s="4401"/>
      <c r="AK48" s="4401"/>
      <c r="AL48" s="4400"/>
      <c r="AM48" s="4401"/>
      <c r="AN48" s="4401"/>
      <c r="AO48" s="4401"/>
      <c r="AP48" s="4401"/>
      <c r="AQ48" s="4401"/>
      <c r="AR48" s="4401"/>
      <c r="AS48" s="4402"/>
      <c r="AT48" s="4400"/>
      <c r="AU48" s="4401"/>
      <c r="AV48" s="4401"/>
      <c r="AW48" s="4401"/>
      <c r="AX48" s="4401"/>
      <c r="AY48" s="4401"/>
      <c r="AZ48" s="4401"/>
      <c r="BA48" s="4402"/>
      <c r="BB48" s="4400"/>
      <c r="BC48" s="4401"/>
      <c r="BD48" s="4401"/>
      <c r="BE48" s="4401"/>
      <c r="BF48" s="4401"/>
      <c r="BG48" s="4401"/>
      <c r="BH48" s="4401"/>
      <c r="BI48" s="4402"/>
      <c r="BJ48" s="4400"/>
      <c r="BK48" s="4401"/>
      <c r="BL48" s="4401"/>
      <c r="BM48" s="4401"/>
      <c r="BN48" s="4401"/>
      <c r="BO48" s="4401"/>
      <c r="BP48" s="4401"/>
      <c r="BQ48" s="4402"/>
      <c r="BR48" s="4400"/>
      <c r="BS48" s="4401"/>
      <c r="BT48" s="4401"/>
      <c r="BU48" s="4401"/>
      <c r="BV48" s="4401"/>
      <c r="BW48" s="4401"/>
      <c r="BX48" s="4401"/>
      <c r="BY48" s="4402"/>
      <c r="BZ48" s="4400"/>
      <c r="CA48" s="4401"/>
      <c r="CB48" s="4401"/>
      <c r="CC48" s="4401"/>
      <c r="CD48" s="4401"/>
      <c r="CE48" s="4401"/>
      <c r="CF48" s="4401"/>
      <c r="CG48" s="4402"/>
      <c r="CH48" s="4400"/>
      <c r="CI48" s="4401"/>
      <c r="CJ48" s="4401"/>
      <c r="CK48" s="4401"/>
      <c r="CL48" s="4401"/>
      <c r="CM48" s="4401"/>
      <c r="CN48" s="4401"/>
      <c r="CO48" s="4402"/>
      <c r="CP48" s="4400"/>
      <c r="CQ48" s="4401"/>
      <c r="CR48" s="4401"/>
      <c r="CS48" s="4401"/>
      <c r="CT48" s="4401"/>
      <c r="CU48" s="4401"/>
      <c r="CV48" s="4401"/>
      <c r="CW48" s="4402"/>
      <c r="CX48" s="4400"/>
      <c r="CY48" s="4401"/>
      <c r="CZ48" s="4401"/>
      <c r="DA48" s="4401"/>
      <c r="DB48" s="4401"/>
      <c r="DC48" s="4401"/>
      <c r="DD48" s="4401"/>
      <c r="DE48" s="4402"/>
      <c r="DF48" s="4400"/>
      <c r="DG48" s="4401"/>
      <c r="DH48" s="4401"/>
      <c r="DI48" s="4401"/>
      <c r="DJ48" s="4401"/>
      <c r="DK48" s="4401"/>
      <c r="DL48" s="4401"/>
      <c r="DM48" s="4402"/>
      <c r="DN48" s="4400"/>
      <c r="DO48" s="4401"/>
      <c r="DP48" s="4401"/>
      <c r="DQ48" s="4401"/>
      <c r="DR48" s="4401"/>
      <c r="DS48" s="4401"/>
      <c r="DT48" s="4401"/>
      <c r="DU48" s="4402"/>
      <c r="DV48" s="4400"/>
      <c r="DW48" s="4401"/>
      <c r="DX48" s="4401"/>
      <c r="DY48" s="4401"/>
      <c r="DZ48" s="4401"/>
      <c r="EA48" s="4401"/>
      <c r="EB48" s="4401"/>
      <c r="EC48" s="4402"/>
      <c r="ED48" s="4400"/>
      <c r="EE48" s="4401"/>
      <c r="EF48" s="4401"/>
      <c r="EG48" s="4401"/>
      <c r="EH48" s="4401"/>
      <c r="EI48" s="4401"/>
      <c r="EJ48" s="4401"/>
      <c r="EK48" s="4402"/>
      <c r="EL48" s="4400"/>
      <c r="EM48" s="4401"/>
      <c r="EN48" s="4401"/>
      <c r="EO48" s="4401"/>
      <c r="EP48" s="4401"/>
      <c r="EQ48" s="4401"/>
      <c r="ER48" s="4401"/>
      <c r="ES48" s="4402"/>
      <c r="ET48" s="4400"/>
      <c r="EU48" s="4401"/>
      <c r="EV48" s="4401"/>
      <c r="EW48" s="4401"/>
      <c r="EX48" s="4401"/>
      <c r="EY48" s="4401"/>
      <c r="EZ48" s="4401"/>
      <c r="FA48" s="4402"/>
      <c r="FB48" s="4400"/>
      <c r="FC48" s="4401"/>
      <c r="FD48" s="4401"/>
      <c r="FE48" s="4401"/>
      <c r="FF48" s="4401"/>
      <c r="FG48" s="4401"/>
      <c r="FH48" s="4401"/>
      <c r="FI48" s="4402"/>
      <c r="FJ48" s="4400"/>
      <c r="FK48" s="4401"/>
      <c r="FL48" s="4401"/>
      <c r="FM48" s="4401"/>
      <c r="FN48" s="4401"/>
      <c r="FO48" s="4401"/>
      <c r="FP48" s="4401"/>
      <c r="FQ48" s="4402"/>
      <c r="FR48" s="4400"/>
      <c r="FS48" s="4401"/>
      <c r="FT48" s="4401"/>
      <c r="FU48" s="4401"/>
      <c r="FV48" s="4401"/>
      <c r="FW48" s="4401"/>
      <c r="FX48" s="4401"/>
      <c r="FY48" s="4402"/>
      <c r="FZ48" s="4400"/>
      <c r="GA48" s="4401"/>
      <c r="GB48" s="4401"/>
      <c r="GC48" s="4401"/>
      <c r="GD48" s="4401"/>
      <c r="GE48" s="4401"/>
      <c r="GF48" s="4401"/>
      <c r="GG48" s="4402"/>
      <c r="GH48" s="4402"/>
      <c r="GI48" s="1176" t="s">
        <v>429</v>
      </c>
      <c r="GK48" s="435"/>
      <c r="GL48" s="435" t="str">
        <f t="shared" si="1"/>
        <v>Группа потребителей</v>
      </c>
      <c r="GM48" s="435"/>
      <c r="GN48" s="435"/>
      <c r="GO48" s="1073">
        <v>21</v>
      </c>
    </row>
    <row r="49" spans="1:197" ht="21.95" customHeight="1">
      <c r="A49" s="1281" t="s">
        <v>168</v>
      </c>
      <c r="B49" s="1281" t="s">
        <v>169</v>
      </c>
      <c r="C49" s="1281" t="s">
        <v>170</v>
      </c>
      <c r="D49" s="1281" t="s">
        <v>171</v>
      </c>
      <c r="E49" s="4413"/>
      <c r="F49" s="4413"/>
      <c r="G49" s="4413"/>
      <c r="H49" s="4413"/>
      <c r="I49" s="4415"/>
      <c r="J49" s="4415"/>
      <c r="K49" s="4414" t="str">
        <f>J48&amp;".1"</f>
        <v>1.1.1.1.1.1.1</v>
      </c>
      <c r="L49" s="1282" t="s">
        <v>430</v>
      </c>
      <c r="P49" s="4416"/>
      <c r="Q49" s="4416"/>
      <c r="R49" s="292">
        <v>1</v>
      </c>
      <c r="S49" s="1254" t="str">
        <f>$K49</f>
        <v>1.1.1.1.1.1.1</v>
      </c>
      <c r="T49" s="1265" t="s">
        <v>469</v>
      </c>
      <c r="U49" s="236"/>
      <c r="V49" s="686"/>
      <c r="W49" s="261"/>
      <c r="X49" s="686"/>
      <c r="Y49" s="1175"/>
      <c r="Z49" s="4417"/>
      <c r="AA49" s="4284" t="s">
        <v>65</v>
      </c>
      <c r="AB49" s="4417"/>
      <c r="AC49" s="4284" t="s">
        <v>65</v>
      </c>
      <c r="AD49" s="686">
        <v>3211.82</v>
      </c>
      <c r="AE49" s="261"/>
      <c r="AF49" s="686"/>
      <c r="AG49" s="1175"/>
      <c r="AH49" s="4417">
        <v>42990</v>
      </c>
      <c r="AI49" s="4284" t="s">
        <v>65</v>
      </c>
      <c r="AJ49" s="4419">
        <v>43100</v>
      </c>
      <c r="AK49" s="4284" t="s">
        <v>65</v>
      </c>
      <c r="AL49" s="2056">
        <v>3211.82</v>
      </c>
      <c r="AM49" s="2057"/>
      <c r="AN49" s="2056"/>
      <c r="AO49" s="2058"/>
      <c r="AP49" s="4417">
        <v>43101</v>
      </c>
      <c r="AQ49" s="4284" t="s">
        <v>65</v>
      </c>
      <c r="AR49" s="4417">
        <v>43281</v>
      </c>
      <c r="AS49" s="4284" t="s">
        <v>65</v>
      </c>
      <c r="AT49" s="2056">
        <v>3327.68</v>
      </c>
      <c r="AU49" s="2057"/>
      <c r="AV49" s="2056"/>
      <c r="AW49" s="2058"/>
      <c r="AX49" s="4417">
        <v>43282</v>
      </c>
      <c r="AY49" s="4284" t="s">
        <v>65</v>
      </c>
      <c r="AZ49" s="4417">
        <v>43465</v>
      </c>
      <c r="BA49" s="4284" t="s">
        <v>65</v>
      </c>
      <c r="BB49" s="2056">
        <v>3327.68</v>
      </c>
      <c r="BC49" s="2057"/>
      <c r="BD49" s="2056"/>
      <c r="BE49" s="2058"/>
      <c r="BF49" s="4417">
        <v>43466</v>
      </c>
      <c r="BG49" s="4284" t="s">
        <v>65</v>
      </c>
      <c r="BH49" s="4417">
        <v>43646</v>
      </c>
      <c r="BI49" s="4284" t="s">
        <v>65</v>
      </c>
      <c r="BJ49" s="2056">
        <v>3826.83</v>
      </c>
      <c r="BK49" s="2057"/>
      <c r="BL49" s="2056"/>
      <c r="BM49" s="2058"/>
      <c r="BN49" s="4417">
        <v>43647</v>
      </c>
      <c r="BO49" s="4284" t="s">
        <v>65</v>
      </c>
      <c r="BP49" s="4417">
        <v>43830</v>
      </c>
      <c r="BQ49" s="4284" t="s">
        <v>65</v>
      </c>
      <c r="BR49" s="2056">
        <v>3319.89</v>
      </c>
      <c r="BS49" s="2057"/>
      <c r="BT49" s="2056"/>
      <c r="BU49" s="2058"/>
      <c r="BV49" s="4417">
        <v>43831</v>
      </c>
      <c r="BW49" s="4284" t="s">
        <v>65</v>
      </c>
      <c r="BX49" s="4417">
        <v>44012</v>
      </c>
      <c r="BY49" s="4284" t="s">
        <v>65</v>
      </c>
      <c r="BZ49" s="2056">
        <v>3319.89</v>
      </c>
      <c r="CA49" s="2057"/>
      <c r="CB49" s="2056"/>
      <c r="CC49" s="2058"/>
      <c r="CD49" s="4417">
        <v>44013</v>
      </c>
      <c r="CE49" s="4284" t="s">
        <v>65</v>
      </c>
      <c r="CF49" s="4417">
        <v>44196</v>
      </c>
      <c r="CG49" s="4284" t="s">
        <v>65</v>
      </c>
      <c r="CH49" s="2056">
        <v>3319.89</v>
      </c>
      <c r="CI49" s="2057"/>
      <c r="CJ49" s="2056"/>
      <c r="CK49" s="2058"/>
      <c r="CL49" s="4417">
        <v>44197</v>
      </c>
      <c r="CM49" s="4284" t="s">
        <v>65</v>
      </c>
      <c r="CN49" s="4417">
        <v>44377</v>
      </c>
      <c r="CO49" s="4284" t="s">
        <v>65</v>
      </c>
      <c r="CP49" s="2056">
        <v>3748.58</v>
      </c>
      <c r="CQ49" s="2057"/>
      <c r="CR49" s="2056"/>
      <c r="CS49" s="2058"/>
      <c r="CT49" s="4417">
        <v>44378</v>
      </c>
      <c r="CU49" s="4284" t="s">
        <v>65</v>
      </c>
      <c r="CV49" s="4417">
        <v>44561</v>
      </c>
      <c r="CW49" s="4284" t="s">
        <v>65</v>
      </c>
      <c r="CX49" s="2056">
        <v>3748.58</v>
      </c>
      <c r="CY49" s="2057"/>
      <c r="CZ49" s="2056"/>
      <c r="DA49" s="2058"/>
      <c r="DB49" s="4417">
        <v>44562</v>
      </c>
      <c r="DC49" s="4284" t="s">
        <v>65</v>
      </c>
      <c r="DD49" s="4417">
        <v>44742</v>
      </c>
      <c r="DE49" s="4284" t="s">
        <v>65</v>
      </c>
      <c r="DF49" s="2056">
        <v>6983.26</v>
      </c>
      <c r="DG49" s="2057"/>
      <c r="DH49" s="2056"/>
      <c r="DI49" s="2058"/>
      <c r="DJ49" s="4417">
        <v>44743</v>
      </c>
      <c r="DK49" s="4284" t="s">
        <v>65</v>
      </c>
      <c r="DL49" s="4417">
        <v>44895</v>
      </c>
      <c r="DM49" s="4284" t="s">
        <v>65</v>
      </c>
      <c r="DN49" s="2056">
        <v>3379.59</v>
      </c>
      <c r="DO49" s="2057"/>
      <c r="DP49" s="2056"/>
      <c r="DQ49" s="2058"/>
      <c r="DR49" s="4417">
        <v>44896</v>
      </c>
      <c r="DS49" s="4284" t="s">
        <v>65</v>
      </c>
      <c r="DT49" s="4417">
        <v>45291</v>
      </c>
      <c r="DU49" s="4284" t="s">
        <v>65</v>
      </c>
      <c r="DV49" s="2056">
        <v>3379.59</v>
      </c>
      <c r="DW49" s="2057"/>
      <c r="DX49" s="2056"/>
      <c r="DY49" s="2058"/>
      <c r="DZ49" s="4417">
        <v>45292</v>
      </c>
      <c r="EA49" s="4284" t="s">
        <v>65</v>
      </c>
      <c r="EB49" s="4417">
        <v>45473</v>
      </c>
      <c r="EC49" s="4284" t="s">
        <v>65</v>
      </c>
      <c r="ED49" s="2056">
        <v>9698.42</v>
      </c>
      <c r="EE49" s="2057"/>
      <c r="EF49" s="2056"/>
      <c r="EG49" s="2058"/>
      <c r="EH49" s="4417">
        <v>45474</v>
      </c>
      <c r="EI49" s="4284" t="s">
        <v>65</v>
      </c>
      <c r="EJ49" s="4417">
        <v>45657</v>
      </c>
      <c r="EK49" s="4284" t="s">
        <v>65</v>
      </c>
      <c r="EL49" s="2056">
        <v>5965.17</v>
      </c>
      <c r="EM49" s="2057"/>
      <c r="EN49" s="2056"/>
      <c r="EO49" s="2058"/>
      <c r="EP49" s="4417">
        <v>45658</v>
      </c>
      <c r="EQ49" s="4284" t="s">
        <v>65</v>
      </c>
      <c r="ER49" s="4417">
        <v>45838</v>
      </c>
      <c r="ES49" s="4284" t="s">
        <v>65</v>
      </c>
      <c r="ET49" s="2056">
        <v>5965.17</v>
      </c>
      <c r="EU49" s="2057"/>
      <c r="EV49" s="2056"/>
      <c r="EW49" s="2058"/>
      <c r="EX49" s="4417">
        <v>45839</v>
      </c>
      <c r="EY49" s="4284" t="s">
        <v>65</v>
      </c>
      <c r="EZ49" s="4417">
        <v>46022</v>
      </c>
      <c r="FA49" s="4284" t="s">
        <v>65</v>
      </c>
      <c r="FB49" s="2056">
        <v>3327.1</v>
      </c>
      <c r="FC49" s="2057"/>
      <c r="FD49" s="2056"/>
      <c r="FE49" s="2058"/>
      <c r="FF49" s="4417">
        <v>46023</v>
      </c>
      <c r="FG49" s="4284" t="s">
        <v>65</v>
      </c>
      <c r="FH49" s="4417">
        <v>46203</v>
      </c>
      <c r="FI49" s="4284" t="s">
        <v>65</v>
      </c>
      <c r="FJ49" s="2056">
        <v>3327.1</v>
      </c>
      <c r="FK49" s="2057"/>
      <c r="FL49" s="2056"/>
      <c r="FM49" s="2058"/>
      <c r="FN49" s="4417">
        <v>46204</v>
      </c>
      <c r="FO49" s="4284" t="s">
        <v>65</v>
      </c>
      <c r="FP49" s="4417">
        <v>46387</v>
      </c>
      <c r="FQ49" s="4284" t="s">
        <v>65</v>
      </c>
      <c r="FR49" s="2056">
        <v>3320.78</v>
      </c>
      <c r="FS49" s="2057"/>
      <c r="FT49" s="2056"/>
      <c r="FU49" s="2058"/>
      <c r="FV49" s="4417">
        <v>46388</v>
      </c>
      <c r="FW49" s="4284" t="s">
        <v>65</v>
      </c>
      <c r="FX49" s="4417">
        <v>46568</v>
      </c>
      <c r="FY49" s="4284" t="s">
        <v>65</v>
      </c>
      <c r="FZ49" s="2056">
        <v>3320.78</v>
      </c>
      <c r="GA49" s="2057"/>
      <c r="GB49" s="2056"/>
      <c r="GC49" s="2058"/>
      <c r="GD49" s="4417">
        <v>46569</v>
      </c>
      <c r="GE49" s="4284" t="s">
        <v>65</v>
      </c>
      <c r="GF49" s="4417">
        <v>46630</v>
      </c>
      <c r="GG49" s="4284" t="s">
        <v>65</v>
      </c>
      <c r="GH49" s="1266"/>
      <c r="GI49" s="4435" t="s">
        <v>431</v>
      </c>
      <c r="GJ49" s="446" t="e">
        <f ca="1">STRCHECKDATE(V50:GH50)</f>
        <v>#NAME?</v>
      </c>
      <c r="GK49" s="435"/>
      <c r="GL49" s="435" t="str">
        <f t="shared" si="1"/>
        <v>вода</v>
      </c>
      <c r="GM49" s="435"/>
      <c r="GN49" s="435"/>
      <c r="GO49" s="1073">
        <v>21</v>
      </c>
    </row>
    <row r="50" spans="1:197" ht="1.1499999999999999" customHeight="1">
      <c r="A50" s="1281" t="s">
        <v>168</v>
      </c>
      <c r="B50" s="1281" t="s">
        <v>169</v>
      </c>
      <c r="C50" s="1281" t="s">
        <v>170</v>
      </c>
      <c r="D50" s="1281" t="s">
        <v>171</v>
      </c>
      <c r="E50" s="4413"/>
      <c r="F50" s="4413"/>
      <c r="G50" s="4413"/>
      <c r="H50" s="4413"/>
      <c r="I50" s="4415"/>
      <c r="J50" s="4415"/>
      <c r="K50" s="4414"/>
      <c r="L50" s="1282"/>
      <c r="P50" s="4416"/>
      <c r="Q50" s="4416"/>
      <c r="R50" s="292"/>
      <c r="S50" s="1260"/>
      <c r="T50" s="236"/>
      <c r="U50" s="236"/>
      <c r="V50" s="261"/>
      <c r="W50" s="261"/>
      <c r="X50" s="261"/>
      <c r="Y50" s="264" t="str">
        <f>Z49&amp;"-"&amp;AB49</f>
        <v>-</v>
      </c>
      <c r="Z50" s="4418"/>
      <c r="AA50" s="4284"/>
      <c r="AB50" s="4418"/>
      <c r="AC50" s="4284"/>
      <c r="AD50" s="261"/>
      <c r="AE50" s="261"/>
      <c r="AF50" s="261"/>
      <c r="AG50" s="264" t="str">
        <f>AH49&amp;"-"&amp;AJ49</f>
        <v>42990-43100</v>
      </c>
      <c r="AH50" s="4418"/>
      <c r="AI50" s="4284"/>
      <c r="AJ50" s="4420"/>
      <c r="AK50" s="4284"/>
      <c r="AL50" s="2057"/>
      <c r="AM50" s="2057"/>
      <c r="AN50" s="2057"/>
      <c r="AO50" s="2059" t="str">
        <f>AP49&amp;"-"&amp;AR49</f>
        <v>43101-43281</v>
      </c>
      <c r="AP50" s="4418"/>
      <c r="AQ50" s="4284"/>
      <c r="AR50" s="4418"/>
      <c r="AS50" s="4284"/>
      <c r="AT50" s="2057"/>
      <c r="AU50" s="2057"/>
      <c r="AV50" s="2057"/>
      <c r="AW50" s="2059" t="str">
        <f>AX49&amp;"-"&amp;AZ49</f>
        <v>43282-43465</v>
      </c>
      <c r="AX50" s="4418"/>
      <c r="AY50" s="4284"/>
      <c r="AZ50" s="4418"/>
      <c r="BA50" s="4284"/>
      <c r="BB50" s="2057"/>
      <c r="BC50" s="2057"/>
      <c r="BD50" s="2057"/>
      <c r="BE50" s="2059" t="str">
        <f>BF49&amp;"-"&amp;BH49</f>
        <v>43466-43646</v>
      </c>
      <c r="BF50" s="4418"/>
      <c r="BG50" s="4284"/>
      <c r="BH50" s="4418"/>
      <c r="BI50" s="4284"/>
      <c r="BJ50" s="2057"/>
      <c r="BK50" s="2057"/>
      <c r="BL50" s="2057"/>
      <c r="BM50" s="2059" t="str">
        <f>BN49&amp;"-"&amp;BP49</f>
        <v>43647-43830</v>
      </c>
      <c r="BN50" s="4418"/>
      <c r="BO50" s="4284"/>
      <c r="BP50" s="4418"/>
      <c r="BQ50" s="4284"/>
      <c r="BR50" s="2057"/>
      <c r="BS50" s="2057"/>
      <c r="BT50" s="2057"/>
      <c r="BU50" s="2059" t="str">
        <f>BV49&amp;"-"&amp;BX49</f>
        <v>43831-44012</v>
      </c>
      <c r="BV50" s="4418"/>
      <c r="BW50" s="4284"/>
      <c r="BX50" s="4418"/>
      <c r="BY50" s="4284"/>
      <c r="BZ50" s="2057"/>
      <c r="CA50" s="2057"/>
      <c r="CB50" s="2057"/>
      <c r="CC50" s="2059" t="str">
        <f>CD49&amp;"-"&amp;CF49</f>
        <v>44013-44196</v>
      </c>
      <c r="CD50" s="4418"/>
      <c r="CE50" s="4284"/>
      <c r="CF50" s="4418"/>
      <c r="CG50" s="4284"/>
      <c r="CH50" s="2057"/>
      <c r="CI50" s="2057"/>
      <c r="CJ50" s="2057"/>
      <c r="CK50" s="2059" t="str">
        <f>CL49&amp;"-"&amp;CN49</f>
        <v>44197-44377</v>
      </c>
      <c r="CL50" s="4418"/>
      <c r="CM50" s="4284"/>
      <c r="CN50" s="4418"/>
      <c r="CO50" s="4284"/>
      <c r="CP50" s="2057"/>
      <c r="CQ50" s="2057"/>
      <c r="CR50" s="2057"/>
      <c r="CS50" s="2059" t="str">
        <f>CT49&amp;"-"&amp;CV49</f>
        <v>44378-44561</v>
      </c>
      <c r="CT50" s="4418"/>
      <c r="CU50" s="4284"/>
      <c r="CV50" s="4418"/>
      <c r="CW50" s="4284"/>
      <c r="CX50" s="2057"/>
      <c r="CY50" s="2057"/>
      <c r="CZ50" s="2057"/>
      <c r="DA50" s="2059" t="str">
        <f>DB49&amp;"-"&amp;DD49</f>
        <v>44562-44742</v>
      </c>
      <c r="DB50" s="4418"/>
      <c r="DC50" s="4284"/>
      <c r="DD50" s="4418"/>
      <c r="DE50" s="4284"/>
      <c r="DF50" s="2057"/>
      <c r="DG50" s="2057"/>
      <c r="DH50" s="2057"/>
      <c r="DI50" s="2059" t="str">
        <f>DJ49&amp;"-"&amp;DL49</f>
        <v>44743-44895</v>
      </c>
      <c r="DJ50" s="4418"/>
      <c r="DK50" s="4284"/>
      <c r="DL50" s="4418"/>
      <c r="DM50" s="4284"/>
      <c r="DN50" s="2057"/>
      <c r="DO50" s="2057"/>
      <c r="DP50" s="2057"/>
      <c r="DQ50" s="2059" t="str">
        <f>DR49&amp;"-"&amp;DT49</f>
        <v>44896-45291</v>
      </c>
      <c r="DR50" s="4418"/>
      <c r="DS50" s="4284"/>
      <c r="DT50" s="4418"/>
      <c r="DU50" s="4284"/>
      <c r="DV50" s="2057"/>
      <c r="DW50" s="2057"/>
      <c r="DX50" s="2057"/>
      <c r="DY50" s="2059" t="str">
        <f>DZ49&amp;"-"&amp;EB49</f>
        <v>45292-45473</v>
      </c>
      <c r="DZ50" s="4418"/>
      <c r="EA50" s="4284"/>
      <c r="EB50" s="4418"/>
      <c r="EC50" s="4284"/>
      <c r="ED50" s="2057"/>
      <c r="EE50" s="2057"/>
      <c r="EF50" s="2057"/>
      <c r="EG50" s="2059" t="str">
        <f>EH49&amp;"-"&amp;EJ49</f>
        <v>45474-45657</v>
      </c>
      <c r="EH50" s="4418"/>
      <c r="EI50" s="4284"/>
      <c r="EJ50" s="4418"/>
      <c r="EK50" s="4284"/>
      <c r="EL50" s="2057"/>
      <c r="EM50" s="2057"/>
      <c r="EN50" s="2057"/>
      <c r="EO50" s="2059" t="str">
        <f>EP49&amp;"-"&amp;ER49</f>
        <v>45658-45838</v>
      </c>
      <c r="EP50" s="4418"/>
      <c r="EQ50" s="4284"/>
      <c r="ER50" s="4418"/>
      <c r="ES50" s="4284"/>
      <c r="ET50" s="2057"/>
      <c r="EU50" s="2057"/>
      <c r="EV50" s="2057"/>
      <c r="EW50" s="2059" t="str">
        <f>EX49&amp;"-"&amp;EZ49</f>
        <v>45839-46022</v>
      </c>
      <c r="EX50" s="4418"/>
      <c r="EY50" s="4284"/>
      <c r="EZ50" s="4418"/>
      <c r="FA50" s="4284"/>
      <c r="FB50" s="2057"/>
      <c r="FC50" s="2057"/>
      <c r="FD50" s="2057"/>
      <c r="FE50" s="2059" t="str">
        <f>FF49&amp;"-"&amp;FH49</f>
        <v>46023-46203</v>
      </c>
      <c r="FF50" s="4418"/>
      <c r="FG50" s="4284"/>
      <c r="FH50" s="4418"/>
      <c r="FI50" s="4284"/>
      <c r="FJ50" s="2057"/>
      <c r="FK50" s="2057"/>
      <c r="FL50" s="2057"/>
      <c r="FM50" s="2059" t="str">
        <f>FN49&amp;"-"&amp;FP49</f>
        <v>46204-46387</v>
      </c>
      <c r="FN50" s="4418"/>
      <c r="FO50" s="4284"/>
      <c r="FP50" s="4418"/>
      <c r="FQ50" s="4284"/>
      <c r="FR50" s="2057"/>
      <c r="FS50" s="2057"/>
      <c r="FT50" s="2057"/>
      <c r="FU50" s="2059" t="str">
        <f>FV49&amp;"-"&amp;FX49</f>
        <v>46388-46568</v>
      </c>
      <c r="FV50" s="4418"/>
      <c r="FW50" s="4284"/>
      <c r="FX50" s="4418"/>
      <c r="FY50" s="4284"/>
      <c r="FZ50" s="2057"/>
      <c r="GA50" s="2057"/>
      <c r="GB50" s="2057"/>
      <c r="GC50" s="2059" t="str">
        <f>GD49&amp;"-"&amp;GF49</f>
        <v>46569-46630</v>
      </c>
      <c r="GD50" s="4418"/>
      <c r="GE50" s="4284"/>
      <c r="GF50" s="4418"/>
      <c r="GG50" s="4284"/>
      <c r="GH50" s="1267"/>
      <c r="GI50" s="4436"/>
      <c r="GK50" s="435"/>
      <c r="GL50" s="435" t="str">
        <f t="shared" si="1"/>
        <v/>
      </c>
      <c r="GM50" s="435"/>
      <c r="GN50" s="435"/>
      <c r="GO50" s="1073">
        <v>1</v>
      </c>
    </row>
    <row r="51" spans="1:197" ht="11.45" customHeight="1">
      <c r="A51" s="1281" t="s">
        <v>168</v>
      </c>
      <c r="B51" s="1281" t="s">
        <v>169</v>
      </c>
      <c r="C51" s="1281" t="s">
        <v>170</v>
      </c>
      <c r="D51" s="1281" t="s">
        <v>171</v>
      </c>
      <c r="E51" s="4413"/>
      <c r="F51" s="4413"/>
      <c r="G51" s="4413"/>
      <c r="H51" s="4413"/>
      <c r="I51" s="4415"/>
      <c r="J51" s="4414"/>
      <c r="K51" s="1281"/>
      <c r="L51" s="1282"/>
      <c r="P51" s="4416"/>
      <c r="Q51" s="4416"/>
      <c r="R51" s="291"/>
      <c r="S51" s="1196"/>
      <c r="T51" s="224" t="s">
        <v>432</v>
      </c>
      <c r="U51" s="302"/>
      <c r="V51" s="302"/>
      <c r="W51" s="302"/>
      <c r="X51" s="302"/>
      <c r="Y51" s="302"/>
      <c r="Z51" s="302"/>
      <c r="AA51" s="302"/>
      <c r="AB51" s="302"/>
      <c r="AC51" s="302"/>
      <c r="AD51" s="302"/>
      <c r="AE51" s="302"/>
      <c r="AF51" s="302"/>
      <c r="AG51" s="302"/>
      <c r="AH51" s="302"/>
      <c r="AI51" s="302"/>
      <c r="AJ51" s="302"/>
      <c r="AK51" s="302"/>
      <c r="AL51" s="2528"/>
      <c r="AM51" s="2529"/>
      <c r="AN51" s="2530"/>
      <c r="AO51" s="2531"/>
      <c r="AP51" s="2532"/>
      <c r="AQ51" s="2533"/>
      <c r="AR51" s="2534"/>
      <c r="AS51" s="2535"/>
      <c r="AT51" s="2536"/>
      <c r="AU51" s="2537"/>
      <c r="AV51" s="2538"/>
      <c r="AW51" s="2539"/>
      <c r="AX51" s="2540"/>
      <c r="AY51" s="2541"/>
      <c r="AZ51" s="2542"/>
      <c r="BA51" s="2543"/>
      <c r="BB51" s="2544"/>
      <c r="BC51" s="2545"/>
      <c r="BD51" s="2546"/>
      <c r="BE51" s="2547"/>
      <c r="BF51" s="2548"/>
      <c r="BG51" s="2549"/>
      <c r="BH51" s="2550"/>
      <c r="BI51" s="2551"/>
      <c r="BJ51" s="2552"/>
      <c r="BK51" s="2553"/>
      <c r="BL51" s="2554"/>
      <c r="BM51" s="2555"/>
      <c r="BN51" s="2556"/>
      <c r="BO51" s="2557"/>
      <c r="BP51" s="2558"/>
      <c r="BQ51" s="2559"/>
      <c r="BR51" s="2560"/>
      <c r="BS51" s="2561"/>
      <c r="BT51" s="2562"/>
      <c r="BU51" s="2563"/>
      <c r="BV51" s="2564"/>
      <c r="BW51" s="2565"/>
      <c r="BX51" s="2566"/>
      <c r="BY51" s="2567"/>
      <c r="BZ51" s="2568"/>
      <c r="CA51" s="2569"/>
      <c r="CB51" s="2570"/>
      <c r="CC51" s="2571"/>
      <c r="CD51" s="2572"/>
      <c r="CE51" s="2573"/>
      <c r="CF51" s="2574"/>
      <c r="CG51" s="2575"/>
      <c r="CH51" s="2576"/>
      <c r="CI51" s="2577"/>
      <c r="CJ51" s="2578"/>
      <c r="CK51" s="2579"/>
      <c r="CL51" s="2580"/>
      <c r="CM51" s="2581"/>
      <c r="CN51" s="2582"/>
      <c r="CO51" s="2583"/>
      <c r="CP51" s="2584"/>
      <c r="CQ51" s="2585"/>
      <c r="CR51" s="2586"/>
      <c r="CS51" s="2587"/>
      <c r="CT51" s="2588"/>
      <c r="CU51" s="2589"/>
      <c r="CV51" s="2590"/>
      <c r="CW51" s="2591"/>
      <c r="CX51" s="2592"/>
      <c r="CY51" s="2593"/>
      <c r="CZ51" s="2594"/>
      <c r="DA51" s="2595"/>
      <c r="DB51" s="2596"/>
      <c r="DC51" s="2597"/>
      <c r="DD51" s="2598"/>
      <c r="DE51" s="2599"/>
      <c r="DF51" s="2600"/>
      <c r="DG51" s="2601"/>
      <c r="DH51" s="2602"/>
      <c r="DI51" s="2603"/>
      <c r="DJ51" s="2604"/>
      <c r="DK51" s="2605"/>
      <c r="DL51" s="2606"/>
      <c r="DM51" s="2607"/>
      <c r="DN51" s="2608"/>
      <c r="DO51" s="2609"/>
      <c r="DP51" s="2610"/>
      <c r="DQ51" s="2611"/>
      <c r="DR51" s="2612"/>
      <c r="DS51" s="2613"/>
      <c r="DT51" s="2614"/>
      <c r="DU51" s="2615"/>
      <c r="DV51" s="2616"/>
      <c r="DW51" s="2617"/>
      <c r="DX51" s="2618"/>
      <c r="DY51" s="2619"/>
      <c r="DZ51" s="2620"/>
      <c r="EA51" s="2621"/>
      <c r="EB51" s="2622"/>
      <c r="EC51" s="2623"/>
      <c r="ED51" s="2624"/>
      <c r="EE51" s="2625"/>
      <c r="EF51" s="2626"/>
      <c r="EG51" s="2627"/>
      <c r="EH51" s="2628"/>
      <c r="EI51" s="2629"/>
      <c r="EJ51" s="2630"/>
      <c r="EK51" s="2631"/>
      <c r="EL51" s="2632"/>
      <c r="EM51" s="2633"/>
      <c r="EN51" s="2634"/>
      <c r="EO51" s="2635"/>
      <c r="EP51" s="2636"/>
      <c r="EQ51" s="2637"/>
      <c r="ER51" s="2638"/>
      <c r="ES51" s="2639"/>
      <c r="ET51" s="2640"/>
      <c r="EU51" s="2641"/>
      <c r="EV51" s="2642"/>
      <c r="EW51" s="2643"/>
      <c r="EX51" s="2644"/>
      <c r="EY51" s="2645"/>
      <c r="EZ51" s="2646"/>
      <c r="FA51" s="2647"/>
      <c r="FB51" s="2648"/>
      <c r="FC51" s="2649"/>
      <c r="FD51" s="2650"/>
      <c r="FE51" s="2651"/>
      <c r="FF51" s="2652"/>
      <c r="FG51" s="2653"/>
      <c r="FH51" s="2654"/>
      <c r="FI51" s="2655"/>
      <c r="FJ51" s="2656"/>
      <c r="FK51" s="2657"/>
      <c r="FL51" s="2658"/>
      <c r="FM51" s="2659"/>
      <c r="FN51" s="2660"/>
      <c r="FO51" s="2661"/>
      <c r="FP51" s="2662"/>
      <c r="FQ51" s="2663"/>
      <c r="FR51" s="2664"/>
      <c r="FS51" s="2665"/>
      <c r="FT51" s="2666"/>
      <c r="FU51" s="2667"/>
      <c r="FV51" s="2668"/>
      <c r="FW51" s="2669"/>
      <c r="FX51" s="2670"/>
      <c r="FY51" s="2671"/>
      <c r="FZ51" s="2672"/>
      <c r="GA51" s="2673"/>
      <c r="GB51" s="2674"/>
      <c r="GC51" s="2675"/>
      <c r="GD51" s="2676"/>
      <c r="GE51" s="2677"/>
      <c r="GF51" s="2678"/>
      <c r="GG51" s="2679"/>
      <c r="GH51" s="260"/>
      <c r="GI51" s="4437"/>
      <c r="GK51" s="435"/>
      <c r="GL51" s="435" t="str">
        <f t="shared" si="1"/>
        <v>Добавить вид теплоносителя (параметры теплоносителя)</v>
      </c>
      <c r="GM51" s="435"/>
      <c r="GN51" s="435"/>
      <c r="GO51" s="1073">
        <v>11</v>
      </c>
    </row>
    <row r="52" spans="1:197" ht="11.45" customHeight="1">
      <c r="A52" s="1281" t="s">
        <v>168</v>
      </c>
      <c r="B52" s="1281" t="s">
        <v>169</v>
      </c>
      <c r="C52" s="1281" t="s">
        <v>170</v>
      </c>
      <c r="D52" s="1281" t="s">
        <v>171</v>
      </c>
      <c r="E52" s="4413"/>
      <c r="F52" s="4413"/>
      <c r="G52" s="4413"/>
      <c r="H52" s="4413"/>
      <c r="I52" s="4414"/>
      <c r="J52" s="1281"/>
      <c r="K52" s="1281"/>
      <c r="L52" s="1282"/>
      <c r="P52" s="4416"/>
      <c r="Q52" s="1249"/>
      <c r="R52" s="291"/>
      <c r="S52" s="1196"/>
      <c r="T52" s="223" t="s">
        <v>433</v>
      </c>
      <c r="U52" s="302"/>
      <c r="V52" s="302"/>
      <c r="W52" s="302"/>
      <c r="X52" s="302"/>
      <c r="Y52" s="302"/>
      <c r="Z52" s="302"/>
      <c r="AA52" s="302"/>
      <c r="AB52" s="302"/>
      <c r="AC52" s="301"/>
      <c r="AD52" s="302"/>
      <c r="AE52" s="302"/>
      <c r="AF52" s="302"/>
      <c r="AG52" s="302"/>
      <c r="AH52" s="302"/>
      <c r="AI52" s="302"/>
      <c r="AJ52" s="302"/>
      <c r="AK52" s="301"/>
      <c r="AL52" s="2680"/>
      <c r="AM52" s="2681"/>
      <c r="AN52" s="2682"/>
      <c r="AO52" s="2683"/>
      <c r="AP52" s="2684"/>
      <c r="AQ52" s="2685"/>
      <c r="AR52" s="2686"/>
      <c r="AS52" s="2687"/>
      <c r="AT52" s="2688"/>
      <c r="AU52" s="2689"/>
      <c r="AV52" s="2690"/>
      <c r="AW52" s="2691"/>
      <c r="AX52" s="2692"/>
      <c r="AY52" s="2693"/>
      <c r="AZ52" s="2694"/>
      <c r="BA52" s="2695"/>
      <c r="BB52" s="2696"/>
      <c r="BC52" s="2697"/>
      <c r="BD52" s="2698"/>
      <c r="BE52" s="2699"/>
      <c r="BF52" s="2700"/>
      <c r="BG52" s="2701"/>
      <c r="BH52" s="2702"/>
      <c r="BI52" s="2703"/>
      <c r="BJ52" s="2704"/>
      <c r="BK52" s="2705"/>
      <c r="BL52" s="2706"/>
      <c r="BM52" s="2707"/>
      <c r="BN52" s="2708"/>
      <c r="BO52" s="2709"/>
      <c r="BP52" s="2710"/>
      <c r="BQ52" s="2711"/>
      <c r="BR52" s="2712"/>
      <c r="BS52" s="2713"/>
      <c r="BT52" s="2714"/>
      <c r="BU52" s="2715"/>
      <c r="BV52" s="2716"/>
      <c r="BW52" s="2717"/>
      <c r="BX52" s="2718"/>
      <c r="BY52" s="2719"/>
      <c r="BZ52" s="2720"/>
      <c r="CA52" s="2721"/>
      <c r="CB52" s="2722"/>
      <c r="CC52" s="2723"/>
      <c r="CD52" s="2724"/>
      <c r="CE52" s="2725"/>
      <c r="CF52" s="2726"/>
      <c r="CG52" s="2727"/>
      <c r="CH52" s="2728"/>
      <c r="CI52" s="2729"/>
      <c r="CJ52" s="2730"/>
      <c r="CK52" s="2731"/>
      <c r="CL52" s="2732"/>
      <c r="CM52" s="2733"/>
      <c r="CN52" s="2734"/>
      <c r="CO52" s="2735"/>
      <c r="CP52" s="2736"/>
      <c r="CQ52" s="2737"/>
      <c r="CR52" s="2738"/>
      <c r="CS52" s="2739"/>
      <c r="CT52" s="2740"/>
      <c r="CU52" s="2741"/>
      <c r="CV52" s="2742"/>
      <c r="CW52" s="2743"/>
      <c r="CX52" s="2744"/>
      <c r="CY52" s="2745"/>
      <c r="CZ52" s="2746"/>
      <c r="DA52" s="2747"/>
      <c r="DB52" s="2748"/>
      <c r="DC52" s="2749"/>
      <c r="DD52" s="2750"/>
      <c r="DE52" s="2751"/>
      <c r="DF52" s="2752"/>
      <c r="DG52" s="2753"/>
      <c r="DH52" s="2754"/>
      <c r="DI52" s="2755"/>
      <c r="DJ52" s="2756"/>
      <c r="DK52" s="2757"/>
      <c r="DL52" s="2758"/>
      <c r="DM52" s="2759"/>
      <c r="DN52" s="2760"/>
      <c r="DO52" s="2761"/>
      <c r="DP52" s="2762"/>
      <c r="DQ52" s="2763"/>
      <c r="DR52" s="2764"/>
      <c r="DS52" s="2765"/>
      <c r="DT52" s="2766"/>
      <c r="DU52" s="2767"/>
      <c r="DV52" s="2768"/>
      <c r="DW52" s="2769"/>
      <c r="DX52" s="2770"/>
      <c r="DY52" s="2771"/>
      <c r="DZ52" s="2772"/>
      <c r="EA52" s="2773"/>
      <c r="EB52" s="2774"/>
      <c r="EC52" s="2775"/>
      <c r="ED52" s="2776"/>
      <c r="EE52" s="2777"/>
      <c r="EF52" s="2778"/>
      <c r="EG52" s="2779"/>
      <c r="EH52" s="2780"/>
      <c r="EI52" s="2781"/>
      <c r="EJ52" s="2782"/>
      <c r="EK52" s="2783"/>
      <c r="EL52" s="2784"/>
      <c r="EM52" s="2785"/>
      <c r="EN52" s="2786"/>
      <c r="EO52" s="2787"/>
      <c r="EP52" s="2788"/>
      <c r="EQ52" s="2789"/>
      <c r="ER52" s="2790"/>
      <c r="ES52" s="2791"/>
      <c r="ET52" s="2792"/>
      <c r="EU52" s="2793"/>
      <c r="EV52" s="2794"/>
      <c r="EW52" s="2795"/>
      <c r="EX52" s="2796"/>
      <c r="EY52" s="2797"/>
      <c r="EZ52" s="2798"/>
      <c r="FA52" s="2799"/>
      <c r="FB52" s="2800"/>
      <c r="FC52" s="2801"/>
      <c r="FD52" s="2802"/>
      <c r="FE52" s="2803"/>
      <c r="FF52" s="2804"/>
      <c r="FG52" s="2805"/>
      <c r="FH52" s="2806"/>
      <c r="FI52" s="2807"/>
      <c r="FJ52" s="2808"/>
      <c r="FK52" s="2809"/>
      <c r="FL52" s="2810"/>
      <c r="FM52" s="2811"/>
      <c r="FN52" s="2812"/>
      <c r="FO52" s="2813"/>
      <c r="FP52" s="2814"/>
      <c r="FQ52" s="2815"/>
      <c r="FR52" s="2816"/>
      <c r="FS52" s="2817"/>
      <c r="FT52" s="2818"/>
      <c r="FU52" s="2819"/>
      <c r="FV52" s="2820"/>
      <c r="FW52" s="2821"/>
      <c r="FX52" s="2822"/>
      <c r="FY52" s="2823"/>
      <c r="FZ52" s="2824"/>
      <c r="GA52" s="2825"/>
      <c r="GB52" s="2826"/>
      <c r="GC52" s="2827"/>
      <c r="GD52" s="2828"/>
      <c r="GE52" s="2829"/>
      <c r="GF52" s="2830"/>
      <c r="GG52" s="2831"/>
      <c r="GH52" s="302"/>
      <c r="GI52" s="239"/>
      <c r="GK52" s="435"/>
      <c r="GL52" s="435" t="str">
        <f t="shared" si="1"/>
        <v>Добавить группу потребителей</v>
      </c>
      <c r="GM52" s="435"/>
      <c r="GN52" s="435"/>
      <c r="GO52" s="1073">
        <v>11</v>
      </c>
    </row>
    <row r="53" spans="1:197" ht="14.65" customHeight="1">
      <c r="A53" s="1281" t="s">
        <v>168</v>
      </c>
      <c r="B53" s="1281" t="s">
        <v>169</v>
      </c>
      <c r="C53" s="1281" t="s">
        <v>170</v>
      </c>
      <c r="D53" s="1281" t="s">
        <v>171</v>
      </c>
      <c r="E53" s="4413"/>
      <c r="F53" s="4413"/>
      <c r="G53" s="4413"/>
      <c r="H53" s="4412"/>
      <c r="I53" s="1281"/>
      <c r="J53" s="1281"/>
      <c r="K53" s="1281"/>
      <c r="L53" s="1282"/>
      <c r="M53" s="1283"/>
      <c r="N53" s="1283"/>
      <c r="O53" s="472"/>
      <c r="P53" s="295"/>
      <c r="Q53" s="310"/>
      <c r="R53" s="290"/>
      <c r="S53" s="1196"/>
      <c r="T53" s="300" t="s">
        <v>434</v>
      </c>
      <c r="U53" s="302"/>
      <c r="V53" s="302"/>
      <c r="W53" s="302"/>
      <c r="X53" s="302"/>
      <c r="Y53" s="302"/>
      <c r="Z53" s="302"/>
      <c r="AA53" s="302"/>
      <c r="AB53" s="302"/>
      <c r="AC53" s="301"/>
      <c r="AD53" s="302"/>
      <c r="AE53" s="302"/>
      <c r="AF53" s="302"/>
      <c r="AG53" s="302"/>
      <c r="AH53" s="302"/>
      <c r="AI53" s="302"/>
      <c r="AJ53" s="302"/>
      <c r="AK53" s="301"/>
      <c r="AL53" s="2832"/>
      <c r="AM53" s="2833"/>
      <c r="AN53" s="2834"/>
      <c r="AO53" s="2835"/>
      <c r="AP53" s="2836"/>
      <c r="AQ53" s="2837"/>
      <c r="AR53" s="2838"/>
      <c r="AS53" s="2839"/>
      <c r="AT53" s="2840"/>
      <c r="AU53" s="2841"/>
      <c r="AV53" s="2842"/>
      <c r="AW53" s="2843"/>
      <c r="AX53" s="2844"/>
      <c r="AY53" s="2845"/>
      <c r="AZ53" s="2846"/>
      <c r="BA53" s="2847"/>
      <c r="BB53" s="2848"/>
      <c r="BC53" s="2849"/>
      <c r="BD53" s="2850"/>
      <c r="BE53" s="2851"/>
      <c r="BF53" s="2852"/>
      <c r="BG53" s="2853"/>
      <c r="BH53" s="2854"/>
      <c r="BI53" s="2855"/>
      <c r="BJ53" s="2856"/>
      <c r="BK53" s="2857"/>
      <c r="BL53" s="2858"/>
      <c r="BM53" s="2859"/>
      <c r="BN53" s="2860"/>
      <c r="BO53" s="2861"/>
      <c r="BP53" s="2862"/>
      <c r="BQ53" s="2863"/>
      <c r="BR53" s="2864"/>
      <c r="BS53" s="2865"/>
      <c r="BT53" s="2866"/>
      <c r="BU53" s="2867"/>
      <c r="BV53" s="2868"/>
      <c r="BW53" s="2869"/>
      <c r="BX53" s="2870"/>
      <c r="BY53" s="2871"/>
      <c r="BZ53" s="2872"/>
      <c r="CA53" s="2873"/>
      <c r="CB53" s="2874"/>
      <c r="CC53" s="2875"/>
      <c r="CD53" s="2876"/>
      <c r="CE53" s="2877"/>
      <c r="CF53" s="2878"/>
      <c r="CG53" s="2879"/>
      <c r="CH53" s="2880"/>
      <c r="CI53" s="2881"/>
      <c r="CJ53" s="2882"/>
      <c r="CK53" s="2883"/>
      <c r="CL53" s="2884"/>
      <c r="CM53" s="2885"/>
      <c r="CN53" s="2886"/>
      <c r="CO53" s="2887"/>
      <c r="CP53" s="2888"/>
      <c r="CQ53" s="2889"/>
      <c r="CR53" s="2890"/>
      <c r="CS53" s="2891"/>
      <c r="CT53" s="2892"/>
      <c r="CU53" s="2893"/>
      <c r="CV53" s="2894"/>
      <c r="CW53" s="2895"/>
      <c r="CX53" s="2896"/>
      <c r="CY53" s="2897"/>
      <c r="CZ53" s="2898"/>
      <c r="DA53" s="2899"/>
      <c r="DB53" s="2900"/>
      <c r="DC53" s="2901"/>
      <c r="DD53" s="2902"/>
      <c r="DE53" s="2903"/>
      <c r="DF53" s="2904"/>
      <c r="DG53" s="2905"/>
      <c r="DH53" s="2906"/>
      <c r="DI53" s="2907"/>
      <c r="DJ53" s="2908"/>
      <c r="DK53" s="2909"/>
      <c r="DL53" s="2910"/>
      <c r="DM53" s="2911"/>
      <c r="DN53" s="2912"/>
      <c r="DO53" s="2913"/>
      <c r="DP53" s="2914"/>
      <c r="DQ53" s="2915"/>
      <c r="DR53" s="2916"/>
      <c r="DS53" s="2917"/>
      <c r="DT53" s="2918"/>
      <c r="DU53" s="2919"/>
      <c r="DV53" s="2920"/>
      <c r="DW53" s="2921"/>
      <c r="DX53" s="2922"/>
      <c r="DY53" s="2923"/>
      <c r="DZ53" s="2924"/>
      <c r="EA53" s="2925"/>
      <c r="EB53" s="2926"/>
      <c r="EC53" s="2927"/>
      <c r="ED53" s="2928"/>
      <c r="EE53" s="2929"/>
      <c r="EF53" s="2930"/>
      <c r="EG53" s="2931"/>
      <c r="EH53" s="2932"/>
      <c r="EI53" s="2933"/>
      <c r="EJ53" s="2934"/>
      <c r="EK53" s="2935"/>
      <c r="EL53" s="2936"/>
      <c r="EM53" s="2937"/>
      <c r="EN53" s="2938"/>
      <c r="EO53" s="2939"/>
      <c r="EP53" s="2940"/>
      <c r="EQ53" s="2941"/>
      <c r="ER53" s="2942"/>
      <c r="ES53" s="2943"/>
      <c r="ET53" s="2944"/>
      <c r="EU53" s="2945"/>
      <c r="EV53" s="2946"/>
      <c r="EW53" s="2947"/>
      <c r="EX53" s="2948"/>
      <c r="EY53" s="2949"/>
      <c r="EZ53" s="2950"/>
      <c r="FA53" s="2951"/>
      <c r="FB53" s="2952"/>
      <c r="FC53" s="2953"/>
      <c r="FD53" s="2954"/>
      <c r="FE53" s="2955"/>
      <c r="FF53" s="2956"/>
      <c r="FG53" s="2957"/>
      <c r="FH53" s="2958"/>
      <c r="FI53" s="2959"/>
      <c r="FJ53" s="2960"/>
      <c r="FK53" s="2961"/>
      <c r="FL53" s="2962"/>
      <c r="FM53" s="2963"/>
      <c r="FN53" s="2964"/>
      <c r="FO53" s="2965"/>
      <c r="FP53" s="2966"/>
      <c r="FQ53" s="2967"/>
      <c r="FR53" s="2968"/>
      <c r="FS53" s="2969"/>
      <c r="FT53" s="2970"/>
      <c r="FU53" s="2971"/>
      <c r="FV53" s="2972"/>
      <c r="FW53" s="2973"/>
      <c r="FX53" s="2974"/>
      <c r="FY53" s="2975"/>
      <c r="FZ53" s="2976"/>
      <c r="GA53" s="2977"/>
      <c r="GB53" s="2978"/>
      <c r="GC53" s="2979"/>
      <c r="GD53" s="2980"/>
      <c r="GE53" s="2981"/>
      <c r="GF53" s="2982"/>
      <c r="GG53" s="2983"/>
      <c r="GH53" s="302"/>
      <c r="GI53" s="239"/>
      <c r="GK53" s="435"/>
      <c r="GL53" s="435" t="str">
        <f t="shared" si="1"/>
        <v>Добавить схему подключения</v>
      </c>
      <c r="GM53" s="435"/>
      <c r="GN53" s="435"/>
      <c r="GO53" s="1073">
        <v>14</v>
      </c>
    </row>
    <row r="54" spans="1:197" s="4140" customFormat="1" ht="1.1499999999999999" customHeight="1">
      <c r="A54" s="1261" t="s">
        <v>168</v>
      </c>
      <c r="B54" s="1261" t="s">
        <v>169</v>
      </c>
      <c r="C54" s="1261" t="s">
        <v>170</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2517"/>
      <c r="AM54" s="2517"/>
      <c r="AN54" s="2517"/>
      <c r="AO54" s="2517"/>
      <c r="AP54" s="2517"/>
      <c r="AQ54" s="2517"/>
      <c r="AR54" s="2517"/>
      <c r="AS54" s="2517"/>
      <c r="AT54" s="2517"/>
      <c r="AU54" s="2517"/>
      <c r="AV54" s="2517"/>
      <c r="AW54" s="2517"/>
      <c r="AX54" s="2517"/>
      <c r="AY54" s="2517"/>
      <c r="AZ54" s="2517"/>
      <c r="BA54" s="2517"/>
      <c r="BB54" s="2517"/>
      <c r="BC54" s="2517"/>
      <c r="BD54" s="2517"/>
      <c r="BE54" s="2517"/>
      <c r="BF54" s="2517"/>
      <c r="BG54" s="2517"/>
      <c r="BH54" s="2517"/>
      <c r="BI54" s="2517"/>
      <c r="BJ54" s="2517"/>
      <c r="BK54" s="2517"/>
      <c r="BL54" s="2517"/>
      <c r="BM54" s="2517"/>
      <c r="BN54" s="2517"/>
      <c r="BO54" s="2517"/>
      <c r="BP54" s="2517"/>
      <c r="BQ54" s="2517"/>
      <c r="BR54" s="2517"/>
      <c r="BS54" s="2517"/>
      <c r="BT54" s="2517"/>
      <c r="BU54" s="2517"/>
      <c r="BV54" s="2517"/>
      <c r="BW54" s="2517"/>
      <c r="BX54" s="2517"/>
      <c r="BY54" s="2517"/>
      <c r="BZ54" s="2517"/>
      <c r="CA54" s="2517"/>
      <c r="CB54" s="2517"/>
      <c r="CC54" s="2517"/>
      <c r="CD54" s="2517"/>
      <c r="CE54" s="2517"/>
      <c r="CF54" s="2517"/>
      <c r="CG54" s="2517"/>
      <c r="CH54" s="2517"/>
      <c r="CI54" s="2517"/>
      <c r="CJ54" s="2517"/>
      <c r="CK54" s="2517"/>
      <c r="CL54" s="2517"/>
      <c r="CM54" s="2517"/>
      <c r="CN54" s="2517"/>
      <c r="CO54" s="2517"/>
      <c r="CP54" s="2517"/>
      <c r="CQ54" s="2517"/>
      <c r="CR54" s="2517"/>
      <c r="CS54" s="2517"/>
      <c r="CT54" s="2517"/>
      <c r="CU54" s="2517"/>
      <c r="CV54" s="2517"/>
      <c r="CW54" s="2517"/>
      <c r="CX54" s="2517"/>
      <c r="CY54" s="2517"/>
      <c r="CZ54" s="2517"/>
      <c r="DA54" s="2517"/>
      <c r="DB54" s="2517"/>
      <c r="DC54" s="2517"/>
      <c r="DD54" s="2517"/>
      <c r="DE54" s="2517"/>
      <c r="DF54" s="2517"/>
      <c r="DG54" s="2517"/>
      <c r="DH54" s="2517"/>
      <c r="DI54" s="2517"/>
      <c r="DJ54" s="2517"/>
      <c r="DK54" s="2517"/>
      <c r="DL54" s="2517"/>
      <c r="DM54" s="2517"/>
      <c r="DN54" s="2517"/>
      <c r="DO54" s="2517"/>
      <c r="DP54" s="2517"/>
      <c r="DQ54" s="2517"/>
      <c r="DR54" s="2517"/>
      <c r="DS54" s="2517"/>
      <c r="DT54" s="2517"/>
      <c r="DU54" s="2517"/>
      <c r="DV54" s="2517"/>
      <c r="DW54" s="2517"/>
      <c r="DX54" s="2517"/>
      <c r="DY54" s="2517"/>
      <c r="DZ54" s="2517"/>
      <c r="EA54" s="2517"/>
      <c r="EB54" s="2517"/>
      <c r="EC54" s="2517"/>
      <c r="ED54" s="2517"/>
      <c r="EE54" s="2517"/>
      <c r="EF54" s="2517"/>
      <c r="EG54" s="2517"/>
      <c r="EH54" s="2517"/>
      <c r="EI54" s="2517"/>
      <c r="EJ54" s="2517"/>
      <c r="EK54" s="2517"/>
      <c r="EL54" s="2517"/>
      <c r="EM54" s="2517"/>
      <c r="EN54" s="2517"/>
      <c r="EO54" s="2517"/>
      <c r="EP54" s="2517"/>
      <c r="EQ54" s="2517"/>
      <c r="ER54" s="2517"/>
      <c r="ES54" s="2517"/>
      <c r="ET54" s="2517"/>
      <c r="EU54" s="2517"/>
      <c r="EV54" s="2517"/>
      <c r="EW54" s="2517"/>
      <c r="EX54" s="2517"/>
      <c r="EY54" s="2517"/>
      <c r="EZ54" s="2517"/>
      <c r="FA54" s="2517"/>
      <c r="FB54" s="2517"/>
      <c r="FC54" s="2517"/>
      <c r="FD54" s="2517"/>
      <c r="FE54" s="2517"/>
      <c r="FF54" s="2517"/>
      <c r="FG54" s="2517"/>
      <c r="FH54" s="2517"/>
      <c r="FI54" s="2517"/>
      <c r="FJ54" s="2517"/>
      <c r="FK54" s="2517"/>
      <c r="FL54" s="2517"/>
      <c r="FM54" s="2517"/>
      <c r="FN54" s="2517"/>
      <c r="FO54" s="2517"/>
      <c r="FP54" s="2517"/>
      <c r="FQ54" s="2517"/>
      <c r="FR54" s="2517"/>
      <c r="FS54" s="2517"/>
      <c r="FT54" s="2517"/>
      <c r="FU54" s="2517"/>
      <c r="FV54" s="2517"/>
      <c r="FW54" s="2517"/>
      <c r="FX54" s="2517"/>
      <c r="FY54" s="2517"/>
      <c r="FZ54" s="2517"/>
      <c r="GA54" s="2517"/>
      <c r="GB54" s="2517"/>
      <c r="GC54" s="2517"/>
      <c r="GD54" s="2517"/>
      <c r="GE54" s="2517"/>
      <c r="GF54" s="2517"/>
      <c r="GG54" s="2517"/>
      <c r="GH54" s="1242"/>
      <c r="GI54" s="1242"/>
      <c r="GK54" s="718"/>
      <c r="GL54" s="718" t="str">
        <f t="shared" si="1"/>
        <v>Добавить источник для дифференциации</v>
      </c>
      <c r="GM54" s="718"/>
      <c r="GN54" s="718"/>
      <c r="GO54" s="453">
        <v>1</v>
      </c>
    </row>
    <row r="55" spans="1:197" s="4140" customFormat="1" ht="1.1499999999999999" customHeight="1">
      <c r="A55" s="1261" t="s">
        <v>168</v>
      </c>
      <c r="B55" s="1261" t="s">
        <v>169</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2517"/>
      <c r="AM55" s="2517"/>
      <c r="AN55" s="2517"/>
      <c r="AO55" s="2517"/>
      <c r="AP55" s="2517"/>
      <c r="AQ55" s="2517"/>
      <c r="AR55" s="2517"/>
      <c r="AS55" s="2517"/>
      <c r="AT55" s="2517"/>
      <c r="AU55" s="2517"/>
      <c r="AV55" s="2517"/>
      <c r="AW55" s="2517"/>
      <c r="AX55" s="2517"/>
      <c r="AY55" s="2517"/>
      <c r="AZ55" s="2517"/>
      <c r="BA55" s="2517"/>
      <c r="BB55" s="2517"/>
      <c r="BC55" s="2517"/>
      <c r="BD55" s="2517"/>
      <c r="BE55" s="2517"/>
      <c r="BF55" s="2517"/>
      <c r="BG55" s="2517"/>
      <c r="BH55" s="2517"/>
      <c r="BI55" s="2517"/>
      <c r="BJ55" s="2517"/>
      <c r="BK55" s="2517"/>
      <c r="BL55" s="2517"/>
      <c r="BM55" s="2517"/>
      <c r="BN55" s="2517"/>
      <c r="BO55" s="2517"/>
      <c r="BP55" s="2517"/>
      <c r="BQ55" s="2517"/>
      <c r="BR55" s="2517"/>
      <c r="BS55" s="2517"/>
      <c r="BT55" s="2517"/>
      <c r="BU55" s="2517"/>
      <c r="BV55" s="2517"/>
      <c r="BW55" s="2517"/>
      <c r="BX55" s="2517"/>
      <c r="BY55" s="2517"/>
      <c r="BZ55" s="2517"/>
      <c r="CA55" s="2517"/>
      <c r="CB55" s="2517"/>
      <c r="CC55" s="2517"/>
      <c r="CD55" s="2517"/>
      <c r="CE55" s="2517"/>
      <c r="CF55" s="2517"/>
      <c r="CG55" s="2517"/>
      <c r="CH55" s="2517"/>
      <c r="CI55" s="2517"/>
      <c r="CJ55" s="2517"/>
      <c r="CK55" s="2517"/>
      <c r="CL55" s="2517"/>
      <c r="CM55" s="2517"/>
      <c r="CN55" s="2517"/>
      <c r="CO55" s="2517"/>
      <c r="CP55" s="2517"/>
      <c r="CQ55" s="2517"/>
      <c r="CR55" s="2517"/>
      <c r="CS55" s="2517"/>
      <c r="CT55" s="2517"/>
      <c r="CU55" s="2517"/>
      <c r="CV55" s="2517"/>
      <c r="CW55" s="2517"/>
      <c r="CX55" s="2517"/>
      <c r="CY55" s="2517"/>
      <c r="CZ55" s="2517"/>
      <c r="DA55" s="2517"/>
      <c r="DB55" s="2517"/>
      <c r="DC55" s="2517"/>
      <c r="DD55" s="2517"/>
      <c r="DE55" s="2517"/>
      <c r="DF55" s="2517"/>
      <c r="DG55" s="2517"/>
      <c r="DH55" s="2517"/>
      <c r="DI55" s="2517"/>
      <c r="DJ55" s="2517"/>
      <c r="DK55" s="2517"/>
      <c r="DL55" s="2517"/>
      <c r="DM55" s="2517"/>
      <c r="DN55" s="2517"/>
      <c r="DO55" s="2517"/>
      <c r="DP55" s="2517"/>
      <c r="DQ55" s="2517"/>
      <c r="DR55" s="2517"/>
      <c r="DS55" s="2517"/>
      <c r="DT55" s="2517"/>
      <c r="DU55" s="2517"/>
      <c r="DV55" s="2517"/>
      <c r="DW55" s="2517"/>
      <c r="DX55" s="2517"/>
      <c r="DY55" s="2517"/>
      <c r="DZ55" s="2517"/>
      <c r="EA55" s="2517"/>
      <c r="EB55" s="2517"/>
      <c r="EC55" s="2517"/>
      <c r="ED55" s="2517"/>
      <c r="EE55" s="2517"/>
      <c r="EF55" s="2517"/>
      <c r="EG55" s="2517"/>
      <c r="EH55" s="2517"/>
      <c r="EI55" s="2517"/>
      <c r="EJ55" s="2517"/>
      <c r="EK55" s="2517"/>
      <c r="EL55" s="2517"/>
      <c r="EM55" s="2517"/>
      <c r="EN55" s="2517"/>
      <c r="EO55" s="2517"/>
      <c r="EP55" s="2517"/>
      <c r="EQ55" s="2517"/>
      <c r="ER55" s="2517"/>
      <c r="ES55" s="2517"/>
      <c r="ET55" s="2517"/>
      <c r="EU55" s="2517"/>
      <c r="EV55" s="2517"/>
      <c r="EW55" s="2517"/>
      <c r="EX55" s="2517"/>
      <c r="EY55" s="2517"/>
      <c r="EZ55" s="2517"/>
      <c r="FA55" s="2517"/>
      <c r="FB55" s="2517"/>
      <c r="FC55" s="2517"/>
      <c r="FD55" s="2517"/>
      <c r="FE55" s="2517"/>
      <c r="FF55" s="2517"/>
      <c r="FG55" s="2517"/>
      <c r="FH55" s="2517"/>
      <c r="FI55" s="2517"/>
      <c r="FJ55" s="2517"/>
      <c r="FK55" s="2517"/>
      <c r="FL55" s="2517"/>
      <c r="FM55" s="2517"/>
      <c r="FN55" s="2517"/>
      <c r="FO55" s="2517"/>
      <c r="FP55" s="2517"/>
      <c r="FQ55" s="2517"/>
      <c r="FR55" s="2517"/>
      <c r="FS55" s="2517"/>
      <c r="FT55" s="2517"/>
      <c r="FU55" s="2517"/>
      <c r="FV55" s="2517"/>
      <c r="FW55" s="2517"/>
      <c r="FX55" s="2517"/>
      <c r="FY55" s="2517"/>
      <c r="FZ55" s="2517"/>
      <c r="GA55" s="2517"/>
      <c r="GB55" s="2517"/>
      <c r="GC55" s="2517"/>
      <c r="GD55" s="2517"/>
      <c r="GE55" s="2517"/>
      <c r="GF55" s="2517"/>
      <c r="GG55" s="2517"/>
      <c r="GH55" s="1242"/>
      <c r="GI55" s="1242"/>
      <c r="GK55" s="718"/>
      <c r="GL55" s="718" t="str">
        <f t="shared" si="1"/>
        <v>Добавить централизованную систему для дифференциации</v>
      </c>
      <c r="GM55" s="718"/>
      <c r="GN55" s="718"/>
      <c r="GO55" s="453">
        <v>1</v>
      </c>
    </row>
    <row r="56" spans="1:197" s="4140" customFormat="1" ht="1.1499999999999999" customHeight="1">
      <c r="A56" s="1261" t="s">
        <v>168</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2517"/>
      <c r="AM56" s="2517"/>
      <c r="AN56" s="2517"/>
      <c r="AO56" s="2517"/>
      <c r="AP56" s="2517"/>
      <c r="AQ56" s="2517"/>
      <c r="AR56" s="2517"/>
      <c r="AS56" s="2517"/>
      <c r="AT56" s="2517"/>
      <c r="AU56" s="2517"/>
      <c r="AV56" s="2517"/>
      <c r="AW56" s="2517"/>
      <c r="AX56" s="2517"/>
      <c r="AY56" s="2517"/>
      <c r="AZ56" s="2517"/>
      <c r="BA56" s="2517"/>
      <c r="BB56" s="2517"/>
      <c r="BC56" s="2517"/>
      <c r="BD56" s="2517"/>
      <c r="BE56" s="2517"/>
      <c r="BF56" s="2517"/>
      <c r="BG56" s="2517"/>
      <c r="BH56" s="2517"/>
      <c r="BI56" s="2517"/>
      <c r="BJ56" s="2517"/>
      <c r="BK56" s="2517"/>
      <c r="BL56" s="2517"/>
      <c r="BM56" s="2517"/>
      <c r="BN56" s="2517"/>
      <c r="BO56" s="2517"/>
      <c r="BP56" s="2517"/>
      <c r="BQ56" s="2517"/>
      <c r="BR56" s="2517"/>
      <c r="BS56" s="2517"/>
      <c r="BT56" s="2517"/>
      <c r="BU56" s="2517"/>
      <c r="BV56" s="2517"/>
      <c r="BW56" s="2517"/>
      <c r="BX56" s="2517"/>
      <c r="BY56" s="2517"/>
      <c r="BZ56" s="2517"/>
      <c r="CA56" s="2517"/>
      <c r="CB56" s="2517"/>
      <c r="CC56" s="2517"/>
      <c r="CD56" s="2517"/>
      <c r="CE56" s="2517"/>
      <c r="CF56" s="2517"/>
      <c r="CG56" s="2517"/>
      <c r="CH56" s="2517"/>
      <c r="CI56" s="2517"/>
      <c r="CJ56" s="2517"/>
      <c r="CK56" s="2517"/>
      <c r="CL56" s="2517"/>
      <c r="CM56" s="2517"/>
      <c r="CN56" s="2517"/>
      <c r="CO56" s="2517"/>
      <c r="CP56" s="2517"/>
      <c r="CQ56" s="2517"/>
      <c r="CR56" s="2517"/>
      <c r="CS56" s="2517"/>
      <c r="CT56" s="2517"/>
      <c r="CU56" s="2517"/>
      <c r="CV56" s="2517"/>
      <c r="CW56" s="2517"/>
      <c r="CX56" s="2517"/>
      <c r="CY56" s="2517"/>
      <c r="CZ56" s="2517"/>
      <c r="DA56" s="2517"/>
      <c r="DB56" s="2517"/>
      <c r="DC56" s="2517"/>
      <c r="DD56" s="2517"/>
      <c r="DE56" s="2517"/>
      <c r="DF56" s="2517"/>
      <c r="DG56" s="2517"/>
      <c r="DH56" s="2517"/>
      <c r="DI56" s="2517"/>
      <c r="DJ56" s="2517"/>
      <c r="DK56" s="2517"/>
      <c r="DL56" s="2517"/>
      <c r="DM56" s="2517"/>
      <c r="DN56" s="2517"/>
      <c r="DO56" s="2517"/>
      <c r="DP56" s="2517"/>
      <c r="DQ56" s="2517"/>
      <c r="DR56" s="2517"/>
      <c r="DS56" s="2517"/>
      <c r="DT56" s="2517"/>
      <c r="DU56" s="2517"/>
      <c r="DV56" s="2517"/>
      <c r="DW56" s="2517"/>
      <c r="DX56" s="2517"/>
      <c r="DY56" s="2517"/>
      <c r="DZ56" s="2517"/>
      <c r="EA56" s="2517"/>
      <c r="EB56" s="2517"/>
      <c r="EC56" s="2517"/>
      <c r="ED56" s="2517"/>
      <c r="EE56" s="2517"/>
      <c r="EF56" s="2517"/>
      <c r="EG56" s="2517"/>
      <c r="EH56" s="2517"/>
      <c r="EI56" s="2517"/>
      <c r="EJ56" s="2517"/>
      <c r="EK56" s="2517"/>
      <c r="EL56" s="2517"/>
      <c r="EM56" s="2517"/>
      <c r="EN56" s="2517"/>
      <c r="EO56" s="2517"/>
      <c r="EP56" s="2517"/>
      <c r="EQ56" s="2517"/>
      <c r="ER56" s="2517"/>
      <c r="ES56" s="2517"/>
      <c r="ET56" s="2517"/>
      <c r="EU56" s="2517"/>
      <c r="EV56" s="2517"/>
      <c r="EW56" s="2517"/>
      <c r="EX56" s="2517"/>
      <c r="EY56" s="2517"/>
      <c r="EZ56" s="2517"/>
      <c r="FA56" s="2517"/>
      <c r="FB56" s="2517"/>
      <c r="FC56" s="2517"/>
      <c r="FD56" s="2517"/>
      <c r="FE56" s="2517"/>
      <c r="FF56" s="2517"/>
      <c r="FG56" s="2517"/>
      <c r="FH56" s="2517"/>
      <c r="FI56" s="2517"/>
      <c r="FJ56" s="2517"/>
      <c r="FK56" s="2517"/>
      <c r="FL56" s="2517"/>
      <c r="FM56" s="2517"/>
      <c r="FN56" s="2517"/>
      <c r="FO56" s="2517"/>
      <c r="FP56" s="2517"/>
      <c r="FQ56" s="2517"/>
      <c r="FR56" s="2517"/>
      <c r="FS56" s="2517"/>
      <c r="FT56" s="2517"/>
      <c r="FU56" s="2517"/>
      <c r="FV56" s="2517"/>
      <c r="FW56" s="2517"/>
      <c r="FX56" s="2517"/>
      <c r="FY56" s="2517"/>
      <c r="FZ56" s="2517"/>
      <c r="GA56" s="2517"/>
      <c r="GB56" s="2517"/>
      <c r="GC56" s="2517"/>
      <c r="GD56" s="2517"/>
      <c r="GE56" s="2517"/>
      <c r="GF56" s="2517"/>
      <c r="GG56" s="2517"/>
      <c r="GH56" s="1242"/>
      <c r="GI56" s="1242"/>
      <c r="GK56" s="435"/>
      <c r="GL56" s="435" t="str">
        <f t="shared" si="1"/>
        <v>Добавить территорию для дифференциации</v>
      </c>
      <c r="GM56" s="435"/>
      <c r="GN56" s="435"/>
      <c r="GO56" s="446">
        <v>1</v>
      </c>
    </row>
    <row r="57" spans="1:197" s="4170" customFormat="1" ht="21" customHeight="1">
      <c r="A57" s="2984" t="s">
        <v>178</v>
      </c>
      <c r="B57" s="2984"/>
      <c r="C57" s="2984"/>
      <c r="D57" s="2984"/>
      <c r="E57" s="4412" t="s">
        <v>114</v>
      </c>
      <c r="F57" s="2984"/>
      <c r="G57" s="2984"/>
      <c r="H57" s="2984"/>
      <c r="I57" s="2984"/>
      <c r="J57" s="2984"/>
      <c r="K57" s="2984"/>
      <c r="L57" s="2985"/>
      <c r="M57" s="2986"/>
      <c r="N57" s="2986"/>
      <c r="O57" s="2986"/>
      <c r="P57" s="2987"/>
      <c r="Q57" s="2988"/>
      <c r="R57" s="2989"/>
      <c r="S57" s="2990" t="str">
        <f>INDEX(PT_DIFFERENTIATION_NUM_NTAR,MATCH(A57,PT_DIFFERENTIATION_NTAR_ID,0))</f>
        <v>2</v>
      </c>
      <c r="T57" s="2991" t="s">
        <v>126</v>
      </c>
      <c r="U57" s="2992"/>
      <c r="V57" s="4406"/>
      <c r="W57" s="4407"/>
      <c r="X57" s="4407"/>
      <c r="Y57" s="4407"/>
      <c r="Z57" s="4407"/>
      <c r="AA57" s="4407"/>
      <c r="AB57" s="4407"/>
      <c r="AC57" s="4408"/>
      <c r="AD57" s="4406" t="str">
        <f>INDEX(PT_DIFFERENTIATION_NTAR,MATCH(A57,PT_DIFFERENTIATION_NTAR_ID,0))</f>
        <v>Льготные тарифы на тепловую энергию, поставляемую группе потребителей "население"</v>
      </c>
      <c r="AE57" s="4407"/>
      <c r="AF57" s="4407"/>
      <c r="AG57" s="4407"/>
      <c r="AH57" s="4407"/>
      <c r="AI57" s="4407"/>
      <c r="AJ57" s="4407"/>
      <c r="AK57" s="4407"/>
      <c r="AL57" s="4406"/>
      <c r="AM57" s="4407"/>
      <c r="AN57" s="4407"/>
      <c r="AO57" s="4407"/>
      <c r="AP57" s="4407"/>
      <c r="AQ57" s="4407"/>
      <c r="AR57" s="4407"/>
      <c r="AS57" s="4408"/>
      <c r="AT57" s="4406"/>
      <c r="AU57" s="4407"/>
      <c r="AV57" s="4407"/>
      <c r="AW57" s="4407"/>
      <c r="AX57" s="4407"/>
      <c r="AY57" s="4407"/>
      <c r="AZ57" s="4407"/>
      <c r="BA57" s="4408"/>
      <c r="BB57" s="4406"/>
      <c r="BC57" s="4407"/>
      <c r="BD57" s="4407"/>
      <c r="BE57" s="4407"/>
      <c r="BF57" s="4407"/>
      <c r="BG57" s="4407"/>
      <c r="BH57" s="4407"/>
      <c r="BI57" s="4408"/>
      <c r="BJ57" s="4406"/>
      <c r="BK57" s="4407"/>
      <c r="BL57" s="4407"/>
      <c r="BM57" s="4407"/>
      <c r="BN57" s="4407"/>
      <c r="BO57" s="4407"/>
      <c r="BP57" s="4407"/>
      <c r="BQ57" s="4408"/>
      <c r="BR57" s="4406"/>
      <c r="BS57" s="4407"/>
      <c r="BT57" s="4407"/>
      <c r="BU57" s="4407"/>
      <c r="BV57" s="4407"/>
      <c r="BW57" s="4407"/>
      <c r="BX57" s="4407"/>
      <c r="BY57" s="4408"/>
      <c r="BZ57" s="4406"/>
      <c r="CA57" s="4407"/>
      <c r="CB57" s="4407"/>
      <c r="CC57" s="4407"/>
      <c r="CD57" s="4407"/>
      <c r="CE57" s="4407"/>
      <c r="CF57" s="4407"/>
      <c r="CG57" s="4408"/>
      <c r="CH57" s="4406"/>
      <c r="CI57" s="4407"/>
      <c r="CJ57" s="4407"/>
      <c r="CK57" s="4407"/>
      <c r="CL57" s="4407"/>
      <c r="CM57" s="4407"/>
      <c r="CN57" s="4407"/>
      <c r="CO57" s="4408"/>
      <c r="CP57" s="4406"/>
      <c r="CQ57" s="4407"/>
      <c r="CR57" s="4407"/>
      <c r="CS57" s="4407"/>
      <c r="CT57" s="4407"/>
      <c r="CU57" s="4407"/>
      <c r="CV57" s="4407"/>
      <c r="CW57" s="4408"/>
      <c r="CX57" s="4406"/>
      <c r="CY57" s="4407"/>
      <c r="CZ57" s="4407"/>
      <c r="DA57" s="4407"/>
      <c r="DB57" s="4407"/>
      <c r="DC57" s="4407"/>
      <c r="DD57" s="4407"/>
      <c r="DE57" s="4408"/>
      <c r="DF57" s="4406"/>
      <c r="DG57" s="4407"/>
      <c r="DH57" s="4407"/>
      <c r="DI57" s="4407"/>
      <c r="DJ57" s="4407"/>
      <c r="DK57" s="4407"/>
      <c r="DL57" s="4407"/>
      <c r="DM57" s="4408"/>
      <c r="DN57" s="4406"/>
      <c r="DO57" s="4407"/>
      <c r="DP57" s="4407"/>
      <c r="DQ57" s="4407"/>
      <c r="DR57" s="4407"/>
      <c r="DS57" s="4407"/>
      <c r="DT57" s="4407"/>
      <c r="DU57" s="4408"/>
      <c r="DV57" s="4406"/>
      <c r="DW57" s="4407"/>
      <c r="DX57" s="4407"/>
      <c r="DY57" s="4407"/>
      <c r="DZ57" s="4407"/>
      <c r="EA57" s="4407"/>
      <c r="EB57" s="4407"/>
      <c r="EC57" s="4408"/>
      <c r="ED57" s="4406"/>
      <c r="EE57" s="4407"/>
      <c r="EF57" s="4407"/>
      <c r="EG57" s="4407"/>
      <c r="EH57" s="4407"/>
      <c r="EI57" s="4407"/>
      <c r="EJ57" s="4407"/>
      <c r="EK57" s="4408"/>
      <c r="EL57" s="4406"/>
      <c r="EM57" s="4407"/>
      <c r="EN57" s="4407"/>
      <c r="EO57" s="4407"/>
      <c r="EP57" s="4407"/>
      <c r="EQ57" s="4407"/>
      <c r="ER57" s="4407"/>
      <c r="ES57" s="4408"/>
      <c r="ET57" s="4406"/>
      <c r="EU57" s="4407"/>
      <c r="EV57" s="4407"/>
      <c r="EW57" s="4407"/>
      <c r="EX57" s="4407"/>
      <c r="EY57" s="4407"/>
      <c r="EZ57" s="4407"/>
      <c r="FA57" s="4408"/>
      <c r="FB57" s="4406"/>
      <c r="FC57" s="4407"/>
      <c r="FD57" s="4407"/>
      <c r="FE57" s="4407"/>
      <c r="FF57" s="4407"/>
      <c r="FG57" s="4407"/>
      <c r="FH57" s="4407"/>
      <c r="FI57" s="4408"/>
      <c r="FJ57" s="4406"/>
      <c r="FK57" s="4407"/>
      <c r="FL57" s="4407"/>
      <c r="FM57" s="4407"/>
      <c r="FN57" s="4407"/>
      <c r="FO57" s="4407"/>
      <c r="FP57" s="4407"/>
      <c r="FQ57" s="4408"/>
      <c r="FR57" s="4406"/>
      <c r="FS57" s="4407"/>
      <c r="FT57" s="4407"/>
      <c r="FU57" s="4407"/>
      <c r="FV57" s="4407"/>
      <c r="FW57" s="4407"/>
      <c r="FX57" s="4407"/>
      <c r="FY57" s="4408"/>
      <c r="FZ57" s="4406"/>
      <c r="GA57" s="4407"/>
      <c r="GB57" s="4407"/>
      <c r="GC57" s="4407"/>
      <c r="GD57" s="4407"/>
      <c r="GE57" s="4407"/>
      <c r="GF57" s="4407"/>
      <c r="GG57" s="4408"/>
      <c r="GH57" s="4408"/>
      <c r="GI57" s="2993" t="s">
        <v>417</v>
      </c>
      <c r="GJ57" s="2524"/>
      <c r="GK57" s="2994"/>
      <c r="GL57" s="2994" t="str">
        <f t="shared" si="1"/>
        <v>Наименование тарифа</v>
      </c>
      <c r="GM57" s="2994"/>
      <c r="GN57" s="2994"/>
      <c r="GO57" s="2055">
        <v>0</v>
      </c>
    </row>
    <row r="58" spans="1:197" s="4171" customFormat="1" ht="21" customHeight="1">
      <c r="A58" s="2984"/>
      <c r="B58" s="2984" t="s">
        <v>179</v>
      </c>
      <c r="C58" s="2984"/>
      <c r="D58" s="2984"/>
      <c r="E58" s="4413">
        <v>1</v>
      </c>
      <c r="F58" s="4412">
        <v>1</v>
      </c>
      <c r="G58" s="2984"/>
      <c r="H58" s="2984"/>
      <c r="I58" s="2984"/>
      <c r="J58" s="2984"/>
      <c r="K58" s="2984"/>
      <c r="L58" s="2985"/>
      <c r="M58" s="2986"/>
      <c r="N58" s="2986"/>
      <c r="O58" s="2986"/>
      <c r="P58" s="2995"/>
      <c r="Q58" s="2996"/>
      <c r="R58" s="2997"/>
      <c r="S58" s="2990" t="str">
        <f>INDEX(PT_DIFFERENTIATION_NUM_TER,MATCH(B58,PT_DIFFERENTIATION_TER_ID,0))</f>
        <v>2.1</v>
      </c>
      <c r="T58" s="2998" t="s">
        <v>418</v>
      </c>
      <c r="U58" s="2992"/>
      <c r="V58" s="4406"/>
      <c r="W58" s="4407"/>
      <c r="X58" s="4407"/>
      <c r="Y58" s="4407"/>
      <c r="Z58" s="4407"/>
      <c r="AA58" s="4407"/>
      <c r="AB58" s="4407"/>
      <c r="AC58" s="4408"/>
      <c r="AD58" s="4406" t="str">
        <f>INDEX(PT_DIFFERENTIATION_TER,MATCH(B58,PT_DIFFERENTIATION_TER_ID,0))</f>
        <v>без дифференциации</v>
      </c>
      <c r="AE58" s="4407"/>
      <c r="AF58" s="4407"/>
      <c r="AG58" s="4407"/>
      <c r="AH58" s="4407"/>
      <c r="AI58" s="4407"/>
      <c r="AJ58" s="4407"/>
      <c r="AK58" s="4407"/>
      <c r="AL58" s="4406"/>
      <c r="AM58" s="4407"/>
      <c r="AN58" s="4407"/>
      <c r="AO58" s="4407"/>
      <c r="AP58" s="4407"/>
      <c r="AQ58" s="4407"/>
      <c r="AR58" s="4407"/>
      <c r="AS58" s="4408"/>
      <c r="AT58" s="4406"/>
      <c r="AU58" s="4407"/>
      <c r="AV58" s="4407"/>
      <c r="AW58" s="4407"/>
      <c r="AX58" s="4407"/>
      <c r="AY58" s="4407"/>
      <c r="AZ58" s="4407"/>
      <c r="BA58" s="4408"/>
      <c r="BB58" s="4406"/>
      <c r="BC58" s="4407"/>
      <c r="BD58" s="4407"/>
      <c r="BE58" s="4407"/>
      <c r="BF58" s="4407"/>
      <c r="BG58" s="4407"/>
      <c r="BH58" s="4407"/>
      <c r="BI58" s="4408"/>
      <c r="BJ58" s="4406"/>
      <c r="BK58" s="4407"/>
      <c r="BL58" s="4407"/>
      <c r="BM58" s="4407"/>
      <c r="BN58" s="4407"/>
      <c r="BO58" s="4407"/>
      <c r="BP58" s="4407"/>
      <c r="BQ58" s="4408"/>
      <c r="BR58" s="4406"/>
      <c r="BS58" s="4407"/>
      <c r="BT58" s="4407"/>
      <c r="BU58" s="4407"/>
      <c r="BV58" s="4407"/>
      <c r="BW58" s="4407"/>
      <c r="BX58" s="4407"/>
      <c r="BY58" s="4408"/>
      <c r="BZ58" s="4406"/>
      <c r="CA58" s="4407"/>
      <c r="CB58" s="4407"/>
      <c r="CC58" s="4407"/>
      <c r="CD58" s="4407"/>
      <c r="CE58" s="4407"/>
      <c r="CF58" s="4407"/>
      <c r="CG58" s="4408"/>
      <c r="CH58" s="4406"/>
      <c r="CI58" s="4407"/>
      <c r="CJ58" s="4407"/>
      <c r="CK58" s="4407"/>
      <c r="CL58" s="4407"/>
      <c r="CM58" s="4407"/>
      <c r="CN58" s="4407"/>
      <c r="CO58" s="4408"/>
      <c r="CP58" s="4406"/>
      <c r="CQ58" s="4407"/>
      <c r="CR58" s="4407"/>
      <c r="CS58" s="4407"/>
      <c r="CT58" s="4407"/>
      <c r="CU58" s="4407"/>
      <c r="CV58" s="4407"/>
      <c r="CW58" s="4408"/>
      <c r="CX58" s="4406"/>
      <c r="CY58" s="4407"/>
      <c r="CZ58" s="4407"/>
      <c r="DA58" s="4407"/>
      <c r="DB58" s="4407"/>
      <c r="DC58" s="4407"/>
      <c r="DD58" s="4407"/>
      <c r="DE58" s="4408"/>
      <c r="DF58" s="4406"/>
      <c r="DG58" s="4407"/>
      <c r="DH58" s="4407"/>
      <c r="DI58" s="4407"/>
      <c r="DJ58" s="4407"/>
      <c r="DK58" s="4407"/>
      <c r="DL58" s="4407"/>
      <c r="DM58" s="4408"/>
      <c r="DN58" s="4406"/>
      <c r="DO58" s="4407"/>
      <c r="DP58" s="4407"/>
      <c r="DQ58" s="4407"/>
      <c r="DR58" s="4407"/>
      <c r="DS58" s="4407"/>
      <c r="DT58" s="4407"/>
      <c r="DU58" s="4408"/>
      <c r="DV58" s="4406"/>
      <c r="DW58" s="4407"/>
      <c r="DX58" s="4407"/>
      <c r="DY58" s="4407"/>
      <c r="DZ58" s="4407"/>
      <c r="EA58" s="4407"/>
      <c r="EB58" s="4407"/>
      <c r="EC58" s="4408"/>
      <c r="ED58" s="4406"/>
      <c r="EE58" s="4407"/>
      <c r="EF58" s="4407"/>
      <c r="EG58" s="4407"/>
      <c r="EH58" s="4407"/>
      <c r="EI58" s="4407"/>
      <c r="EJ58" s="4407"/>
      <c r="EK58" s="4408"/>
      <c r="EL58" s="4406"/>
      <c r="EM58" s="4407"/>
      <c r="EN58" s="4407"/>
      <c r="EO58" s="4407"/>
      <c r="EP58" s="4407"/>
      <c r="EQ58" s="4407"/>
      <c r="ER58" s="4407"/>
      <c r="ES58" s="4408"/>
      <c r="ET58" s="4406"/>
      <c r="EU58" s="4407"/>
      <c r="EV58" s="4407"/>
      <c r="EW58" s="4407"/>
      <c r="EX58" s="4407"/>
      <c r="EY58" s="4407"/>
      <c r="EZ58" s="4407"/>
      <c r="FA58" s="4408"/>
      <c r="FB58" s="4406"/>
      <c r="FC58" s="4407"/>
      <c r="FD58" s="4407"/>
      <c r="FE58" s="4407"/>
      <c r="FF58" s="4407"/>
      <c r="FG58" s="4407"/>
      <c r="FH58" s="4407"/>
      <c r="FI58" s="4408"/>
      <c r="FJ58" s="4406"/>
      <c r="FK58" s="4407"/>
      <c r="FL58" s="4407"/>
      <c r="FM58" s="4407"/>
      <c r="FN58" s="4407"/>
      <c r="FO58" s="4407"/>
      <c r="FP58" s="4407"/>
      <c r="FQ58" s="4408"/>
      <c r="FR58" s="4406"/>
      <c r="FS58" s="4407"/>
      <c r="FT58" s="4407"/>
      <c r="FU58" s="4407"/>
      <c r="FV58" s="4407"/>
      <c r="FW58" s="4407"/>
      <c r="FX58" s="4407"/>
      <c r="FY58" s="4408"/>
      <c r="FZ58" s="4406"/>
      <c r="GA58" s="4407"/>
      <c r="GB58" s="4407"/>
      <c r="GC58" s="4407"/>
      <c r="GD58" s="4407"/>
      <c r="GE58" s="4407"/>
      <c r="GF58" s="4407"/>
      <c r="GG58" s="4408"/>
      <c r="GH58" s="4408"/>
      <c r="GI58" s="2993" t="s">
        <v>419</v>
      </c>
      <c r="GJ58" s="2524"/>
      <c r="GK58" s="2994"/>
      <c r="GL58" s="2994" t="str">
        <f t="shared" si="1"/>
        <v>Территория действия тарифа</v>
      </c>
      <c r="GM58" s="2994"/>
      <c r="GN58" s="2994"/>
      <c r="GO58" s="2055">
        <v>0</v>
      </c>
    </row>
    <row r="59" spans="1:197" s="4172" customFormat="1" ht="23.25" customHeight="1">
      <c r="A59" s="2984"/>
      <c r="B59" s="2984"/>
      <c r="C59" s="2984" t="s">
        <v>180</v>
      </c>
      <c r="D59" s="2984"/>
      <c r="E59" s="4413">
        <v>1</v>
      </c>
      <c r="F59" s="4413"/>
      <c r="G59" s="4412">
        <v>1</v>
      </c>
      <c r="H59" s="2984"/>
      <c r="I59" s="2984"/>
      <c r="J59" s="2984"/>
      <c r="K59" s="2984"/>
      <c r="L59" s="2985"/>
      <c r="M59" s="2986"/>
      <c r="N59" s="2986"/>
      <c r="O59" s="2986"/>
      <c r="P59" s="2999"/>
      <c r="Q59" s="2996"/>
      <c r="R59" s="2997"/>
      <c r="S59" s="2990" t="str">
        <f>INDEX(PT_DIFFERENTIATION_NUM_CS,MATCH(C59,PT_DIFFERENTIATION_CS_ID,0))</f>
        <v>2.1.1</v>
      </c>
      <c r="T59" s="3000" t="s">
        <v>420</v>
      </c>
      <c r="U59" s="2992"/>
      <c r="V59" s="4406"/>
      <c r="W59" s="4407"/>
      <c r="X59" s="4407"/>
      <c r="Y59" s="4407"/>
      <c r="Z59" s="4407"/>
      <c r="AA59" s="4407"/>
      <c r="AB59" s="4407"/>
      <c r="AC59" s="4408"/>
      <c r="AD59" s="4406" t="str">
        <f>INDEX(PT_DIFFERENTIATION_CS,MATCH(C59,PT_DIFFERENTIATION_CS_ID,0))</f>
        <v>без дифференциации</v>
      </c>
      <c r="AE59" s="4407"/>
      <c r="AF59" s="4407"/>
      <c r="AG59" s="4407"/>
      <c r="AH59" s="4407"/>
      <c r="AI59" s="4407"/>
      <c r="AJ59" s="4407"/>
      <c r="AK59" s="4407"/>
      <c r="AL59" s="4406"/>
      <c r="AM59" s="4407"/>
      <c r="AN59" s="4407"/>
      <c r="AO59" s="4407"/>
      <c r="AP59" s="4407"/>
      <c r="AQ59" s="4407"/>
      <c r="AR59" s="4407"/>
      <c r="AS59" s="4408"/>
      <c r="AT59" s="4406"/>
      <c r="AU59" s="4407"/>
      <c r="AV59" s="4407"/>
      <c r="AW59" s="4407"/>
      <c r="AX59" s="4407"/>
      <c r="AY59" s="4407"/>
      <c r="AZ59" s="4407"/>
      <c r="BA59" s="4408"/>
      <c r="BB59" s="4406"/>
      <c r="BC59" s="4407"/>
      <c r="BD59" s="4407"/>
      <c r="BE59" s="4407"/>
      <c r="BF59" s="4407"/>
      <c r="BG59" s="4407"/>
      <c r="BH59" s="4407"/>
      <c r="BI59" s="4408"/>
      <c r="BJ59" s="4406"/>
      <c r="BK59" s="4407"/>
      <c r="BL59" s="4407"/>
      <c r="BM59" s="4407"/>
      <c r="BN59" s="4407"/>
      <c r="BO59" s="4407"/>
      <c r="BP59" s="4407"/>
      <c r="BQ59" s="4408"/>
      <c r="BR59" s="4406"/>
      <c r="BS59" s="4407"/>
      <c r="BT59" s="4407"/>
      <c r="BU59" s="4407"/>
      <c r="BV59" s="4407"/>
      <c r="BW59" s="4407"/>
      <c r="BX59" s="4407"/>
      <c r="BY59" s="4408"/>
      <c r="BZ59" s="4406"/>
      <c r="CA59" s="4407"/>
      <c r="CB59" s="4407"/>
      <c r="CC59" s="4407"/>
      <c r="CD59" s="4407"/>
      <c r="CE59" s="4407"/>
      <c r="CF59" s="4407"/>
      <c r="CG59" s="4408"/>
      <c r="CH59" s="4406"/>
      <c r="CI59" s="4407"/>
      <c r="CJ59" s="4407"/>
      <c r="CK59" s="4407"/>
      <c r="CL59" s="4407"/>
      <c r="CM59" s="4407"/>
      <c r="CN59" s="4407"/>
      <c r="CO59" s="4408"/>
      <c r="CP59" s="4406"/>
      <c r="CQ59" s="4407"/>
      <c r="CR59" s="4407"/>
      <c r="CS59" s="4407"/>
      <c r="CT59" s="4407"/>
      <c r="CU59" s="4407"/>
      <c r="CV59" s="4407"/>
      <c r="CW59" s="4408"/>
      <c r="CX59" s="4406"/>
      <c r="CY59" s="4407"/>
      <c r="CZ59" s="4407"/>
      <c r="DA59" s="4407"/>
      <c r="DB59" s="4407"/>
      <c r="DC59" s="4407"/>
      <c r="DD59" s="4407"/>
      <c r="DE59" s="4408"/>
      <c r="DF59" s="4406"/>
      <c r="DG59" s="4407"/>
      <c r="DH59" s="4407"/>
      <c r="DI59" s="4407"/>
      <c r="DJ59" s="4407"/>
      <c r="DK59" s="4407"/>
      <c r="DL59" s="4407"/>
      <c r="DM59" s="4408"/>
      <c r="DN59" s="4406"/>
      <c r="DO59" s="4407"/>
      <c r="DP59" s="4407"/>
      <c r="DQ59" s="4407"/>
      <c r="DR59" s="4407"/>
      <c r="DS59" s="4407"/>
      <c r="DT59" s="4407"/>
      <c r="DU59" s="4408"/>
      <c r="DV59" s="4406"/>
      <c r="DW59" s="4407"/>
      <c r="DX59" s="4407"/>
      <c r="DY59" s="4407"/>
      <c r="DZ59" s="4407"/>
      <c r="EA59" s="4407"/>
      <c r="EB59" s="4407"/>
      <c r="EC59" s="4408"/>
      <c r="ED59" s="4406"/>
      <c r="EE59" s="4407"/>
      <c r="EF59" s="4407"/>
      <c r="EG59" s="4407"/>
      <c r="EH59" s="4407"/>
      <c r="EI59" s="4407"/>
      <c r="EJ59" s="4407"/>
      <c r="EK59" s="4408"/>
      <c r="EL59" s="4406"/>
      <c r="EM59" s="4407"/>
      <c r="EN59" s="4407"/>
      <c r="EO59" s="4407"/>
      <c r="EP59" s="4407"/>
      <c r="EQ59" s="4407"/>
      <c r="ER59" s="4407"/>
      <c r="ES59" s="4408"/>
      <c r="ET59" s="4406"/>
      <c r="EU59" s="4407"/>
      <c r="EV59" s="4407"/>
      <c r="EW59" s="4407"/>
      <c r="EX59" s="4407"/>
      <c r="EY59" s="4407"/>
      <c r="EZ59" s="4407"/>
      <c r="FA59" s="4408"/>
      <c r="FB59" s="4406"/>
      <c r="FC59" s="4407"/>
      <c r="FD59" s="4407"/>
      <c r="FE59" s="4407"/>
      <c r="FF59" s="4407"/>
      <c r="FG59" s="4407"/>
      <c r="FH59" s="4407"/>
      <c r="FI59" s="4408"/>
      <c r="FJ59" s="4406"/>
      <c r="FK59" s="4407"/>
      <c r="FL59" s="4407"/>
      <c r="FM59" s="4407"/>
      <c r="FN59" s="4407"/>
      <c r="FO59" s="4407"/>
      <c r="FP59" s="4407"/>
      <c r="FQ59" s="4408"/>
      <c r="FR59" s="4406"/>
      <c r="FS59" s="4407"/>
      <c r="FT59" s="4407"/>
      <c r="FU59" s="4407"/>
      <c r="FV59" s="4407"/>
      <c r="FW59" s="4407"/>
      <c r="FX59" s="4407"/>
      <c r="FY59" s="4408"/>
      <c r="FZ59" s="4406"/>
      <c r="GA59" s="4407"/>
      <c r="GB59" s="4407"/>
      <c r="GC59" s="4407"/>
      <c r="GD59" s="4407"/>
      <c r="GE59" s="4407"/>
      <c r="GF59" s="4407"/>
      <c r="GG59" s="4408"/>
      <c r="GH59" s="4408"/>
      <c r="GI59" s="2993" t="s">
        <v>421</v>
      </c>
      <c r="GJ59" s="2524"/>
      <c r="GK59" s="2994"/>
      <c r="GL59" s="2994" t="str">
        <f t="shared" si="1"/>
        <v xml:space="preserve">Наименование системы теплоснабжения </v>
      </c>
      <c r="GM59" s="2994"/>
      <c r="GN59" s="2994"/>
      <c r="GO59" s="2055">
        <v>0</v>
      </c>
    </row>
    <row r="60" spans="1:197" s="4173" customFormat="1" ht="21" customHeight="1">
      <c r="A60" s="2984"/>
      <c r="B60" s="2984"/>
      <c r="C60" s="2984"/>
      <c r="D60" s="2984" t="s">
        <v>181</v>
      </c>
      <c r="E60" s="4413">
        <v>1</v>
      </c>
      <c r="F60" s="4413"/>
      <c r="G60" s="4413"/>
      <c r="H60" s="4412">
        <v>1</v>
      </c>
      <c r="I60" s="2984"/>
      <c r="J60" s="2984"/>
      <c r="K60" s="2984"/>
      <c r="L60" s="2985"/>
      <c r="M60" s="2986"/>
      <c r="N60" s="2986"/>
      <c r="O60" s="2986"/>
      <c r="P60" s="2999"/>
      <c r="Q60" s="2996"/>
      <c r="R60" s="2997"/>
      <c r="S60" s="2990" t="str">
        <f>INDEX(PT_DIFFERENTIATION_NUM_IST_TE,MATCH(D60,PT_DIFFERENTIATION_IST_TE_ID,0))</f>
        <v>2.1.1.1</v>
      </c>
      <c r="T60" s="3001" t="s">
        <v>422</v>
      </c>
      <c r="U60" s="2992"/>
      <c r="V60" s="4406"/>
      <c r="W60" s="4407"/>
      <c r="X60" s="4407"/>
      <c r="Y60" s="4407"/>
      <c r="Z60" s="4407"/>
      <c r="AA60" s="4407"/>
      <c r="AB60" s="4407"/>
      <c r="AC60" s="4408"/>
      <c r="AD60" s="4406" t="str">
        <f>INDEX(PT_DIFFERENTIATION_IST_TE,MATCH(D60,PT_DIFFERENTIATION_IST_TE_ID,0))</f>
        <v>без дифференциации</v>
      </c>
      <c r="AE60" s="4407"/>
      <c r="AF60" s="4407"/>
      <c r="AG60" s="4407"/>
      <c r="AH60" s="4407"/>
      <c r="AI60" s="4407"/>
      <c r="AJ60" s="4407"/>
      <c r="AK60" s="4407"/>
      <c r="AL60" s="4406"/>
      <c r="AM60" s="4407"/>
      <c r="AN60" s="4407"/>
      <c r="AO60" s="4407"/>
      <c r="AP60" s="4407"/>
      <c r="AQ60" s="4407"/>
      <c r="AR60" s="4407"/>
      <c r="AS60" s="4408"/>
      <c r="AT60" s="4406"/>
      <c r="AU60" s="4407"/>
      <c r="AV60" s="4407"/>
      <c r="AW60" s="4407"/>
      <c r="AX60" s="4407"/>
      <c r="AY60" s="4407"/>
      <c r="AZ60" s="4407"/>
      <c r="BA60" s="4408"/>
      <c r="BB60" s="4406"/>
      <c r="BC60" s="4407"/>
      <c r="BD60" s="4407"/>
      <c r="BE60" s="4407"/>
      <c r="BF60" s="4407"/>
      <c r="BG60" s="4407"/>
      <c r="BH60" s="4407"/>
      <c r="BI60" s="4408"/>
      <c r="BJ60" s="4406"/>
      <c r="BK60" s="4407"/>
      <c r="BL60" s="4407"/>
      <c r="BM60" s="4407"/>
      <c r="BN60" s="4407"/>
      <c r="BO60" s="4407"/>
      <c r="BP60" s="4407"/>
      <c r="BQ60" s="4408"/>
      <c r="BR60" s="4406"/>
      <c r="BS60" s="4407"/>
      <c r="BT60" s="4407"/>
      <c r="BU60" s="4407"/>
      <c r="BV60" s="4407"/>
      <c r="BW60" s="4407"/>
      <c r="BX60" s="4407"/>
      <c r="BY60" s="4408"/>
      <c r="BZ60" s="4406"/>
      <c r="CA60" s="4407"/>
      <c r="CB60" s="4407"/>
      <c r="CC60" s="4407"/>
      <c r="CD60" s="4407"/>
      <c r="CE60" s="4407"/>
      <c r="CF60" s="4407"/>
      <c r="CG60" s="4408"/>
      <c r="CH60" s="4406"/>
      <c r="CI60" s="4407"/>
      <c r="CJ60" s="4407"/>
      <c r="CK60" s="4407"/>
      <c r="CL60" s="4407"/>
      <c r="CM60" s="4407"/>
      <c r="CN60" s="4407"/>
      <c r="CO60" s="4408"/>
      <c r="CP60" s="4406"/>
      <c r="CQ60" s="4407"/>
      <c r="CR60" s="4407"/>
      <c r="CS60" s="4407"/>
      <c r="CT60" s="4407"/>
      <c r="CU60" s="4407"/>
      <c r="CV60" s="4407"/>
      <c r="CW60" s="4408"/>
      <c r="CX60" s="4406"/>
      <c r="CY60" s="4407"/>
      <c r="CZ60" s="4407"/>
      <c r="DA60" s="4407"/>
      <c r="DB60" s="4407"/>
      <c r="DC60" s="4407"/>
      <c r="DD60" s="4407"/>
      <c r="DE60" s="4408"/>
      <c r="DF60" s="4406"/>
      <c r="DG60" s="4407"/>
      <c r="DH60" s="4407"/>
      <c r="DI60" s="4407"/>
      <c r="DJ60" s="4407"/>
      <c r="DK60" s="4407"/>
      <c r="DL60" s="4407"/>
      <c r="DM60" s="4408"/>
      <c r="DN60" s="4406"/>
      <c r="DO60" s="4407"/>
      <c r="DP60" s="4407"/>
      <c r="DQ60" s="4407"/>
      <c r="DR60" s="4407"/>
      <c r="DS60" s="4407"/>
      <c r="DT60" s="4407"/>
      <c r="DU60" s="4408"/>
      <c r="DV60" s="4406"/>
      <c r="DW60" s="4407"/>
      <c r="DX60" s="4407"/>
      <c r="DY60" s="4407"/>
      <c r="DZ60" s="4407"/>
      <c r="EA60" s="4407"/>
      <c r="EB60" s="4407"/>
      <c r="EC60" s="4408"/>
      <c r="ED60" s="4406"/>
      <c r="EE60" s="4407"/>
      <c r="EF60" s="4407"/>
      <c r="EG60" s="4407"/>
      <c r="EH60" s="4407"/>
      <c r="EI60" s="4407"/>
      <c r="EJ60" s="4407"/>
      <c r="EK60" s="4408"/>
      <c r="EL60" s="4406"/>
      <c r="EM60" s="4407"/>
      <c r="EN60" s="4407"/>
      <c r="EO60" s="4407"/>
      <c r="EP60" s="4407"/>
      <c r="EQ60" s="4407"/>
      <c r="ER60" s="4407"/>
      <c r="ES60" s="4408"/>
      <c r="ET60" s="4406"/>
      <c r="EU60" s="4407"/>
      <c r="EV60" s="4407"/>
      <c r="EW60" s="4407"/>
      <c r="EX60" s="4407"/>
      <c r="EY60" s="4407"/>
      <c r="EZ60" s="4407"/>
      <c r="FA60" s="4408"/>
      <c r="FB60" s="4406"/>
      <c r="FC60" s="4407"/>
      <c r="FD60" s="4407"/>
      <c r="FE60" s="4407"/>
      <c r="FF60" s="4407"/>
      <c r="FG60" s="4407"/>
      <c r="FH60" s="4407"/>
      <c r="FI60" s="4408"/>
      <c r="FJ60" s="4406"/>
      <c r="FK60" s="4407"/>
      <c r="FL60" s="4407"/>
      <c r="FM60" s="4407"/>
      <c r="FN60" s="4407"/>
      <c r="FO60" s="4407"/>
      <c r="FP60" s="4407"/>
      <c r="FQ60" s="4408"/>
      <c r="FR60" s="4406"/>
      <c r="FS60" s="4407"/>
      <c r="FT60" s="4407"/>
      <c r="FU60" s="4407"/>
      <c r="FV60" s="4407"/>
      <c r="FW60" s="4407"/>
      <c r="FX60" s="4407"/>
      <c r="FY60" s="4408"/>
      <c r="FZ60" s="4406"/>
      <c r="GA60" s="4407"/>
      <c r="GB60" s="4407"/>
      <c r="GC60" s="4407"/>
      <c r="GD60" s="4407"/>
      <c r="GE60" s="4407"/>
      <c r="GF60" s="4407"/>
      <c r="GG60" s="4408"/>
      <c r="GH60" s="4408"/>
      <c r="GI60" s="2993" t="s">
        <v>423</v>
      </c>
      <c r="GJ60" s="2524"/>
      <c r="GK60" s="2994"/>
      <c r="GL60" s="2994" t="str">
        <f t="shared" si="1"/>
        <v xml:space="preserve">Источник тепловой энергии  </v>
      </c>
      <c r="GM60" s="2994"/>
      <c r="GN60" s="2994"/>
      <c r="GO60" s="2055">
        <v>0</v>
      </c>
    </row>
    <row r="61" spans="1:197" s="4174" customFormat="1" ht="47.25" customHeight="1">
      <c r="A61" s="2984"/>
      <c r="B61" s="2984"/>
      <c r="C61" s="2984"/>
      <c r="D61" s="2984"/>
      <c r="E61" s="4413">
        <v>1</v>
      </c>
      <c r="F61" s="4413"/>
      <c r="G61" s="4413"/>
      <c r="H61" s="4413"/>
      <c r="I61" s="4414" t="str">
        <f>S60&amp;".1"</f>
        <v>2.1.1.1.1</v>
      </c>
      <c r="J61" s="2984"/>
      <c r="K61" s="2984"/>
      <c r="L61" s="2985" t="s">
        <v>424</v>
      </c>
      <c r="M61" s="2518"/>
      <c r="N61" s="3002"/>
      <c r="O61" s="3002"/>
      <c r="P61" s="4416">
        <v>1</v>
      </c>
      <c r="Q61" s="3003"/>
      <c r="R61" s="3004"/>
      <c r="S61" s="2990" t="str">
        <f>$I61</f>
        <v>2.1.1.1.1</v>
      </c>
      <c r="T61" s="3005" t="s">
        <v>425</v>
      </c>
      <c r="U61" s="2992"/>
      <c r="V61" s="4400"/>
      <c r="W61" s="4401"/>
      <c r="X61" s="4401"/>
      <c r="Y61" s="4401"/>
      <c r="Z61" s="4401"/>
      <c r="AA61" s="4401"/>
      <c r="AB61" s="4401"/>
      <c r="AC61" s="4402"/>
      <c r="AD61" s="4400" t="s">
        <v>467</v>
      </c>
      <c r="AE61" s="4401"/>
      <c r="AF61" s="4401"/>
      <c r="AG61" s="4401"/>
      <c r="AH61" s="4401"/>
      <c r="AI61" s="4401"/>
      <c r="AJ61" s="4401"/>
      <c r="AK61" s="4401"/>
      <c r="AL61" s="4400"/>
      <c r="AM61" s="4401"/>
      <c r="AN61" s="4401"/>
      <c r="AO61" s="4401"/>
      <c r="AP61" s="4401"/>
      <c r="AQ61" s="4401"/>
      <c r="AR61" s="4401"/>
      <c r="AS61" s="4402"/>
      <c r="AT61" s="4400"/>
      <c r="AU61" s="4401"/>
      <c r="AV61" s="4401"/>
      <c r="AW61" s="4401"/>
      <c r="AX61" s="4401"/>
      <c r="AY61" s="4401"/>
      <c r="AZ61" s="4401"/>
      <c r="BA61" s="4402"/>
      <c r="BB61" s="4400"/>
      <c r="BC61" s="4401"/>
      <c r="BD61" s="4401"/>
      <c r="BE61" s="4401"/>
      <c r="BF61" s="4401"/>
      <c r="BG61" s="4401"/>
      <c r="BH61" s="4401"/>
      <c r="BI61" s="4402"/>
      <c r="BJ61" s="4400"/>
      <c r="BK61" s="4401"/>
      <c r="BL61" s="4401"/>
      <c r="BM61" s="4401"/>
      <c r="BN61" s="4401"/>
      <c r="BO61" s="4401"/>
      <c r="BP61" s="4401"/>
      <c r="BQ61" s="4402"/>
      <c r="BR61" s="4400"/>
      <c r="BS61" s="4401"/>
      <c r="BT61" s="4401"/>
      <c r="BU61" s="4401"/>
      <c r="BV61" s="4401"/>
      <c r="BW61" s="4401"/>
      <c r="BX61" s="4401"/>
      <c r="BY61" s="4402"/>
      <c r="BZ61" s="4400"/>
      <c r="CA61" s="4401"/>
      <c r="CB61" s="4401"/>
      <c r="CC61" s="4401"/>
      <c r="CD61" s="4401"/>
      <c r="CE61" s="4401"/>
      <c r="CF61" s="4401"/>
      <c r="CG61" s="4402"/>
      <c r="CH61" s="4400"/>
      <c r="CI61" s="4401"/>
      <c r="CJ61" s="4401"/>
      <c r="CK61" s="4401"/>
      <c r="CL61" s="4401"/>
      <c r="CM61" s="4401"/>
      <c r="CN61" s="4401"/>
      <c r="CO61" s="4402"/>
      <c r="CP61" s="4400"/>
      <c r="CQ61" s="4401"/>
      <c r="CR61" s="4401"/>
      <c r="CS61" s="4401"/>
      <c r="CT61" s="4401"/>
      <c r="CU61" s="4401"/>
      <c r="CV61" s="4401"/>
      <c r="CW61" s="4402"/>
      <c r="CX61" s="4400"/>
      <c r="CY61" s="4401"/>
      <c r="CZ61" s="4401"/>
      <c r="DA61" s="4401"/>
      <c r="DB61" s="4401"/>
      <c r="DC61" s="4401"/>
      <c r="DD61" s="4401"/>
      <c r="DE61" s="4402"/>
      <c r="DF61" s="4400"/>
      <c r="DG61" s="4401"/>
      <c r="DH61" s="4401"/>
      <c r="DI61" s="4401"/>
      <c r="DJ61" s="4401"/>
      <c r="DK61" s="4401"/>
      <c r="DL61" s="4401"/>
      <c r="DM61" s="4402"/>
      <c r="DN61" s="4400"/>
      <c r="DO61" s="4401"/>
      <c r="DP61" s="4401"/>
      <c r="DQ61" s="4401"/>
      <c r="DR61" s="4401"/>
      <c r="DS61" s="4401"/>
      <c r="DT61" s="4401"/>
      <c r="DU61" s="4402"/>
      <c r="DV61" s="4400"/>
      <c r="DW61" s="4401"/>
      <c r="DX61" s="4401"/>
      <c r="DY61" s="4401"/>
      <c r="DZ61" s="4401"/>
      <c r="EA61" s="4401"/>
      <c r="EB61" s="4401"/>
      <c r="EC61" s="4402"/>
      <c r="ED61" s="4400"/>
      <c r="EE61" s="4401"/>
      <c r="EF61" s="4401"/>
      <c r="EG61" s="4401"/>
      <c r="EH61" s="4401"/>
      <c r="EI61" s="4401"/>
      <c r="EJ61" s="4401"/>
      <c r="EK61" s="4402"/>
      <c r="EL61" s="4400"/>
      <c r="EM61" s="4401"/>
      <c r="EN61" s="4401"/>
      <c r="EO61" s="4401"/>
      <c r="EP61" s="4401"/>
      <c r="EQ61" s="4401"/>
      <c r="ER61" s="4401"/>
      <c r="ES61" s="4402"/>
      <c r="ET61" s="4400"/>
      <c r="EU61" s="4401"/>
      <c r="EV61" s="4401"/>
      <c r="EW61" s="4401"/>
      <c r="EX61" s="4401"/>
      <c r="EY61" s="4401"/>
      <c r="EZ61" s="4401"/>
      <c r="FA61" s="4402"/>
      <c r="FB61" s="4400"/>
      <c r="FC61" s="4401"/>
      <c r="FD61" s="4401"/>
      <c r="FE61" s="4401"/>
      <c r="FF61" s="4401"/>
      <c r="FG61" s="4401"/>
      <c r="FH61" s="4401"/>
      <c r="FI61" s="4402"/>
      <c r="FJ61" s="4400"/>
      <c r="FK61" s="4401"/>
      <c r="FL61" s="4401"/>
      <c r="FM61" s="4401"/>
      <c r="FN61" s="4401"/>
      <c r="FO61" s="4401"/>
      <c r="FP61" s="4401"/>
      <c r="FQ61" s="4402"/>
      <c r="FR61" s="4400"/>
      <c r="FS61" s="4401"/>
      <c r="FT61" s="4401"/>
      <c r="FU61" s="4401"/>
      <c r="FV61" s="4401"/>
      <c r="FW61" s="4401"/>
      <c r="FX61" s="4401"/>
      <c r="FY61" s="4402"/>
      <c r="FZ61" s="4400"/>
      <c r="GA61" s="4401"/>
      <c r="GB61" s="4401"/>
      <c r="GC61" s="4401"/>
      <c r="GD61" s="4401"/>
      <c r="GE61" s="4401"/>
      <c r="GF61" s="4401"/>
      <c r="GG61" s="4402"/>
      <c r="GH61" s="4402"/>
      <c r="GI61" s="2993" t="s">
        <v>426</v>
      </c>
      <c r="GJ61" s="2524"/>
      <c r="GK61" s="2994"/>
      <c r="GL61" s="2994" t="str">
        <f t="shared" si="1"/>
        <v>Схема подключения теплопотребляющей установки к коллектору источника тепловой энергии</v>
      </c>
      <c r="GM61" s="2994"/>
      <c r="GN61" s="2994"/>
      <c r="GO61" s="2055">
        <v>0</v>
      </c>
    </row>
    <row r="62" spans="1:197" s="4175" customFormat="1" ht="21" customHeight="1">
      <c r="A62" s="2984"/>
      <c r="B62" s="2984"/>
      <c r="C62" s="2984"/>
      <c r="D62" s="2984"/>
      <c r="E62" s="4413">
        <v>1</v>
      </c>
      <c r="F62" s="4413"/>
      <c r="G62" s="4413"/>
      <c r="H62" s="4413"/>
      <c r="I62" s="4415"/>
      <c r="J62" s="4414" t="str">
        <f>I61&amp;".1"</f>
        <v>2.1.1.1.1.1</v>
      </c>
      <c r="K62" s="2984"/>
      <c r="L62" s="2985" t="s">
        <v>427</v>
      </c>
      <c r="M62" s="2518"/>
      <c r="N62" s="2518"/>
      <c r="O62" s="3002"/>
      <c r="P62" s="4416"/>
      <c r="Q62" s="4416">
        <v>1</v>
      </c>
      <c r="R62" s="3006"/>
      <c r="S62" s="2990" t="str">
        <f>$J62</f>
        <v>2.1.1.1.1.1</v>
      </c>
      <c r="T62" s="3007" t="s">
        <v>428</v>
      </c>
      <c r="U62" s="2992"/>
      <c r="V62" s="4400"/>
      <c r="W62" s="4401"/>
      <c r="X62" s="4401"/>
      <c r="Y62" s="4401"/>
      <c r="Z62" s="4401"/>
      <c r="AA62" s="4401"/>
      <c r="AB62" s="4401"/>
      <c r="AC62" s="4402"/>
      <c r="AD62" s="4400" t="s">
        <v>470</v>
      </c>
      <c r="AE62" s="4401"/>
      <c r="AF62" s="4401"/>
      <c r="AG62" s="4401"/>
      <c r="AH62" s="4401"/>
      <c r="AI62" s="4401"/>
      <c r="AJ62" s="4401"/>
      <c r="AK62" s="4401"/>
      <c r="AL62" s="4400"/>
      <c r="AM62" s="4401"/>
      <c r="AN62" s="4401"/>
      <c r="AO62" s="4401"/>
      <c r="AP62" s="4401"/>
      <c r="AQ62" s="4401"/>
      <c r="AR62" s="4401"/>
      <c r="AS62" s="4402"/>
      <c r="AT62" s="4400"/>
      <c r="AU62" s="4401"/>
      <c r="AV62" s="4401"/>
      <c r="AW62" s="4401"/>
      <c r="AX62" s="4401"/>
      <c r="AY62" s="4401"/>
      <c r="AZ62" s="4401"/>
      <c r="BA62" s="4402"/>
      <c r="BB62" s="4400"/>
      <c r="BC62" s="4401"/>
      <c r="BD62" s="4401"/>
      <c r="BE62" s="4401"/>
      <c r="BF62" s="4401"/>
      <c r="BG62" s="4401"/>
      <c r="BH62" s="4401"/>
      <c r="BI62" s="4402"/>
      <c r="BJ62" s="4400"/>
      <c r="BK62" s="4401"/>
      <c r="BL62" s="4401"/>
      <c r="BM62" s="4401"/>
      <c r="BN62" s="4401"/>
      <c r="BO62" s="4401"/>
      <c r="BP62" s="4401"/>
      <c r="BQ62" s="4402"/>
      <c r="BR62" s="4400"/>
      <c r="BS62" s="4401"/>
      <c r="BT62" s="4401"/>
      <c r="BU62" s="4401"/>
      <c r="BV62" s="4401"/>
      <c r="BW62" s="4401"/>
      <c r="BX62" s="4401"/>
      <c r="BY62" s="4402"/>
      <c r="BZ62" s="4400"/>
      <c r="CA62" s="4401"/>
      <c r="CB62" s="4401"/>
      <c r="CC62" s="4401"/>
      <c r="CD62" s="4401"/>
      <c r="CE62" s="4401"/>
      <c r="CF62" s="4401"/>
      <c r="CG62" s="4402"/>
      <c r="CH62" s="4400"/>
      <c r="CI62" s="4401"/>
      <c r="CJ62" s="4401"/>
      <c r="CK62" s="4401"/>
      <c r="CL62" s="4401"/>
      <c r="CM62" s="4401"/>
      <c r="CN62" s="4401"/>
      <c r="CO62" s="4402"/>
      <c r="CP62" s="4400"/>
      <c r="CQ62" s="4401"/>
      <c r="CR62" s="4401"/>
      <c r="CS62" s="4401"/>
      <c r="CT62" s="4401"/>
      <c r="CU62" s="4401"/>
      <c r="CV62" s="4401"/>
      <c r="CW62" s="4402"/>
      <c r="CX62" s="4400"/>
      <c r="CY62" s="4401"/>
      <c r="CZ62" s="4401"/>
      <c r="DA62" s="4401"/>
      <c r="DB62" s="4401"/>
      <c r="DC62" s="4401"/>
      <c r="DD62" s="4401"/>
      <c r="DE62" s="4402"/>
      <c r="DF62" s="4400"/>
      <c r="DG62" s="4401"/>
      <c r="DH62" s="4401"/>
      <c r="DI62" s="4401"/>
      <c r="DJ62" s="4401"/>
      <c r="DK62" s="4401"/>
      <c r="DL62" s="4401"/>
      <c r="DM62" s="4402"/>
      <c r="DN62" s="4400"/>
      <c r="DO62" s="4401"/>
      <c r="DP62" s="4401"/>
      <c r="DQ62" s="4401"/>
      <c r="DR62" s="4401"/>
      <c r="DS62" s="4401"/>
      <c r="DT62" s="4401"/>
      <c r="DU62" s="4402"/>
      <c r="DV62" s="4400"/>
      <c r="DW62" s="4401"/>
      <c r="DX62" s="4401"/>
      <c r="DY62" s="4401"/>
      <c r="DZ62" s="4401"/>
      <c r="EA62" s="4401"/>
      <c r="EB62" s="4401"/>
      <c r="EC62" s="4402"/>
      <c r="ED62" s="4400"/>
      <c r="EE62" s="4401"/>
      <c r="EF62" s="4401"/>
      <c r="EG62" s="4401"/>
      <c r="EH62" s="4401"/>
      <c r="EI62" s="4401"/>
      <c r="EJ62" s="4401"/>
      <c r="EK62" s="4402"/>
      <c r="EL62" s="4400"/>
      <c r="EM62" s="4401"/>
      <c r="EN62" s="4401"/>
      <c r="EO62" s="4401"/>
      <c r="EP62" s="4401"/>
      <c r="EQ62" s="4401"/>
      <c r="ER62" s="4401"/>
      <c r="ES62" s="4402"/>
      <c r="ET62" s="4400"/>
      <c r="EU62" s="4401"/>
      <c r="EV62" s="4401"/>
      <c r="EW62" s="4401"/>
      <c r="EX62" s="4401"/>
      <c r="EY62" s="4401"/>
      <c r="EZ62" s="4401"/>
      <c r="FA62" s="4402"/>
      <c r="FB62" s="4400"/>
      <c r="FC62" s="4401"/>
      <c r="FD62" s="4401"/>
      <c r="FE62" s="4401"/>
      <c r="FF62" s="4401"/>
      <c r="FG62" s="4401"/>
      <c r="FH62" s="4401"/>
      <c r="FI62" s="4402"/>
      <c r="FJ62" s="4400"/>
      <c r="FK62" s="4401"/>
      <c r="FL62" s="4401"/>
      <c r="FM62" s="4401"/>
      <c r="FN62" s="4401"/>
      <c r="FO62" s="4401"/>
      <c r="FP62" s="4401"/>
      <c r="FQ62" s="4402"/>
      <c r="FR62" s="4400"/>
      <c r="FS62" s="4401"/>
      <c r="FT62" s="4401"/>
      <c r="FU62" s="4401"/>
      <c r="FV62" s="4401"/>
      <c r="FW62" s="4401"/>
      <c r="FX62" s="4401"/>
      <c r="FY62" s="4402"/>
      <c r="FZ62" s="4400"/>
      <c r="GA62" s="4401"/>
      <c r="GB62" s="4401"/>
      <c r="GC62" s="4401"/>
      <c r="GD62" s="4401"/>
      <c r="GE62" s="4401"/>
      <c r="GF62" s="4401"/>
      <c r="GG62" s="4402"/>
      <c r="GH62" s="4402"/>
      <c r="GI62" s="2993" t="s">
        <v>429</v>
      </c>
      <c r="GJ62" s="2524"/>
      <c r="GK62" s="2994"/>
      <c r="GL62" s="2994" t="str">
        <f t="shared" si="1"/>
        <v>Группа потребителей</v>
      </c>
      <c r="GM62" s="2994"/>
      <c r="GN62" s="2994"/>
      <c r="GO62" s="2055">
        <v>0</v>
      </c>
    </row>
    <row r="63" spans="1:197" s="4176" customFormat="1" ht="21" customHeight="1">
      <c r="A63" s="2984"/>
      <c r="B63" s="2984"/>
      <c r="C63" s="2984"/>
      <c r="D63" s="2984"/>
      <c r="E63" s="4413">
        <v>1</v>
      </c>
      <c r="F63" s="4413"/>
      <c r="G63" s="4413"/>
      <c r="H63" s="4413"/>
      <c r="I63" s="4415"/>
      <c r="J63" s="4415"/>
      <c r="K63" s="4414" t="str">
        <f>J62&amp;".1"</f>
        <v>2.1.1.1.1.1.1</v>
      </c>
      <c r="L63" s="2985" t="s">
        <v>430</v>
      </c>
      <c r="M63" s="2518"/>
      <c r="N63" s="2518"/>
      <c r="O63" s="2518"/>
      <c r="P63" s="4416"/>
      <c r="Q63" s="4416"/>
      <c r="R63" s="3006">
        <v>1</v>
      </c>
      <c r="S63" s="2990" t="str">
        <f>$K63</f>
        <v>2.1.1.1.1.1.1</v>
      </c>
      <c r="T63" s="3008" t="s">
        <v>469</v>
      </c>
      <c r="U63" s="2992"/>
      <c r="V63" s="2056"/>
      <c r="W63" s="2057"/>
      <c r="X63" s="2056"/>
      <c r="Y63" s="2058"/>
      <c r="Z63" s="4417"/>
      <c r="AA63" s="4284" t="s">
        <v>65</v>
      </c>
      <c r="AB63" s="4417"/>
      <c r="AC63" s="4284" t="s">
        <v>65</v>
      </c>
      <c r="AD63" s="2056">
        <v>3394.29</v>
      </c>
      <c r="AE63" s="2057"/>
      <c r="AF63" s="2056"/>
      <c r="AG63" s="2058"/>
      <c r="AH63" s="4417">
        <v>42990</v>
      </c>
      <c r="AI63" s="4284" t="s">
        <v>65</v>
      </c>
      <c r="AJ63" s="4417">
        <v>43100</v>
      </c>
      <c r="AK63" s="4284" t="s">
        <v>65</v>
      </c>
      <c r="AL63" s="2056">
        <v>3394.29</v>
      </c>
      <c r="AM63" s="2057"/>
      <c r="AN63" s="2056"/>
      <c r="AO63" s="2058"/>
      <c r="AP63" s="4417">
        <v>43101</v>
      </c>
      <c r="AQ63" s="4284" t="s">
        <v>65</v>
      </c>
      <c r="AR63" s="4417">
        <v>43281</v>
      </c>
      <c r="AS63" s="4284" t="s">
        <v>65</v>
      </c>
      <c r="AT63" s="2056">
        <v>3394.29</v>
      </c>
      <c r="AU63" s="2057"/>
      <c r="AV63" s="2056"/>
      <c r="AW63" s="2058"/>
      <c r="AX63" s="4417">
        <v>43282</v>
      </c>
      <c r="AY63" s="4284" t="s">
        <v>65</v>
      </c>
      <c r="AZ63" s="4417">
        <v>43465</v>
      </c>
      <c r="BA63" s="4284" t="s">
        <v>65</v>
      </c>
      <c r="BB63" s="2056">
        <v>3451.82</v>
      </c>
      <c r="BC63" s="2057"/>
      <c r="BD63" s="2056"/>
      <c r="BE63" s="2058"/>
      <c r="BF63" s="4417">
        <v>43466</v>
      </c>
      <c r="BG63" s="4284" t="s">
        <v>65</v>
      </c>
      <c r="BH63" s="4417">
        <v>43646</v>
      </c>
      <c r="BI63" s="4284" t="s">
        <v>65</v>
      </c>
      <c r="BJ63" s="2056">
        <v>3451.82</v>
      </c>
      <c r="BK63" s="2057"/>
      <c r="BL63" s="2056"/>
      <c r="BM63" s="2058"/>
      <c r="BN63" s="4417">
        <v>43647</v>
      </c>
      <c r="BO63" s="4284" t="s">
        <v>65</v>
      </c>
      <c r="BP63" s="4417">
        <v>43830</v>
      </c>
      <c r="BQ63" s="4284" t="s">
        <v>65</v>
      </c>
      <c r="BR63" s="2056">
        <v>3349.52</v>
      </c>
      <c r="BS63" s="2057"/>
      <c r="BT63" s="2056"/>
      <c r="BU63" s="2058"/>
      <c r="BV63" s="4417">
        <v>43831</v>
      </c>
      <c r="BW63" s="4284" t="s">
        <v>65</v>
      </c>
      <c r="BX63" s="4417">
        <v>44012</v>
      </c>
      <c r="BY63" s="4284" t="s">
        <v>65</v>
      </c>
      <c r="BZ63" s="2056">
        <v>3416</v>
      </c>
      <c r="CA63" s="2057"/>
      <c r="CB63" s="2056"/>
      <c r="CC63" s="2058"/>
      <c r="CD63" s="4417">
        <v>44013</v>
      </c>
      <c r="CE63" s="4284" t="s">
        <v>65</v>
      </c>
      <c r="CF63" s="4417">
        <v>44196</v>
      </c>
      <c r="CG63" s="4284" t="s">
        <v>65</v>
      </c>
      <c r="CH63" s="2056">
        <v>3416</v>
      </c>
      <c r="CI63" s="2057"/>
      <c r="CJ63" s="2056"/>
      <c r="CK63" s="2058"/>
      <c r="CL63" s="4417">
        <v>44197</v>
      </c>
      <c r="CM63" s="4284" t="s">
        <v>65</v>
      </c>
      <c r="CN63" s="4417">
        <v>44377</v>
      </c>
      <c r="CO63" s="4284" t="s">
        <v>65</v>
      </c>
      <c r="CP63" s="2056">
        <v>3457.63</v>
      </c>
      <c r="CQ63" s="2057"/>
      <c r="CR63" s="2056"/>
      <c r="CS63" s="2058"/>
      <c r="CT63" s="4417">
        <v>44378</v>
      </c>
      <c r="CU63" s="4284" t="s">
        <v>65</v>
      </c>
      <c r="CV63" s="4417">
        <v>44561</v>
      </c>
      <c r="CW63" s="4284" t="s">
        <v>65</v>
      </c>
      <c r="CX63" s="2056">
        <v>3457.63</v>
      </c>
      <c r="CY63" s="2057"/>
      <c r="CZ63" s="2056"/>
      <c r="DA63" s="2058"/>
      <c r="DB63" s="4417">
        <v>44562</v>
      </c>
      <c r="DC63" s="4284" t="s">
        <v>65</v>
      </c>
      <c r="DD63" s="4417">
        <v>44742</v>
      </c>
      <c r="DE63" s="4284" t="s">
        <v>65</v>
      </c>
      <c r="DF63" s="2056">
        <v>3589.02</v>
      </c>
      <c r="DG63" s="2057"/>
      <c r="DH63" s="2056"/>
      <c r="DI63" s="2058"/>
      <c r="DJ63" s="4417">
        <v>44743</v>
      </c>
      <c r="DK63" s="4284" t="s">
        <v>65</v>
      </c>
      <c r="DL63" s="4417">
        <v>44895</v>
      </c>
      <c r="DM63" s="4284" t="s">
        <v>65</v>
      </c>
      <c r="DN63" s="2056">
        <v>3804.36</v>
      </c>
      <c r="DO63" s="2057"/>
      <c r="DP63" s="2056"/>
      <c r="DQ63" s="2058"/>
      <c r="DR63" s="4417">
        <v>44896</v>
      </c>
      <c r="DS63" s="4284" t="s">
        <v>65</v>
      </c>
      <c r="DT63" s="4417">
        <v>45291</v>
      </c>
      <c r="DU63" s="4284" t="s">
        <v>65</v>
      </c>
      <c r="DV63" s="2056">
        <v>3804.36</v>
      </c>
      <c r="DW63" s="2057"/>
      <c r="DX63" s="2056"/>
      <c r="DY63" s="2058"/>
      <c r="DZ63" s="4417">
        <v>45292</v>
      </c>
      <c r="EA63" s="4284" t="s">
        <v>65</v>
      </c>
      <c r="EB63" s="4417">
        <v>45473</v>
      </c>
      <c r="EC63" s="4284" t="s">
        <v>65</v>
      </c>
      <c r="ED63" s="2056">
        <v>4000</v>
      </c>
      <c r="EE63" s="2057"/>
      <c r="EF63" s="2056"/>
      <c r="EG63" s="2058"/>
      <c r="EH63" s="4417">
        <v>45474</v>
      </c>
      <c r="EI63" s="4284" t="s">
        <v>65</v>
      </c>
      <c r="EJ63" s="4417">
        <v>45657</v>
      </c>
      <c r="EK63" s="4284" t="s">
        <v>65</v>
      </c>
      <c r="EL63" s="2056">
        <v>4000</v>
      </c>
      <c r="EM63" s="2057"/>
      <c r="EN63" s="2056"/>
      <c r="EO63" s="2058"/>
      <c r="EP63" s="4417">
        <v>45658</v>
      </c>
      <c r="EQ63" s="4284" t="s">
        <v>65</v>
      </c>
      <c r="ER63" s="4417">
        <v>45838</v>
      </c>
      <c r="ES63" s="4284" t="s">
        <v>65</v>
      </c>
      <c r="ET63" s="2056">
        <v>4600</v>
      </c>
      <c r="EU63" s="2057"/>
      <c r="EV63" s="2056"/>
      <c r="EW63" s="2058"/>
      <c r="EX63" s="4417">
        <v>45839</v>
      </c>
      <c r="EY63" s="4284" t="s">
        <v>65</v>
      </c>
      <c r="EZ63" s="4417">
        <v>46022</v>
      </c>
      <c r="FA63" s="4284" t="s">
        <v>65</v>
      </c>
      <c r="FB63" s="2056">
        <v>3822.9</v>
      </c>
      <c r="FC63" s="2057"/>
      <c r="FD63" s="2056"/>
      <c r="FE63" s="2058"/>
      <c r="FF63" s="4417">
        <v>46023</v>
      </c>
      <c r="FG63" s="4284" t="s">
        <v>65</v>
      </c>
      <c r="FH63" s="4417">
        <v>46203</v>
      </c>
      <c r="FI63" s="4284" t="s">
        <v>65</v>
      </c>
      <c r="FJ63" s="2056">
        <v>3899.35</v>
      </c>
      <c r="FK63" s="2057"/>
      <c r="FL63" s="2056"/>
      <c r="FM63" s="2058"/>
      <c r="FN63" s="4417">
        <v>46204</v>
      </c>
      <c r="FO63" s="4284" t="s">
        <v>65</v>
      </c>
      <c r="FP63" s="4417">
        <v>46387</v>
      </c>
      <c r="FQ63" s="4284" t="s">
        <v>65</v>
      </c>
      <c r="FR63" s="2056">
        <v>3899.35</v>
      </c>
      <c r="FS63" s="2057"/>
      <c r="FT63" s="2056"/>
      <c r="FU63" s="2058"/>
      <c r="FV63" s="4417">
        <v>46388</v>
      </c>
      <c r="FW63" s="4284" t="s">
        <v>65</v>
      </c>
      <c r="FX63" s="4417">
        <v>46568</v>
      </c>
      <c r="FY63" s="4284" t="s">
        <v>65</v>
      </c>
      <c r="FZ63" s="2056">
        <v>3943.72</v>
      </c>
      <c r="GA63" s="2057"/>
      <c r="GB63" s="2056"/>
      <c r="GC63" s="2058"/>
      <c r="GD63" s="4417">
        <v>46569</v>
      </c>
      <c r="GE63" s="4284" t="s">
        <v>65</v>
      </c>
      <c r="GF63" s="4417">
        <v>46630</v>
      </c>
      <c r="GG63" s="4284" t="s">
        <v>65</v>
      </c>
      <c r="GH63" s="2057"/>
      <c r="GI63" s="4435" t="s">
        <v>431</v>
      </c>
      <c r="GJ63" s="2524" t="e">
        <f ca="1">STRCHECKDATE(V64:GH64)</f>
        <v>#NAME?</v>
      </c>
      <c r="GK63" s="2994"/>
      <c r="GL63" s="2994" t="str">
        <f t="shared" si="1"/>
        <v>вода</v>
      </c>
      <c r="GM63" s="2994"/>
      <c r="GN63" s="2994"/>
      <c r="GO63" s="2055">
        <v>0</v>
      </c>
    </row>
    <row r="64" spans="1:197" s="4177" customFormat="1" ht="0.75" customHeight="1">
      <c r="A64" s="2984"/>
      <c r="B64" s="2984"/>
      <c r="C64" s="2984"/>
      <c r="D64" s="2984"/>
      <c r="E64" s="4413">
        <v>1</v>
      </c>
      <c r="F64" s="4413"/>
      <c r="G64" s="4413"/>
      <c r="H64" s="4413"/>
      <c r="I64" s="4415"/>
      <c r="J64" s="4415"/>
      <c r="K64" s="4414"/>
      <c r="L64" s="2985"/>
      <c r="M64" s="2518"/>
      <c r="N64" s="2518"/>
      <c r="O64" s="2518"/>
      <c r="P64" s="4416"/>
      <c r="Q64" s="4416"/>
      <c r="R64" s="3006"/>
      <c r="S64" s="3009"/>
      <c r="T64" s="2992"/>
      <c r="U64" s="2992"/>
      <c r="V64" s="2057"/>
      <c r="W64" s="2057"/>
      <c r="X64" s="2057"/>
      <c r="Y64" s="2059" t="str">
        <f>Z63&amp;"-"&amp;AB63</f>
        <v>-</v>
      </c>
      <c r="Z64" s="4418"/>
      <c r="AA64" s="4284"/>
      <c r="AB64" s="4418"/>
      <c r="AC64" s="4284"/>
      <c r="AD64" s="2057"/>
      <c r="AE64" s="2057"/>
      <c r="AF64" s="2057"/>
      <c r="AG64" s="2059" t="str">
        <f>AH63&amp;"-"&amp;AJ63</f>
        <v>42990-43100</v>
      </c>
      <c r="AH64" s="4418"/>
      <c r="AI64" s="4284"/>
      <c r="AJ64" s="4418"/>
      <c r="AK64" s="4284"/>
      <c r="AL64" s="2057"/>
      <c r="AM64" s="2057"/>
      <c r="AN64" s="2057"/>
      <c r="AO64" s="2059" t="str">
        <f>AP63&amp;"-"&amp;AR63</f>
        <v>43101-43281</v>
      </c>
      <c r="AP64" s="4418"/>
      <c r="AQ64" s="4284"/>
      <c r="AR64" s="4418"/>
      <c r="AS64" s="4284"/>
      <c r="AT64" s="2057"/>
      <c r="AU64" s="2057"/>
      <c r="AV64" s="2057"/>
      <c r="AW64" s="2059" t="str">
        <f>AX63&amp;"-"&amp;AZ63</f>
        <v>43282-43465</v>
      </c>
      <c r="AX64" s="4418"/>
      <c r="AY64" s="4284"/>
      <c r="AZ64" s="4418"/>
      <c r="BA64" s="4284"/>
      <c r="BB64" s="2057"/>
      <c r="BC64" s="2057"/>
      <c r="BD64" s="2057"/>
      <c r="BE64" s="2059" t="str">
        <f>BF63&amp;"-"&amp;BH63</f>
        <v>43466-43646</v>
      </c>
      <c r="BF64" s="4418"/>
      <c r="BG64" s="4284"/>
      <c r="BH64" s="4418"/>
      <c r="BI64" s="4284"/>
      <c r="BJ64" s="2057"/>
      <c r="BK64" s="2057"/>
      <c r="BL64" s="2057"/>
      <c r="BM64" s="2059" t="str">
        <f>BN63&amp;"-"&amp;BP63</f>
        <v>43647-43830</v>
      </c>
      <c r="BN64" s="4418"/>
      <c r="BO64" s="4284"/>
      <c r="BP64" s="4418"/>
      <c r="BQ64" s="4284"/>
      <c r="BR64" s="2057"/>
      <c r="BS64" s="2057"/>
      <c r="BT64" s="2057"/>
      <c r="BU64" s="2059" t="str">
        <f>BV63&amp;"-"&amp;BX63</f>
        <v>43831-44012</v>
      </c>
      <c r="BV64" s="4418"/>
      <c r="BW64" s="4284"/>
      <c r="BX64" s="4418"/>
      <c r="BY64" s="4284"/>
      <c r="BZ64" s="2057"/>
      <c r="CA64" s="2057"/>
      <c r="CB64" s="2057"/>
      <c r="CC64" s="2059" t="str">
        <f>CD63&amp;"-"&amp;CF63</f>
        <v>44013-44196</v>
      </c>
      <c r="CD64" s="4418"/>
      <c r="CE64" s="4284"/>
      <c r="CF64" s="4418"/>
      <c r="CG64" s="4284"/>
      <c r="CH64" s="2057"/>
      <c r="CI64" s="2057"/>
      <c r="CJ64" s="2057"/>
      <c r="CK64" s="2059" t="str">
        <f>CL63&amp;"-"&amp;CN63</f>
        <v>44197-44377</v>
      </c>
      <c r="CL64" s="4418"/>
      <c r="CM64" s="4284"/>
      <c r="CN64" s="4418"/>
      <c r="CO64" s="4284"/>
      <c r="CP64" s="2057"/>
      <c r="CQ64" s="2057"/>
      <c r="CR64" s="2057"/>
      <c r="CS64" s="2059" t="str">
        <f>CT63&amp;"-"&amp;CV63</f>
        <v>44378-44561</v>
      </c>
      <c r="CT64" s="4418"/>
      <c r="CU64" s="4284"/>
      <c r="CV64" s="4418"/>
      <c r="CW64" s="4284"/>
      <c r="CX64" s="2057"/>
      <c r="CY64" s="2057"/>
      <c r="CZ64" s="2057"/>
      <c r="DA64" s="2059" t="str">
        <f>DB63&amp;"-"&amp;DD63</f>
        <v>44562-44742</v>
      </c>
      <c r="DB64" s="4418"/>
      <c r="DC64" s="4284"/>
      <c r="DD64" s="4418"/>
      <c r="DE64" s="4284"/>
      <c r="DF64" s="2057"/>
      <c r="DG64" s="2057"/>
      <c r="DH64" s="2057"/>
      <c r="DI64" s="2059" t="str">
        <f>DJ63&amp;"-"&amp;DL63</f>
        <v>44743-44895</v>
      </c>
      <c r="DJ64" s="4418"/>
      <c r="DK64" s="4284"/>
      <c r="DL64" s="4418"/>
      <c r="DM64" s="4284"/>
      <c r="DN64" s="2057"/>
      <c r="DO64" s="2057"/>
      <c r="DP64" s="2057"/>
      <c r="DQ64" s="2059" t="str">
        <f>DR63&amp;"-"&amp;DT63</f>
        <v>44896-45291</v>
      </c>
      <c r="DR64" s="4418"/>
      <c r="DS64" s="4284"/>
      <c r="DT64" s="4418"/>
      <c r="DU64" s="4284"/>
      <c r="DV64" s="2057"/>
      <c r="DW64" s="2057"/>
      <c r="DX64" s="2057"/>
      <c r="DY64" s="2059" t="str">
        <f>DZ63&amp;"-"&amp;EB63</f>
        <v>45292-45473</v>
      </c>
      <c r="DZ64" s="4418"/>
      <c r="EA64" s="4284"/>
      <c r="EB64" s="4418"/>
      <c r="EC64" s="4284"/>
      <c r="ED64" s="2057"/>
      <c r="EE64" s="2057"/>
      <c r="EF64" s="2057"/>
      <c r="EG64" s="2059" t="str">
        <f>EH63&amp;"-"&amp;EJ63</f>
        <v>45474-45657</v>
      </c>
      <c r="EH64" s="4418"/>
      <c r="EI64" s="4284"/>
      <c r="EJ64" s="4418"/>
      <c r="EK64" s="4284"/>
      <c r="EL64" s="2057"/>
      <c r="EM64" s="2057"/>
      <c r="EN64" s="2057"/>
      <c r="EO64" s="2059" t="str">
        <f>EP63&amp;"-"&amp;ER63</f>
        <v>45658-45838</v>
      </c>
      <c r="EP64" s="4418"/>
      <c r="EQ64" s="4284"/>
      <c r="ER64" s="4418"/>
      <c r="ES64" s="4284"/>
      <c r="ET64" s="2057"/>
      <c r="EU64" s="2057"/>
      <c r="EV64" s="2057"/>
      <c r="EW64" s="2059" t="str">
        <f>EX63&amp;"-"&amp;EZ63</f>
        <v>45839-46022</v>
      </c>
      <c r="EX64" s="4418"/>
      <c r="EY64" s="4284"/>
      <c r="EZ64" s="4418"/>
      <c r="FA64" s="4284"/>
      <c r="FB64" s="2057"/>
      <c r="FC64" s="2057"/>
      <c r="FD64" s="2057"/>
      <c r="FE64" s="2059" t="str">
        <f>FF63&amp;"-"&amp;FH63</f>
        <v>46023-46203</v>
      </c>
      <c r="FF64" s="4418"/>
      <c r="FG64" s="4284"/>
      <c r="FH64" s="4418"/>
      <c r="FI64" s="4284"/>
      <c r="FJ64" s="2057"/>
      <c r="FK64" s="2057"/>
      <c r="FL64" s="2057"/>
      <c r="FM64" s="2059" t="str">
        <f>FN63&amp;"-"&amp;FP63</f>
        <v>46204-46387</v>
      </c>
      <c r="FN64" s="4418"/>
      <c r="FO64" s="4284"/>
      <c r="FP64" s="4418"/>
      <c r="FQ64" s="4284"/>
      <c r="FR64" s="2057"/>
      <c r="FS64" s="2057"/>
      <c r="FT64" s="2057"/>
      <c r="FU64" s="2059" t="str">
        <f>FV63&amp;"-"&amp;FX63</f>
        <v>46388-46568</v>
      </c>
      <c r="FV64" s="4418"/>
      <c r="FW64" s="4284"/>
      <c r="FX64" s="4418"/>
      <c r="FY64" s="4284"/>
      <c r="FZ64" s="2057"/>
      <c r="GA64" s="2057"/>
      <c r="GB64" s="2057"/>
      <c r="GC64" s="2059" t="str">
        <f>GD63&amp;"-"&amp;GF63</f>
        <v>46569-46630</v>
      </c>
      <c r="GD64" s="4418"/>
      <c r="GE64" s="4284"/>
      <c r="GF64" s="4418"/>
      <c r="GG64" s="4284"/>
      <c r="GH64" s="2057"/>
      <c r="GI64" s="4436"/>
      <c r="GJ64" s="2524"/>
      <c r="GK64" s="2994"/>
      <c r="GL64" s="2994" t="str">
        <f t="shared" si="1"/>
        <v/>
      </c>
      <c r="GM64" s="2994"/>
      <c r="GN64" s="2994"/>
      <c r="GO64" s="2055">
        <v>0</v>
      </c>
    </row>
    <row r="65" spans="1:197" s="4178" customFormat="1" ht="15" customHeight="1">
      <c r="A65" s="2984"/>
      <c r="B65" s="2984"/>
      <c r="C65" s="2984"/>
      <c r="D65" s="2984"/>
      <c r="E65" s="4413">
        <v>1</v>
      </c>
      <c r="F65" s="4413"/>
      <c r="G65" s="4413"/>
      <c r="H65" s="4413"/>
      <c r="I65" s="4415"/>
      <c r="J65" s="4414"/>
      <c r="K65" s="2984"/>
      <c r="L65" s="2985"/>
      <c r="M65" s="2518"/>
      <c r="N65" s="2518"/>
      <c r="O65" s="3002"/>
      <c r="P65" s="4416"/>
      <c r="Q65" s="4416"/>
      <c r="R65" s="3004"/>
      <c r="S65" s="3010"/>
      <c r="T65" s="3011" t="s">
        <v>432</v>
      </c>
      <c r="U65" s="3012"/>
      <c r="V65" s="3013"/>
      <c r="W65" s="3014"/>
      <c r="X65" s="3015"/>
      <c r="Y65" s="3016"/>
      <c r="Z65" s="3017"/>
      <c r="AA65" s="3018"/>
      <c r="AB65" s="3019"/>
      <c r="AC65" s="3020"/>
      <c r="AD65" s="3021"/>
      <c r="AE65" s="3022"/>
      <c r="AF65" s="3023"/>
      <c r="AG65" s="3024"/>
      <c r="AH65" s="3025"/>
      <c r="AI65" s="3026"/>
      <c r="AJ65" s="3027"/>
      <c r="AK65" s="3028"/>
      <c r="AL65" s="3029"/>
      <c r="AM65" s="3030"/>
      <c r="AN65" s="3031"/>
      <c r="AO65" s="3032"/>
      <c r="AP65" s="3033"/>
      <c r="AQ65" s="3034"/>
      <c r="AR65" s="3035"/>
      <c r="AS65" s="3036"/>
      <c r="AT65" s="3037"/>
      <c r="AU65" s="3038"/>
      <c r="AV65" s="3039"/>
      <c r="AW65" s="3040"/>
      <c r="AX65" s="3041"/>
      <c r="AY65" s="3042"/>
      <c r="AZ65" s="3043"/>
      <c r="BA65" s="3044"/>
      <c r="BB65" s="3045"/>
      <c r="BC65" s="3046"/>
      <c r="BD65" s="3047"/>
      <c r="BE65" s="3048"/>
      <c r="BF65" s="3049"/>
      <c r="BG65" s="3050"/>
      <c r="BH65" s="3051"/>
      <c r="BI65" s="3052"/>
      <c r="BJ65" s="3053"/>
      <c r="BK65" s="3054"/>
      <c r="BL65" s="3055"/>
      <c r="BM65" s="3056"/>
      <c r="BN65" s="3057"/>
      <c r="BO65" s="3058"/>
      <c r="BP65" s="3059"/>
      <c r="BQ65" s="3060"/>
      <c r="BR65" s="3061"/>
      <c r="BS65" s="3062"/>
      <c r="BT65" s="3063"/>
      <c r="BU65" s="3064"/>
      <c r="BV65" s="3065"/>
      <c r="BW65" s="3066"/>
      <c r="BX65" s="3067"/>
      <c r="BY65" s="3068"/>
      <c r="BZ65" s="3069"/>
      <c r="CA65" s="3070"/>
      <c r="CB65" s="3071"/>
      <c r="CC65" s="3072"/>
      <c r="CD65" s="3073"/>
      <c r="CE65" s="3074"/>
      <c r="CF65" s="3075"/>
      <c r="CG65" s="3076"/>
      <c r="CH65" s="3077"/>
      <c r="CI65" s="3078"/>
      <c r="CJ65" s="3079"/>
      <c r="CK65" s="3080"/>
      <c r="CL65" s="3081"/>
      <c r="CM65" s="3082"/>
      <c r="CN65" s="3083"/>
      <c r="CO65" s="3084"/>
      <c r="CP65" s="3085"/>
      <c r="CQ65" s="3086"/>
      <c r="CR65" s="3087"/>
      <c r="CS65" s="3088"/>
      <c r="CT65" s="3089"/>
      <c r="CU65" s="3090"/>
      <c r="CV65" s="3091"/>
      <c r="CW65" s="3092"/>
      <c r="CX65" s="3093"/>
      <c r="CY65" s="3094"/>
      <c r="CZ65" s="3095"/>
      <c r="DA65" s="3096"/>
      <c r="DB65" s="3097"/>
      <c r="DC65" s="3098"/>
      <c r="DD65" s="3099"/>
      <c r="DE65" s="3100"/>
      <c r="DF65" s="3101"/>
      <c r="DG65" s="3102"/>
      <c r="DH65" s="3103"/>
      <c r="DI65" s="3104"/>
      <c r="DJ65" s="3105"/>
      <c r="DK65" s="3106"/>
      <c r="DL65" s="3107"/>
      <c r="DM65" s="3108"/>
      <c r="DN65" s="3109"/>
      <c r="DO65" s="3110"/>
      <c r="DP65" s="3111"/>
      <c r="DQ65" s="3112"/>
      <c r="DR65" s="3113"/>
      <c r="DS65" s="3114"/>
      <c r="DT65" s="3115"/>
      <c r="DU65" s="3116"/>
      <c r="DV65" s="3117"/>
      <c r="DW65" s="3118"/>
      <c r="DX65" s="3119"/>
      <c r="DY65" s="3120"/>
      <c r="DZ65" s="3121"/>
      <c r="EA65" s="3122"/>
      <c r="EB65" s="3123"/>
      <c r="EC65" s="3124"/>
      <c r="ED65" s="3125"/>
      <c r="EE65" s="3126"/>
      <c r="EF65" s="3127"/>
      <c r="EG65" s="3128"/>
      <c r="EH65" s="3129"/>
      <c r="EI65" s="3130"/>
      <c r="EJ65" s="3131"/>
      <c r="EK65" s="3132"/>
      <c r="EL65" s="3133"/>
      <c r="EM65" s="3134"/>
      <c r="EN65" s="3135"/>
      <c r="EO65" s="3136"/>
      <c r="EP65" s="3137"/>
      <c r="EQ65" s="3138"/>
      <c r="ER65" s="3139"/>
      <c r="ES65" s="3140"/>
      <c r="ET65" s="3141"/>
      <c r="EU65" s="3142"/>
      <c r="EV65" s="3143"/>
      <c r="EW65" s="3144"/>
      <c r="EX65" s="3145"/>
      <c r="EY65" s="3146"/>
      <c r="EZ65" s="3147"/>
      <c r="FA65" s="3148"/>
      <c r="FB65" s="3149"/>
      <c r="FC65" s="3150"/>
      <c r="FD65" s="3151"/>
      <c r="FE65" s="3152"/>
      <c r="FF65" s="3153"/>
      <c r="FG65" s="3154"/>
      <c r="FH65" s="3155"/>
      <c r="FI65" s="3156"/>
      <c r="FJ65" s="3157"/>
      <c r="FK65" s="3158"/>
      <c r="FL65" s="3159"/>
      <c r="FM65" s="3160"/>
      <c r="FN65" s="3161"/>
      <c r="FO65" s="3162"/>
      <c r="FP65" s="3163"/>
      <c r="FQ65" s="3164"/>
      <c r="FR65" s="3165"/>
      <c r="FS65" s="3166"/>
      <c r="FT65" s="3167"/>
      <c r="FU65" s="3168"/>
      <c r="FV65" s="3169"/>
      <c r="FW65" s="3170"/>
      <c r="FX65" s="3171"/>
      <c r="FY65" s="3172"/>
      <c r="FZ65" s="3173"/>
      <c r="GA65" s="3174"/>
      <c r="GB65" s="3175"/>
      <c r="GC65" s="3176"/>
      <c r="GD65" s="3177"/>
      <c r="GE65" s="3178"/>
      <c r="GF65" s="3179"/>
      <c r="GG65" s="3180"/>
      <c r="GH65" s="3181"/>
      <c r="GI65" s="4437"/>
      <c r="GJ65" s="2524"/>
      <c r="GK65" s="2994"/>
      <c r="GL65" s="2994" t="str">
        <f t="shared" si="1"/>
        <v>Добавить вид теплоносителя (параметры теплоносителя)</v>
      </c>
      <c r="GM65" s="2994"/>
      <c r="GN65" s="2994"/>
      <c r="GO65" s="2055">
        <v>0</v>
      </c>
    </row>
    <row r="66" spans="1:197" s="4179" customFormat="1" ht="15" customHeight="1">
      <c r="A66" s="2984"/>
      <c r="B66" s="2984"/>
      <c r="C66" s="2984"/>
      <c r="D66" s="2984"/>
      <c r="E66" s="4413">
        <v>1</v>
      </c>
      <c r="F66" s="4413"/>
      <c r="G66" s="4413"/>
      <c r="H66" s="4413"/>
      <c r="I66" s="4414"/>
      <c r="J66" s="2984"/>
      <c r="K66" s="2984"/>
      <c r="L66" s="2985"/>
      <c r="M66" s="2518"/>
      <c r="N66" s="3002"/>
      <c r="O66" s="3002"/>
      <c r="P66" s="4416"/>
      <c r="Q66" s="3003"/>
      <c r="R66" s="3004"/>
      <c r="S66" s="3182"/>
      <c r="T66" s="3183" t="s">
        <v>433</v>
      </c>
      <c r="U66" s="3184"/>
      <c r="V66" s="3185"/>
      <c r="W66" s="3186"/>
      <c r="X66" s="3187"/>
      <c r="Y66" s="3188"/>
      <c r="Z66" s="3189"/>
      <c r="AA66" s="3190"/>
      <c r="AB66" s="3191"/>
      <c r="AC66" s="3192"/>
      <c r="AD66" s="3193"/>
      <c r="AE66" s="3194"/>
      <c r="AF66" s="3195"/>
      <c r="AG66" s="3196"/>
      <c r="AH66" s="3197"/>
      <c r="AI66" s="3198"/>
      <c r="AJ66" s="3199"/>
      <c r="AK66" s="3200"/>
      <c r="AL66" s="3201"/>
      <c r="AM66" s="3202"/>
      <c r="AN66" s="3203"/>
      <c r="AO66" s="3204"/>
      <c r="AP66" s="3205"/>
      <c r="AQ66" s="3206"/>
      <c r="AR66" s="3207"/>
      <c r="AS66" s="3208"/>
      <c r="AT66" s="3209"/>
      <c r="AU66" s="3210"/>
      <c r="AV66" s="3211"/>
      <c r="AW66" s="3212"/>
      <c r="AX66" s="3213"/>
      <c r="AY66" s="3214"/>
      <c r="AZ66" s="3215"/>
      <c r="BA66" s="3216"/>
      <c r="BB66" s="3217"/>
      <c r="BC66" s="3218"/>
      <c r="BD66" s="3219"/>
      <c r="BE66" s="3220"/>
      <c r="BF66" s="3221"/>
      <c r="BG66" s="3222"/>
      <c r="BH66" s="3223"/>
      <c r="BI66" s="3224"/>
      <c r="BJ66" s="3225"/>
      <c r="BK66" s="3226"/>
      <c r="BL66" s="3227"/>
      <c r="BM66" s="3228"/>
      <c r="BN66" s="3229"/>
      <c r="BO66" s="3230"/>
      <c r="BP66" s="3231"/>
      <c r="BQ66" s="3232"/>
      <c r="BR66" s="3233"/>
      <c r="BS66" s="3234"/>
      <c r="BT66" s="3235"/>
      <c r="BU66" s="3236"/>
      <c r="BV66" s="3237"/>
      <c r="BW66" s="3238"/>
      <c r="BX66" s="3239"/>
      <c r="BY66" s="3240"/>
      <c r="BZ66" s="3241"/>
      <c r="CA66" s="3242"/>
      <c r="CB66" s="3243"/>
      <c r="CC66" s="3244"/>
      <c r="CD66" s="3245"/>
      <c r="CE66" s="3246"/>
      <c r="CF66" s="3247"/>
      <c r="CG66" s="3248"/>
      <c r="CH66" s="3249"/>
      <c r="CI66" s="3250"/>
      <c r="CJ66" s="3251"/>
      <c r="CK66" s="3252"/>
      <c r="CL66" s="3253"/>
      <c r="CM66" s="3254"/>
      <c r="CN66" s="3255"/>
      <c r="CO66" s="3256"/>
      <c r="CP66" s="3257"/>
      <c r="CQ66" s="3258"/>
      <c r="CR66" s="3259"/>
      <c r="CS66" s="3260"/>
      <c r="CT66" s="3261"/>
      <c r="CU66" s="3262"/>
      <c r="CV66" s="3263"/>
      <c r="CW66" s="3264"/>
      <c r="CX66" s="3265"/>
      <c r="CY66" s="3266"/>
      <c r="CZ66" s="3267"/>
      <c r="DA66" s="3268"/>
      <c r="DB66" s="3269"/>
      <c r="DC66" s="3270"/>
      <c r="DD66" s="3271"/>
      <c r="DE66" s="3272"/>
      <c r="DF66" s="3273"/>
      <c r="DG66" s="3274"/>
      <c r="DH66" s="3275"/>
      <c r="DI66" s="3276"/>
      <c r="DJ66" s="3277"/>
      <c r="DK66" s="3278"/>
      <c r="DL66" s="3279"/>
      <c r="DM66" s="3280"/>
      <c r="DN66" s="3281"/>
      <c r="DO66" s="3282"/>
      <c r="DP66" s="3283"/>
      <c r="DQ66" s="3284"/>
      <c r="DR66" s="3285"/>
      <c r="DS66" s="3286"/>
      <c r="DT66" s="3287"/>
      <c r="DU66" s="3288"/>
      <c r="DV66" s="3289"/>
      <c r="DW66" s="3290"/>
      <c r="DX66" s="3291"/>
      <c r="DY66" s="3292"/>
      <c r="DZ66" s="3293"/>
      <c r="EA66" s="3294"/>
      <c r="EB66" s="3295"/>
      <c r="EC66" s="3296"/>
      <c r="ED66" s="3297"/>
      <c r="EE66" s="3298"/>
      <c r="EF66" s="3299"/>
      <c r="EG66" s="3300"/>
      <c r="EH66" s="3301"/>
      <c r="EI66" s="3302"/>
      <c r="EJ66" s="3303"/>
      <c r="EK66" s="3304"/>
      <c r="EL66" s="3305"/>
      <c r="EM66" s="3306"/>
      <c r="EN66" s="3307"/>
      <c r="EO66" s="3308"/>
      <c r="EP66" s="3309"/>
      <c r="EQ66" s="3310"/>
      <c r="ER66" s="3311"/>
      <c r="ES66" s="3312"/>
      <c r="ET66" s="3313"/>
      <c r="EU66" s="3314"/>
      <c r="EV66" s="3315"/>
      <c r="EW66" s="3316"/>
      <c r="EX66" s="3317"/>
      <c r="EY66" s="3318"/>
      <c r="EZ66" s="3319"/>
      <c r="FA66" s="3320"/>
      <c r="FB66" s="3321"/>
      <c r="FC66" s="3322"/>
      <c r="FD66" s="3323"/>
      <c r="FE66" s="3324"/>
      <c r="FF66" s="3325"/>
      <c r="FG66" s="3326"/>
      <c r="FH66" s="3327"/>
      <c r="FI66" s="3328"/>
      <c r="FJ66" s="3329"/>
      <c r="FK66" s="3330"/>
      <c r="FL66" s="3331"/>
      <c r="FM66" s="3332"/>
      <c r="FN66" s="3333"/>
      <c r="FO66" s="3334"/>
      <c r="FP66" s="3335"/>
      <c r="FQ66" s="3336"/>
      <c r="FR66" s="3337"/>
      <c r="FS66" s="3338"/>
      <c r="FT66" s="3339"/>
      <c r="FU66" s="3340"/>
      <c r="FV66" s="3341"/>
      <c r="FW66" s="3342"/>
      <c r="FX66" s="3343"/>
      <c r="FY66" s="3344"/>
      <c r="FZ66" s="3345"/>
      <c r="GA66" s="3346"/>
      <c r="GB66" s="3347"/>
      <c r="GC66" s="3348"/>
      <c r="GD66" s="3349"/>
      <c r="GE66" s="3350"/>
      <c r="GF66" s="3351"/>
      <c r="GG66" s="3352"/>
      <c r="GH66" s="3353"/>
      <c r="GI66" s="3354"/>
      <c r="GJ66" s="2524"/>
      <c r="GK66" s="2994"/>
      <c r="GL66" s="2994" t="str">
        <f t="shared" si="1"/>
        <v>Добавить группу потребителей</v>
      </c>
      <c r="GM66" s="2994"/>
      <c r="GN66" s="2994"/>
      <c r="GO66" s="2055">
        <v>0</v>
      </c>
    </row>
    <row r="67" spans="1:197" s="4180" customFormat="1" ht="14.25" customHeight="1">
      <c r="A67" s="2984"/>
      <c r="B67" s="2984"/>
      <c r="C67" s="2984"/>
      <c r="D67" s="2984"/>
      <c r="E67" s="4413">
        <v>1</v>
      </c>
      <c r="F67" s="4413"/>
      <c r="G67" s="4413"/>
      <c r="H67" s="4412"/>
      <c r="I67" s="2984"/>
      <c r="J67" s="2984"/>
      <c r="K67" s="2984"/>
      <c r="L67" s="2985"/>
      <c r="M67" s="2986"/>
      <c r="N67" s="2986"/>
      <c r="O67" s="2518"/>
      <c r="P67" s="2988"/>
      <c r="Q67" s="3355"/>
      <c r="R67" s="2989"/>
      <c r="S67" s="3356"/>
      <c r="T67" s="3357" t="s">
        <v>434</v>
      </c>
      <c r="U67" s="3358"/>
      <c r="V67" s="3359"/>
      <c r="W67" s="3360"/>
      <c r="X67" s="3361"/>
      <c r="Y67" s="3362"/>
      <c r="Z67" s="3363"/>
      <c r="AA67" s="3364"/>
      <c r="AB67" s="3365"/>
      <c r="AC67" s="3366"/>
      <c r="AD67" s="3367"/>
      <c r="AE67" s="3368"/>
      <c r="AF67" s="3369"/>
      <c r="AG67" s="3370"/>
      <c r="AH67" s="3371"/>
      <c r="AI67" s="3372"/>
      <c r="AJ67" s="3373"/>
      <c r="AK67" s="3374"/>
      <c r="AL67" s="3375"/>
      <c r="AM67" s="3376"/>
      <c r="AN67" s="3377"/>
      <c r="AO67" s="3378"/>
      <c r="AP67" s="3379"/>
      <c r="AQ67" s="3380"/>
      <c r="AR67" s="3381"/>
      <c r="AS67" s="3382"/>
      <c r="AT67" s="3383"/>
      <c r="AU67" s="3384"/>
      <c r="AV67" s="3385"/>
      <c r="AW67" s="3386"/>
      <c r="AX67" s="3387"/>
      <c r="AY67" s="3388"/>
      <c r="AZ67" s="3389"/>
      <c r="BA67" s="3390"/>
      <c r="BB67" s="3391"/>
      <c r="BC67" s="3392"/>
      <c r="BD67" s="3393"/>
      <c r="BE67" s="3394"/>
      <c r="BF67" s="3395"/>
      <c r="BG67" s="3396"/>
      <c r="BH67" s="3397"/>
      <c r="BI67" s="3398"/>
      <c r="BJ67" s="3399"/>
      <c r="BK67" s="3400"/>
      <c r="BL67" s="3401"/>
      <c r="BM67" s="3402"/>
      <c r="BN67" s="3403"/>
      <c r="BO67" s="3404"/>
      <c r="BP67" s="3405"/>
      <c r="BQ67" s="3406"/>
      <c r="BR67" s="3407"/>
      <c r="BS67" s="3408"/>
      <c r="BT67" s="3409"/>
      <c r="BU67" s="3410"/>
      <c r="BV67" s="3411"/>
      <c r="BW67" s="3412"/>
      <c r="BX67" s="3413"/>
      <c r="BY67" s="3414"/>
      <c r="BZ67" s="3415"/>
      <c r="CA67" s="3416"/>
      <c r="CB67" s="3417"/>
      <c r="CC67" s="3418"/>
      <c r="CD67" s="3419"/>
      <c r="CE67" s="3420"/>
      <c r="CF67" s="3421"/>
      <c r="CG67" s="3422"/>
      <c r="CH67" s="3423"/>
      <c r="CI67" s="3424"/>
      <c r="CJ67" s="3425"/>
      <c r="CK67" s="3426"/>
      <c r="CL67" s="3427"/>
      <c r="CM67" s="3428"/>
      <c r="CN67" s="3429"/>
      <c r="CO67" s="3430"/>
      <c r="CP67" s="3431"/>
      <c r="CQ67" s="3432"/>
      <c r="CR67" s="3433"/>
      <c r="CS67" s="3434"/>
      <c r="CT67" s="3435"/>
      <c r="CU67" s="3436"/>
      <c r="CV67" s="3437"/>
      <c r="CW67" s="3438"/>
      <c r="CX67" s="3439"/>
      <c r="CY67" s="3440"/>
      <c r="CZ67" s="3441"/>
      <c r="DA67" s="3442"/>
      <c r="DB67" s="3443"/>
      <c r="DC67" s="3444"/>
      <c r="DD67" s="3445"/>
      <c r="DE67" s="3446"/>
      <c r="DF67" s="3447"/>
      <c r="DG67" s="3448"/>
      <c r="DH67" s="3449"/>
      <c r="DI67" s="3450"/>
      <c r="DJ67" s="3451"/>
      <c r="DK67" s="3452"/>
      <c r="DL67" s="3453"/>
      <c r="DM67" s="3454"/>
      <c r="DN67" s="3455"/>
      <c r="DO67" s="3456"/>
      <c r="DP67" s="3457"/>
      <c r="DQ67" s="3458"/>
      <c r="DR67" s="3459"/>
      <c r="DS67" s="3460"/>
      <c r="DT67" s="3461"/>
      <c r="DU67" s="3462"/>
      <c r="DV67" s="3463"/>
      <c r="DW67" s="3464"/>
      <c r="DX67" s="3465"/>
      <c r="DY67" s="3466"/>
      <c r="DZ67" s="3467"/>
      <c r="EA67" s="3468"/>
      <c r="EB67" s="3469"/>
      <c r="EC67" s="3470"/>
      <c r="ED67" s="3471"/>
      <c r="EE67" s="3472"/>
      <c r="EF67" s="3473"/>
      <c r="EG67" s="3474"/>
      <c r="EH67" s="3475"/>
      <c r="EI67" s="3476"/>
      <c r="EJ67" s="3477"/>
      <c r="EK67" s="3478"/>
      <c r="EL67" s="3479"/>
      <c r="EM67" s="3480"/>
      <c r="EN67" s="3481"/>
      <c r="EO67" s="3482"/>
      <c r="EP67" s="3483"/>
      <c r="EQ67" s="3484"/>
      <c r="ER67" s="3485"/>
      <c r="ES67" s="3486"/>
      <c r="ET67" s="3487"/>
      <c r="EU67" s="3488"/>
      <c r="EV67" s="3489"/>
      <c r="EW67" s="3490"/>
      <c r="EX67" s="3491"/>
      <c r="EY67" s="3492"/>
      <c r="EZ67" s="3493"/>
      <c r="FA67" s="3494"/>
      <c r="FB67" s="3495"/>
      <c r="FC67" s="3496"/>
      <c r="FD67" s="3497"/>
      <c r="FE67" s="3498"/>
      <c r="FF67" s="3499"/>
      <c r="FG67" s="3500"/>
      <c r="FH67" s="3501"/>
      <c r="FI67" s="3502"/>
      <c r="FJ67" s="3503"/>
      <c r="FK67" s="3504"/>
      <c r="FL67" s="3505"/>
      <c r="FM67" s="3506"/>
      <c r="FN67" s="3507"/>
      <c r="FO67" s="3508"/>
      <c r="FP67" s="3509"/>
      <c r="FQ67" s="3510"/>
      <c r="FR67" s="3511"/>
      <c r="FS67" s="3512"/>
      <c r="FT67" s="3513"/>
      <c r="FU67" s="3514"/>
      <c r="FV67" s="3515"/>
      <c r="FW67" s="3516"/>
      <c r="FX67" s="3517"/>
      <c r="FY67" s="3518"/>
      <c r="FZ67" s="3519"/>
      <c r="GA67" s="3520"/>
      <c r="GB67" s="3521"/>
      <c r="GC67" s="3522"/>
      <c r="GD67" s="3523"/>
      <c r="GE67" s="3524"/>
      <c r="GF67" s="3525"/>
      <c r="GG67" s="3526"/>
      <c r="GH67" s="3527"/>
      <c r="GI67" s="3528"/>
      <c r="GJ67" s="2524"/>
      <c r="GK67" s="2994"/>
      <c r="GL67" s="2994" t="str">
        <f t="shared" si="1"/>
        <v>Добавить схему подключения</v>
      </c>
      <c r="GM67" s="2994"/>
      <c r="GN67" s="2994"/>
      <c r="GO67" s="2055">
        <v>0</v>
      </c>
    </row>
    <row r="68" spans="1:197" s="4181" customFormat="1" ht="0.75" customHeight="1">
      <c r="A68" s="3529"/>
      <c r="B68" s="3529"/>
      <c r="C68" s="3529"/>
      <c r="D68" s="3529"/>
      <c r="E68" s="4413">
        <v>1</v>
      </c>
      <c r="F68" s="4413"/>
      <c r="G68" s="4412"/>
      <c r="H68" s="3529"/>
      <c r="I68" s="3529"/>
      <c r="J68" s="3529"/>
      <c r="K68" s="3529"/>
      <c r="L68" s="3530"/>
      <c r="M68" s="3531"/>
      <c r="N68" s="3531"/>
      <c r="O68" s="2524"/>
      <c r="P68" s="3532"/>
      <c r="Q68" s="3533"/>
      <c r="R68" s="3532"/>
      <c r="S68" s="3534"/>
      <c r="T68" s="3535" t="s">
        <v>172</v>
      </c>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c r="AS68" s="2516"/>
      <c r="AT68" s="2516"/>
      <c r="AU68" s="2516"/>
      <c r="AV68" s="2516"/>
      <c r="AW68" s="2516"/>
      <c r="AX68" s="2516"/>
      <c r="AY68" s="2516"/>
      <c r="AZ68" s="2516"/>
      <c r="BA68" s="2516"/>
      <c r="BB68" s="2516"/>
      <c r="BC68" s="2516"/>
      <c r="BD68" s="2516"/>
      <c r="BE68" s="2516"/>
      <c r="BF68" s="2516"/>
      <c r="BG68" s="2516"/>
      <c r="BH68" s="2516"/>
      <c r="BI68" s="2516"/>
      <c r="BJ68" s="2516"/>
      <c r="BK68" s="2516"/>
      <c r="BL68" s="2516"/>
      <c r="BM68" s="2516"/>
      <c r="BN68" s="2516"/>
      <c r="BO68" s="2516"/>
      <c r="BP68" s="2516"/>
      <c r="BQ68" s="2516"/>
      <c r="BR68" s="2516"/>
      <c r="BS68" s="2516"/>
      <c r="BT68" s="2516"/>
      <c r="BU68" s="2516"/>
      <c r="BV68" s="2516"/>
      <c r="BW68" s="2516"/>
      <c r="BX68" s="2516"/>
      <c r="BY68" s="2516"/>
      <c r="BZ68" s="2516"/>
      <c r="CA68" s="2516"/>
      <c r="CB68" s="2516"/>
      <c r="CC68" s="2516"/>
      <c r="CD68" s="2516"/>
      <c r="CE68" s="2516"/>
      <c r="CF68" s="2516"/>
      <c r="CG68" s="2516"/>
      <c r="CH68" s="2516"/>
      <c r="CI68" s="2516"/>
      <c r="CJ68" s="2516"/>
      <c r="CK68" s="2516"/>
      <c r="CL68" s="2516"/>
      <c r="CM68" s="2516"/>
      <c r="CN68" s="2516"/>
      <c r="CO68" s="2516"/>
      <c r="CP68" s="2516"/>
      <c r="CQ68" s="2516"/>
      <c r="CR68" s="2516"/>
      <c r="CS68" s="2516"/>
      <c r="CT68" s="2516"/>
      <c r="CU68" s="2516"/>
      <c r="CV68" s="2516"/>
      <c r="CW68" s="2516"/>
      <c r="CX68" s="2516"/>
      <c r="CY68" s="2516"/>
      <c r="CZ68" s="2516"/>
      <c r="DA68" s="2516"/>
      <c r="DB68" s="2516"/>
      <c r="DC68" s="2516"/>
      <c r="DD68" s="2516"/>
      <c r="DE68" s="2516"/>
      <c r="DF68" s="2516"/>
      <c r="DG68" s="2516"/>
      <c r="DH68" s="2516"/>
      <c r="DI68" s="2516"/>
      <c r="DJ68" s="2516"/>
      <c r="DK68" s="2516"/>
      <c r="DL68" s="2516"/>
      <c r="DM68" s="2516"/>
      <c r="DN68" s="2516"/>
      <c r="DO68" s="2516"/>
      <c r="DP68" s="2516"/>
      <c r="DQ68" s="2516"/>
      <c r="DR68" s="2516"/>
      <c r="DS68" s="2516"/>
      <c r="DT68" s="2516"/>
      <c r="DU68" s="2516"/>
      <c r="DV68" s="2516"/>
      <c r="DW68" s="2516"/>
      <c r="DX68" s="2516"/>
      <c r="DY68" s="2516"/>
      <c r="DZ68" s="2516"/>
      <c r="EA68" s="2516"/>
      <c r="EB68" s="2516"/>
      <c r="EC68" s="2516"/>
      <c r="ED68" s="2516"/>
      <c r="EE68" s="2516"/>
      <c r="EF68" s="2516"/>
      <c r="EG68" s="2516"/>
      <c r="EH68" s="2516"/>
      <c r="EI68" s="2516"/>
      <c r="EJ68" s="2516"/>
      <c r="EK68" s="2516"/>
      <c r="EL68" s="2516"/>
      <c r="EM68" s="2516"/>
      <c r="EN68" s="2516"/>
      <c r="EO68" s="2516"/>
      <c r="EP68" s="2516"/>
      <c r="EQ68" s="2516"/>
      <c r="ER68" s="2516"/>
      <c r="ES68" s="2516"/>
      <c r="ET68" s="2516"/>
      <c r="EU68" s="2516"/>
      <c r="EV68" s="2516"/>
      <c r="EW68" s="2516"/>
      <c r="EX68" s="2516"/>
      <c r="EY68" s="2516"/>
      <c r="EZ68" s="2516"/>
      <c r="FA68" s="2516"/>
      <c r="FB68" s="2516"/>
      <c r="FC68" s="2516"/>
      <c r="FD68" s="2516"/>
      <c r="FE68" s="2516"/>
      <c r="FF68" s="2516"/>
      <c r="FG68" s="2516"/>
      <c r="FH68" s="2516"/>
      <c r="FI68" s="2516"/>
      <c r="FJ68" s="2516"/>
      <c r="FK68" s="2516"/>
      <c r="FL68" s="2516"/>
      <c r="FM68" s="2516"/>
      <c r="FN68" s="2516"/>
      <c r="FO68" s="2516"/>
      <c r="FP68" s="2516"/>
      <c r="FQ68" s="2516"/>
      <c r="FR68" s="2516"/>
      <c r="FS68" s="2516"/>
      <c r="FT68" s="2516"/>
      <c r="FU68" s="2516"/>
      <c r="FV68" s="2516"/>
      <c r="FW68" s="2516"/>
      <c r="FX68" s="2516"/>
      <c r="FY68" s="2516"/>
      <c r="FZ68" s="2516"/>
      <c r="GA68" s="2516"/>
      <c r="GB68" s="2516"/>
      <c r="GC68" s="2516"/>
      <c r="GD68" s="2516"/>
      <c r="GE68" s="2516"/>
      <c r="GF68" s="2516"/>
      <c r="GG68" s="2516"/>
      <c r="GH68" s="2516"/>
      <c r="GI68" s="2516"/>
      <c r="GJ68" s="2524"/>
      <c r="GK68" s="2994"/>
      <c r="GL68" s="2994" t="str">
        <f t="shared" si="1"/>
        <v>Добавить источник для дифференциации</v>
      </c>
      <c r="GM68" s="2994"/>
      <c r="GN68" s="2994"/>
      <c r="GO68" s="2524">
        <v>0</v>
      </c>
    </row>
    <row r="69" spans="1:197" s="4182" customFormat="1" ht="0.75" customHeight="1">
      <c r="A69" s="3529"/>
      <c r="B69" s="3529"/>
      <c r="C69" s="3529"/>
      <c r="D69" s="3529"/>
      <c r="E69" s="4413">
        <v>1</v>
      </c>
      <c r="F69" s="4412"/>
      <c r="G69" s="3529"/>
      <c r="H69" s="3529"/>
      <c r="I69" s="3529"/>
      <c r="J69" s="3529"/>
      <c r="K69" s="3529"/>
      <c r="L69" s="3530"/>
      <c r="M69" s="3536"/>
      <c r="N69" s="3536"/>
      <c r="O69" s="2524"/>
      <c r="P69" s="3532"/>
      <c r="Q69" s="3533"/>
      <c r="R69" s="3532"/>
      <c r="S69" s="3537"/>
      <c r="T69" s="3538" t="s">
        <v>173</v>
      </c>
      <c r="U69" s="2517"/>
      <c r="V69" s="2517"/>
      <c r="W69" s="2517"/>
      <c r="X69" s="2517"/>
      <c r="Y69" s="2517"/>
      <c r="Z69" s="2517"/>
      <c r="AA69" s="2517"/>
      <c r="AB69" s="2517"/>
      <c r="AC69" s="2517"/>
      <c r="AD69" s="2517"/>
      <c r="AE69" s="2517"/>
      <c r="AF69" s="2517"/>
      <c r="AG69" s="2517"/>
      <c r="AH69" s="2517"/>
      <c r="AI69" s="2517"/>
      <c r="AJ69" s="2517"/>
      <c r="AK69" s="2517"/>
      <c r="AL69" s="2517"/>
      <c r="AM69" s="2517"/>
      <c r="AN69" s="2517"/>
      <c r="AO69" s="2517"/>
      <c r="AP69" s="2517"/>
      <c r="AQ69" s="2517"/>
      <c r="AR69" s="2517"/>
      <c r="AS69" s="2517"/>
      <c r="AT69" s="2517"/>
      <c r="AU69" s="2517"/>
      <c r="AV69" s="2517"/>
      <c r="AW69" s="2517"/>
      <c r="AX69" s="2517"/>
      <c r="AY69" s="2517"/>
      <c r="AZ69" s="2517"/>
      <c r="BA69" s="2517"/>
      <c r="BB69" s="2517"/>
      <c r="BC69" s="2517"/>
      <c r="BD69" s="2517"/>
      <c r="BE69" s="2517"/>
      <c r="BF69" s="2517"/>
      <c r="BG69" s="2517"/>
      <c r="BH69" s="2517"/>
      <c r="BI69" s="2517"/>
      <c r="BJ69" s="2517"/>
      <c r="BK69" s="2517"/>
      <c r="BL69" s="2517"/>
      <c r="BM69" s="2517"/>
      <c r="BN69" s="2517"/>
      <c r="BO69" s="2517"/>
      <c r="BP69" s="2517"/>
      <c r="BQ69" s="2517"/>
      <c r="BR69" s="2517"/>
      <c r="BS69" s="2517"/>
      <c r="BT69" s="2517"/>
      <c r="BU69" s="2517"/>
      <c r="BV69" s="2517"/>
      <c r="BW69" s="2517"/>
      <c r="BX69" s="2517"/>
      <c r="BY69" s="2517"/>
      <c r="BZ69" s="2517"/>
      <c r="CA69" s="2517"/>
      <c r="CB69" s="2517"/>
      <c r="CC69" s="2517"/>
      <c r="CD69" s="2517"/>
      <c r="CE69" s="2517"/>
      <c r="CF69" s="2517"/>
      <c r="CG69" s="2517"/>
      <c r="CH69" s="2517"/>
      <c r="CI69" s="2517"/>
      <c r="CJ69" s="2517"/>
      <c r="CK69" s="2517"/>
      <c r="CL69" s="2517"/>
      <c r="CM69" s="2517"/>
      <c r="CN69" s="2517"/>
      <c r="CO69" s="2517"/>
      <c r="CP69" s="2517"/>
      <c r="CQ69" s="2517"/>
      <c r="CR69" s="2517"/>
      <c r="CS69" s="2517"/>
      <c r="CT69" s="2517"/>
      <c r="CU69" s="2517"/>
      <c r="CV69" s="2517"/>
      <c r="CW69" s="2517"/>
      <c r="CX69" s="2517"/>
      <c r="CY69" s="2517"/>
      <c r="CZ69" s="2517"/>
      <c r="DA69" s="2517"/>
      <c r="DB69" s="2517"/>
      <c r="DC69" s="2517"/>
      <c r="DD69" s="2517"/>
      <c r="DE69" s="2517"/>
      <c r="DF69" s="2517"/>
      <c r="DG69" s="2517"/>
      <c r="DH69" s="2517"/>
      <c r="DI69" s="2517"/>
      <c r="DJ69" s="2517"/>
      <c r="DK69" s="2517"/>
      <c r="DL69" s="2517"/>
      <c r="DM69" s="2517"/>
      <c r="DN69" s="2517"/>
      <c r="DO69" s="2517"/>
      <c r="DP69" s="2517"/>
      <c r="DQ69" s="2517"/>
      <c r="DR69" s="2517"/>
      <c r="DS69" s="2517"/>
      <c r="DT69" s="2517"/>
      <c r="DU69" s="2517"/>
      <c r="DV69" s="2517"/>
      <c r="DW69" s="2517"/>
      <c r="DX69" s="2517"/>
      <c r="DY69" s="2517"/>
      <c r="DZ69" s="2517"/>
      <c r="EA69" s="2517"/>
      <c r="EB69" s="2517"/>
      <c r="EC69" s="2517"/>
      <c r="ED69" s="2517"/>
      <c r="EE69" s="2517"/>
      <c r="EF69" s="2517"/>
      <c r="EG69" s="2517"/>
      <c r="EH69" s="2517"/>
      <c r="EI69" s="2517"/>
      <c r="EJ69" s="2517"/>
      <c r="EK69" s="2517"/>
      <c r="EL69" s="2517"/>
      <c r="EM69" s="2517"/>
      <c r="EN69" s="2517"/>
      <c r="EO69" s="2517"/>
      <c r="EP69" s="2517"/>
      <c r="EQ69" s="2517"/>
      <c r="ER69" s="2517"/>
      <c r="ES69" s="2517"/>
      <c r="ET69" s="2517"/>
      <c r="EU69" s="2517"/>
      <c r="EV69" s="2517"/>
      <c r="EW69" s="2517"/>
      <c r="EX69" s="2517"/>
      <c r="EY69" s="2517"/>
      <c r="EZ69" s="2517"/>
      <c r="FA69" s="2517"/>
      <c r="FB69" s="2517"/>
      <c r="FC69" s="2517"/>
      <c r="FD69" s="2517"/>
      <c r="FE69" s="2517"/>
      <c r="FF69" s="2517"/>
      <c r="FG69" s="2517"/>
      <c r="FH69" s="2517"/>
      <c r="FI69" s="2517"/>
      <c r="FJ69" s="2517"/>
      <c r="FK69" s="2517"/>
      <c r="FL69" s="2517"/>
      <c r="FM69" s="2517"/>
      <c r="FN69" s="2517"/>
      <c r="FO69" s="2517"/>
      <c r="FP69" s="2517"/>
      <c r="FQ69" s="2517"/>
      <c r="FR69" s="2517"/>
      <c r="FS69" s="2517"/>
      <c r="FT69" s="2517"/>
      <c r="FU69" s="2517"/>
      <c r="FV69" s="2517"/>
      <c r="FW69" s="2517"/>
      <c r="FX69" s="2517"/>
      <c r="FY69" s="2517"/>
      <c r="FZ69" s="2517"/>
      <c r="GA69" s="2517"/>
      <c r="GB69" s="2517"/>
      <c r="GC69" s="2517"/>
      <c r="GD69" s="2517"/>
      <c r="GE69" s="2517"/>
      <c r="GF69" s="2517"/>
      <c r="GG69" s="2517"/>
      <c r="GH69" s="2517"/>
      <c r="GI69" s="2517"/>
      <c r="GJ69" s="2524"/>
      <c r="GK69" s="2994"/>
      <c r="GL69" s="2994" t="str">
        <f t="shared" si="1"/>
        <v>Добавить централизованную систему для дифференциации</v>
      </c>
      <c r="GM69" s="2994"/>
      <c r="GN69" s="2994"/>
      <c r="GO69" s="2524">
        <v>0</v>
      </c>
    </row>
    <row r="70" spans="1:197" s="4183" customFormat="1" ht="0.75" customHeight="1">
      <c r="A70" s="3529"/>
      <c r="B70" s="3529"/>
      <c r="C70" s="3529"/>
      <c r="D70" s="3529"/>
      <c r="E70" s="4412">
        <v>1</v>
      </c>
      <c r="F70" s="3529"/>
      <c r="G70" s="3529"/>
      <c r="H70" s="3529"/>
      <c r="I70" s="3529"/>
      <c r="J70" s="3529"/>
      <c r="K70" s="3529"/>
      <c r="L70" s="3530"/>
      <c r="M70" s="3536"/>
      <c r="N70" s="3536"/>
      <c r="O70" s="2524"/>
      <c r="P70" s="3532"/>
      <c r="Q70" s="3533"/>
      <c r="R70" s="3532"/>
      <c r="S70" s="3537"/>
      <c r="T70" s="3539" t="s">
        <v>174</v>
      </c>
      <c r="U70" s="2517"/>
      <c r="V70" s="2517"/>
      <c r="W70" s="2517"/>
      <c r="X70" s="2517"/>
      <c r="Y70" s="2517"/>
      <c r="Z70" s="2517"/>
      <c r="AA70" s="2517"/>
      <c r="AB70" s="2517"/>
      <c r="AC70" s="2517"/>
      <c r="AD70" s="2517"/>
      <c r="AE70" s="2517"/>
      <c r="AF70" s="2517"/>
      <c r="AG70" s="2517"/>
      <c r="AH70" s="2517"/>
      <c r="AI70" s="2517"/>
      <c r="AJ70" s="2517"/>
      <c r="AK70" s="2517"/>
      <c r="AL70" s="2517"/>
      <c r="AM70" s="2517"/>
      <c r="AN70" s="2517"/>
      <c r="AO70" s="2517"/>
      <c r="AP70" s="2517"/>
      <c r="AQ70" s="2517"/>
      <c r="AR70" s="2517"/>
      <c r="AS70" s="2517"/>
      <c r="AT70" s="2517"/>
      <c r="AU70" s="2517"/>
      <c r="AV70" s="2517"/>
      <c r="AW70" s="2517"/>
      <c r="AX70" s="2517"/>
      <c r="AY70" s="2517"/>
      <c r="AZ70" s="2517"/>
      <c r="BA70" s="2517"/>
      <c r="BB70" s="2517"/>
      <c r="BC70" s="2517"/>
      <c r="BD70" s="2517"/>
      <c r="BE70" s="2517"/>
      <c r="BF70" s="2517"/>
      <c r="BG70" s="2517"/>
      <c r="BH70" s="2517"/>
      <c r="BI70" s="2517"/>
      <c r="BJ70" s="2517"/>
      <c r="BK70" s="2517"/>
      <c r="BL70" s="2517"/>
      <c r="BM70" s="2517"/>
      <c r="BN70" s="2517"/>
      <c r="BO70" s="2517"/>
      <c r="BP70" s="2517"/>
      <c r="BQ70" s="2517"/>
      <c r="BR70" s="2517"/>
      <c r="BS70" s="2517"/>
      <c r="BT70" s="2517"/>
      <c r="BU70" s="2517"/>
      <c r="BV70" s="2517"/>
      <c r="BW70" s="2517"/>
      <c r="BX70" s="2517"/>
      <c r="BY70" s="2517"/>
      <c r="BZ70" s="2517"/>
      <c r="CA70" s="2517"/>
      <c r="CB70" s="2517"/>
      <c r="CC70" s="2517"/>
      <c r="CD70" s="2517"/>
      <c r="CE70" s="2517"/>
      <c r="CF70" s="2517"/>
      <c r="CG70" s="2517"/>
      <c r="CH70" s="2517"/>
      <c r="CI70" s="2517"/>
      <c r="CJ70" s="2517"/>
      <c r="CK70" s="2517"/>
      <c r="CL70" s="2517"/>
      <c r="CM70" s="2517"/>
      <c r="CN70" s="2517"/>
      <c r="CO70" s="2517"/>
      <c r="CP70" s="2517"/>
      <c r="CQ70" s="2517"/>
      <c r="CR70" s="2517"/>
      <c r="CS70" s="2517"/>
      <c r="CT70" s="2517"/>
      <c r="CU70" s="2517"/>
      <c r="CV70" s="2517"/>
      <c r="CW70" s="2517"/>
      <c r="CX70" s="2517"/>
      <c r="CY70" s="2517"/>
      <c r="CZ70" s="2517"/>
      <c r="DA70" s="2517"/>
      <c r="DB70" s="2517"/>
      <c r="DC70" s="2517"/>
      <c r="DD70" s="2517"/>
      <c r="DE70" s="2517"/>
      <c r="DF70" s="2517"/>
      <c r="DG70" s="2517"/>
      <c r="DH70" s="2517"/>
      <c r="DI70" s="2517"/>
      <c r="DJ70" s="2517"/>
      <c r="DK70" s="2517"/>
      <c r="DL70" s="2517"/>
      <c r="DM70" s="2517"/>
      <c r="DN70" s="2517"/>
      <c r="DO70" s="2517"/>
      <c r="DP70" s="2517"/>
      <c r="DQ70" s="2517"/>
      <c r="DR70" s="2517"/>
      <c r="DS70" s="2517"/>
      <c r="DT70" s="2517"/>
      <c r="DU70" s="2517"/>
      <c r="DV70" s="2517"/>
      <c r="DW70" s="2517"/>
      <c r="DX70" s="2517"/>
      <c r="DY70" s="2517"/>
      <c r="DZ70" s="2517"/>
      <c r="EA70" s="2517"/>
      <c r="EB70" s="2517"/>
      <c r="EC70" s="2517"/>
      <c r="ED70" s="2517"/>
      <c r="EE70" s="2517"/>
      <c r="EF70" s="2517"/>
      <c r="EG70" s="2517"/>
      <c r="EH70" s="2517"/>
      <c r="EI70" s="2517"/>
      <c r="EJ70" s="2517"/>
      <c r="EK70" s="2517"/>
      <c r="EL70" s="2517"/>
      <c r="EM70" s="2517"/>
      <c r="EN70" s="2517"/>
      <c r="EO70" s="2517"/>
      <c r="EP70" s="2517"/>
      <c r="EQ70" s="2517"/>
      <c r="ER70" s="2517"/>
      <c r="ES70" s="2517"/>
      <c r="ET70" s="2517"/>
      <c r="EU70" s="2517"/>
      <c r="EV70" s="2517"/>
      <c r="EW70" s="2517"/>
      <c r="EX70" s="2517"/>
      <c r="EY70" s="2517"/>
      <c r="EZ70" s="2517"/>
      <c r="FA70" s="2517"/>
      <c r="FB70" s="2517"/>
      <c r="FC70" s="2517"/>
      <c r="FD70" s="2517"/>
      <c r="FE70" s="2517"/>
      <c r="FF70" s="2517"/>
      <c r="FG70" s="2517"/>
      <c r="FH70" s="2517"/>
      <c r="FI70" s="2517"/>
      <c r="FJ70" s="2517"/>
      <c r="FK70" s="2517"/>
      <c r="FL70" s="2517"/>
      <c r="FM70" s="2517"/>
      <c r="FN70" s="2517"/>
      <c r="FO70" s="2517"/>
      <c r="FP70" s="2517"/>
      <c r="FQ70" s="2517"/>
      <c r="FR70" s="2517"/>
      <c r="FS70" s="2517"/>
      <c r="FT70" s="2517"/>
      <c r="FU70" s="2517"/>
      <c r="FV70" s="2517"/>
      <c r="FW70" s="2517"/>
      <c r="FX70" s="2517"/>
      <c r="FY70" s="2517"/>
      <c r="FZ70" s="2517"/>
      <c r="GA70" s="2517"/>
      <c r="GB70" s="2517"/>
      <c r="GC70" s="2517"/>
      <c r="GD70" s="2517"/>
      <c r="GE70" s="2517"/>
      <c r="GF70" s="2517"/>
      <c r="GG70" s="2517"/>
      <c r="GH70" s="2517"/>
      <c r="GI70" s="2517"/>
      <c r="GJ70" s="2524"/>
      <c r="GK70" s="2994"/>
      <c r="GL70" s="2994" t="str">
        <f t="shared" si="1"/>
        <v>Добавить территорию для дифференциации</v>
      </c>
      <c r="GM70" s="2994"/>
      <c r="GN70" s="2994"/>
      <c r="GO70" s="2524">
        <v>0</v>
      </c>
    </row>
    <row r="71" spans="1:197" s="4184" customFormat="1" ht="21" customHeight="1">
      <c r="A71" s="2984" t="s">
        <v>184</v>
      </c>
      <c r="B71" s="2984"/>
      <c r="C71" s="2984"/>
      <c r="D71" s="2984"/>
      <c r="E71" s="4412" t="s">
        <v>94</v>
      </c>
      <c r="F71" s="2984"/>
      <c r="G71" s="2984"/>
      <c r="H71" s="2984"/>
      <c r="I71" s="2984"/>
      <c r="J71" s="2984"/>
      <c r="K71" s="2984"/>
      <c r="L71" s="2985"/>
      <c r="M71" s="2986"/>
      <c r="N71" s="2986"/>
      <c r="O71" s="2986"/>
      <c r="P71" s="2987"/>
      <c r="Q71" s="2988"/>
      <c r="R71" s="2989"/>
      <c r="S71" s="2990" t="str">
        <f>INDEX(PT_DIFFERENTIATION_NUM_NTAR,MATCH(A71,PT_DIFFERENTIATION_NTAR_ID,0))</f>
        <v>3</v>
      </c>
      <c r="T71" s="2991" t="s">
        <v>126</v>
      </c>
      <c r="U71" s="2992"/>
      <c r="V71" s="4406"/>
      <c r="W71" s="4407"/>
      <c r="X71" s="4407"/>
      <c r="Y71" s="4407"/>
      <c r="Z71" s="4407"/>
      <c r="AA71" s="4407"/>
      <c r="AB71" s="4407"/>
      <c r="AC71" s="4408"/>
      <c r="AD71" s="4406" t="str">
        <f>INDEX(PT_DIFFERENTIATION_NTAR,MATCH(A71,PT_DIFFERENTIATION_NTAR_ID,0))</f>
        <v>Льготные тарифы на тепловую энергию, поставляемую группе потребителей "потребители (кроме населения)"</v>
      </c>
      <c r="AE71" s="4407"/>
      <c r="AF71" s="4407"/>
      <c r="AG71" s="4407"/>
      <c r="AH71" s="4407"/>
      <c r="AI71" s="4407"/>
      <c r="AJ71" s="4407"/>
      <c r="AK71" s="4407"/>
      <c r="AL71" s="4406"/>
      <c r="AM71" s="4407"/>
      <c r="AN71" s="4407"/>
      <c r="AO71" s="4407"/>
      <c r="AP71" s="4407"/>
      <c r="AQ71" s="4407"/>
      <c r="AR71" s="4407"/>
      <c r="AS71" s="4408"/>
      <c r="AT71" s="4406"/>
      <c r="AU71" s="4407"/>
      <c r="AV71" s="4407"/>
      <c r="AW71" s="4407"/>
      <c r="AX71" s="4407"/>
      <c r="AY71" s="4407"/>
      <c r="AZ71" s="4407"/>
      <c r="BA71" s="4408"/>
      <c r="BB71" s="4406"/>
      <c r="BC71" s="4407"/>
      <c r="BD71" s="4407"/>
      <c r="BE71" s="4407"/>
      <c r="BF71" s="4407"/>
      <c r="BG71" s="4407"/>
      <c r="BH71" s="4407"/>
      <c r="BI71" s="4408"/>
      <c r="BJ71" s="4406"/>
      <c r="BK71" s="4407"/>
      <c r="BL71" s="4407"/>
      <c r="BM71" s="4407"/>
      <c r="BN71" s="4407"/>
      <c r="BO71" s="4407"/>
      <c r="BP71" s="4407"/>
      <c r="BQ71" s="4408"/>
      <c r="BR71" s="4406"/>
      <c r="BS71" s="4407"/>
      <c r="BT71" s="4407"/>
      <c r="BU71" s="4407"/>
      <c r="BV71" s="4407"/>
      <c r="BW71" s="4407"/>
      <c r="BX71" s="4407"/>
      <c r="BY71" s="4408"/>
      <c r="BZ71" s="4406"/>
      <c r="CA71" s="4407"/>
      <c r="CB71" s="4407"/>
      <c r="CC71" s="4407"/>
      <c r="CD71" s="4407"/>
      <c r="CE71" s="4407"/>
      <c r="CF71" s="4407"/>
      <c r="CG71" s="4408"/>
      <c r="CH71" s="4406"/>
      <c r="CI71" s="4407"/>
      <c r="CJ71" s="4407"/>
      <c r="CK71" s="4407"/>
      <c r="CL71" s="4407"/>
      <c r="CM71" s="4407"/>
      <c r="CN71" s="4407"/>
      <c r="CO71" s="4408"/>
      <c r="CP71" s="4406"/>
      <c r="CQ71" s="4407"/>
      <c r="CR71" s="4407"/>
      <c r="CS71" s="4407"/>
      <c r="CT71" s="4407"/>
      <c r="CU71" s="4407"/>
      <c r="CV71" s="4407"/>
      <c r="CW71" s="4408"/>
      <c r="CX71" s="4406"/>
      <c r="CY71" s="4407"/>
      <c r="CZ71" s="4407"/>
      <c r="DA71" s="4407"/>
      <c r="DB71" s="4407"/>
      <c r="DC71" s="4407"/>
      <c r="DD71" s="4407"/>
      <c r="DE71" s="4408"/>
      <c r="DF71" s="4406"/>
      <c r="DG71" s="4407"/>
      <c r="DH71" s="4407"/>
      <c r="DI71" s="4407"/>
      <c r="DJ71" s="4407"/>
      <c r="DK71" s="4407"/>
      <c r="DL71" s="4407"/>
      <c r="DM71" s="4408"/>
      <c r="DN71" s="4406"/>
      <c r="DO71" s="4407"/>
      <c r="DP71" s="4407"/>
      <c r="DQ71" s="4407"/>
      <c r="DR71" s="4407"/>
      <c r="DS71" s="4407"/>
      <c r="DT71" s="4407"/>
      <c r="DU71" s="4408"/>
      <c r="DV71" s="4406"/>
      <c r="DW71" s="4407"/>
      <c r="DX71" s="4407"/>
      <c r="DY71" s="4407"/>
      <c r="DZ71" s="4407"/>
      <c r="EA71" s="4407"/>
      <c r="EB71" s="4407"/>
      <c r="EC71" s="4408"/>
      <c r="ED71" s="4406"/>
      <c r="EE71" s="4407"/>
      <c r="EF71" s="4407"/>
      <c r="EG71" s="4407"/>
      <c r="EH71" s="4407"/>
      <c r="EI71" s="4407"/>
      <c r="EJ71" s="4407"/>
      <c r="EK71" s="4408"/>
      <c r="EL71" s="4406"/>
      <c r="EM71" s="4407"/>
      <c r="EN71" s="4407"/>
      <c r="EO71" s="4407"/>
      <c r="EP71" s="4407"/>
      <c r="EQ71" s="4407"/>
      <c r="ER71" s="4407"/>
      <c r="ES71" s="4408"/>
      <c r="ET71" s="4406"/>
      <c r="EU71" s="4407"/>
      <c r="EV71" s="4407"/>
      <c r="EW71" s="4407"/>
      <c r="EX71" s="4407"/>
      <c r="EY71" s="4407"/>
      <c r="EZ71" s="4407"/>
      <c r="FA71" s="4408"/>
      <c r="FB71" s="4406"/>
      <c r="FC71" s="4407"/>
      <c r="FD71" s="4407"/>
      <c r="FE71" s="4407"/>
      <c r="FF71" s="4407"/>
      <c r="FG71" s="4407"/>
      <c r="FH71" s="4407"/>
      <c r="FI71" s="4408"/>
      <c r="FJ71" s="4406"/>
      <c r="FK71" s="4407"/>
      <c r="FL71" s="4407"/>
      <c r="FM71" s="4407"/>
      <c r="FN71" s="4407"/>
      <c r="FO71" s="4407"/>
      <c r="FP71" s="4407"/>
      <c r="FQ71" s="4408"/>
      <c r="FR71" s="4406"/>
      <c r="FS71" s="4407"/>
      <c r="FT71" s="4407"/>
      <c r="FU71" s="4407"/>
      <c r="FV71" s="4407"/>
      <c r="FW71" s="4407"/>
      <c r="FX71" s="4407"/>
      <c r="FY71" s="4408"/>
      <c r="FZ71" s="4406"/>
      <c r="GA71" s="4407"/>
      <c r="GB71" s="4407"/>
      <c r="GC71" s="4407"/>
      <c r="GD71" s="4407"/>
      <c r="GE71" s="4407"/>
      <c r="GF71" s="4407"/>
      <c r="GG71" s="4408"/>
      <c r="GH71" s="4408"/>
      <c r="GI71" s="2993" t="s">
        <v>417</v>
      </c>
      <c r="GJ71" s="2524"/>
      <c r="GK71" s="2994"/>
      <c r="GL71" s="2994" t="str">
        <f t="shared" si="1"/>
        <v>Наименование тарифа</v>
      </c>
      <c r="GM71" s="2994"/>
      <c r="GN71" s="2994"/>
      <c r="GO71" s="2055">
        <v>0</v>
      </c>
    </row>
    <row r="72" spans="1:197" s="4185" customFormat="1" ht="21" customHeight="1">
      <c r="A72" s="2984"/>
      <c r="B72" s="2984" t="s">
        <v>185</v>
      </c>
      <c r="C72" s="2984"/>
      <c r="D72" s="2984"/>
      <c r="E72" s="4413" t="s">
        <v>114</v>
      </c>
      <c r="F72" s="4412">
        <v>1</v>
      </c>
      <c r="G72" s="2984"/>
      <c r="H72" s="2984"/>
      <c r="I72" s="2984"/>
      <c r="J72" s="2984"/>
      <c r="K72" s="2984"/>
      <c r="L72" s="2985"/>
      <c r="M72" s="2986"/>
      <c r="N72" s="2986"/>
      <c r="O72" s="2986"/>
      <c r="P72" s="2995"/>
      <c r="Q72" s="2996"/>
      <c r="R72" s="2997"/>
      <c r="S72" s="2990" t="str">
        <f>INDEX(PT_DIFFERENTIATION_NUM_TER,MATCH(B72,PT_DIFFERENTIATION_TER_ID,0))</f>
        <v>3.1</v>
      </c>
      <c r="T72" s="2998" t="s">
        <v>418</v>
      </c>
      <c r="U72" s="2992"/>
      <c r="V72" s="4406"/>
      <c r="W72" s="4407"/>
      <c r="X72" s="4407"/>
      <c r="Y72" s="4407"/>
      <c r="Z72" s="4407"/>
      <c r="AA72" s="4407"/>
      <c r="AB72" s="4407"/>
      <c r="AC72" s="4408"/>
      <c r="AD72" s="4406" t="str">
        <f>INDEX(PT_DIFFERENTIATION_TER,MATCH(B72,PT_DIFFERENTIATION_TER_ID,0))</f>
        <v>без дифференциации</v>
      </c>
      <c r="AE72" s="4407"/>
      <c r="AF72" s="4407"/>
      <c r="AG72" s="4407"/>
      <c r="AH72" s="4407"/>
      <c r="AI72" s="4407"/>
      <c r="AJ72" s="4407"/>
      <c r="AK72" s="4407"/>
      <c r="AL72" s="4406"/>
      <c r="AM72" s="4407"/>
      <c r="AN72" s="4407"/>
      <c r="AO72" s="4407"/>
      <c r="AP72" s="4407"/>
      <c r="AQ72" s="4407"/>
      <c r="AR72" s="4407"/>
      <c r="AS72" s="4408"/>
      <c r="AT72" s="4406"/>
      <c r="AU72" s="4407"/>
      <c r="AV72" s="4407"/>
      <c r="AW72" s="4407"/>
      <c r="AX72" s="4407"/>
      <c r="AY72" s="4407"/>
      <c r="AZ72" s="4407"/>
      <c r="BA72" s="4408"/>
      <c r="BB72" s="4406"/>
      <c r="BC72" s="4407"/>
      <c r="BD72" s="4407"/>
      <c r="BE72" s="4407"/>
      <c r="BF72" s="4407"/>
      <c r="BG72" s="4407"/>
      <c r="BH72" s="4407"/>
      <c r="BI72" s="4408"/>
      <c r="BJ72" s="4406"/>
      <c r="BK72" s="4407"/>
      <c r="BL72" s="4407"/>
      <c r="BM72" s="4407"/>
      <c r="BN72" s="4407"/>
      <c r="BO72" s="4407"/>
      <c r="BP72" s="4407"/>
      <c r="BQ72" s="4408"/>
      <c r="BR72" s="4406"/>
      <c r="BS72" s="4407"/>
      <c r="BT72" s="4407"/>
      <c r="BU72" s="4407"/>
      <c r="BV72" s="4407"/>
      <c r="BW72" s="4407"/>
      <c r="BX72" s="4407"/>
      <c r="BY72" s="4408"/>
      <c r="BZ72" s="4406"/>
      <c r="CA72" s="4407"/>
      <c r="CB72" s="4407"/>
      <c r="CC72" s="4407"/>
      <c r="CD72" s="4407"/>
      <c r="CE72" s="4407"/>
      <c r="CF72" s="4407"/>
      <c r="CG72" s="4408"/>
      <c r="CH72" s="4406"/>
      <c r="CI72" s="4407"/>
      <c r="CJ72" s="4407"/>
      <c r="CK72" s="4407"/>
      <c r="CL72" s="4407"/>
      <c r="CM72" s="4407"/>
      <c r="CN72" s="4407"/>
      <c r="CO72" s="4408"/>
      <c r="CP72" s="4406"/>
      <c r="CQ72" s="4407"/>
      <c r="CR72" s="4407"/>
      <c r="CS72" s="4407"/>
      <c r="CT72" s="4407"/>
      <c r="CU72" s="4407"/>
      <c r="CV72" s="4407"/>
      <c r="CW72" s="4408"/>
      <c r="CX72" s="4406"/>
      <c r="CY72" s="4407"/>
      <c r="CZ72" s="4407"/>
      <c r="DA72" s="4407"/>
      <c r="DB72" s="4407"/>
      <c r="DC72" s="4407"/>
      <c r="DD72" s="4407"/>
      <c r="DE72" s="4408"/>
      <c r="DF72" s="4406"/>
      <c r="DG72" s="4407"/>
      <c r="DH72" s="4407"/>
      <c r="DI72" s="4407"/>
      <c r="DJ72" s="4407"/>
      <c r="DK72" s="4407"/>
      <c r="DL72" s="4407"/>
      <c r="DM72" s="4408"/>
      <c r="DN72" s="4406"/>
      <c r="DO72" s="4407"/>
      <c r="DP72" s="4407"/>
      <c r="DQ72" s="4407"/>
      <c r="DR72" s="4407"/>
      <c r="DS72" s="4407"/>
      <c r="DT72" s="4407"/>
      <c r="DU72" s="4408"/>
      <c r="DV72" s="4406"/>
      <c r="DW72" s="4407"/>
      <c r="DX72" s="4407"/>
      <c r="DY72" s="4407"/>
      <c r="DZ72" s="4407"/>
      <c r="EA72" s="4407"/>
      <c r="EB72" s="4407"/>
      <c r="EC72" s="4408"/>
      <c r="ED72" s="4406"/>
      <c r="EE72" s="4407"/>
      <c r="EF72" s="4407"/>
      <c r="EG72" s="4407"/>
      <c r="EH72" s="4407"/>
      <c r="EI72" s="4407"/>
      <c r="EJ72" s="4407"/>
      <c r="EK72" s="4408"/>
      <c r="EL72" s="4406"/>
      <c r="EM72" s="4407"/>
      <c r="EN72" s="4407"/>
      <c r="EO72" s="4407"/>
      <c r="EP72" s="4407"/>
      <c r="EQ72" s="4407"/>
      <c r="ER72" s="4407"/>
      <c r="ES72" s="4408"/>
      <c r="ET72" s="4406"/>
      <c r="EU72" s="4407"/>
      <c r="EV72" s="4407"/>
      <c r="EW72" s="4407"/>
      <c r="EX72" s="4407"/>
      <c r="EY72" s="4407"/>
      <c r="EZ72" s="4407"/>
      <c r="FA72" s="4408"/>
      <c r="FB72" s="4406"/>
      <c r="FC72" s="4407"/>
      <c r="FD72" s="4407"/>
      <c r="FE72" s="4407"/>
      <c r="FF72" s="4407"/>
      <c r="FG72" s="4407"/>
      <c r="FH72" s="4407"/>
      <c r="FI72" s="4408"/>
      <c r="FJ72" s="4406"/>
      <c r="FK72" s="4407"/>
      <c r="FL72" s="4407"/>
      <c r="FM72" s="4407"/>
      <c r="FN72" s="4407"/>
      <c r="FO72" s="4407"/>
      <c r="FP72" s="4407"/>
      <c r="FQ72" s="4408"/>
      <c r="FR72" s="4406"/>
      <c r="FS72" s="4407"/>
      <c r="FT72" s="4407"/>
      <c r="FU72" s="4407"/>
      <c r="FV72" s="4407"/>
      <c r="FW72" s="4407"/>
      <c r="FX72" s="4407"/>
      <c r="FY72" s="4408"/>
      <c r="FZ72" s="4406"/>
      <c r="GA72" s="4407"/>
      <c r="GB72" s="4407"/>
      <c r="GC72" s="4407"/>
      <c r="GD72" s="4407"/>
      <c r="GE72" s="4407"/>
      <c r="GF72" s="4407"/>
      <c r="GG72" s="4408"/>
      <c r="GH72" s="4408"/>
      <c r="GI72" s="2993" t="s">
        <v>419</v>
      </c>
      <c r="GJ72" s="2524"/>
      <c r="GK72" s="2994"/>
      <c r="GL72" s="2994" t="str">
        <f t="shared" si="1"/>
        <v>Территория действия тарифа</v>
      </c>
      <c r="GM72" s="2994"/>
      <c r="GN72" s="2994"/>
      <c r="GO72" s="2055">
        <v>0</v>
      </c>
    </row>
    <row r="73" spans="1:197" s="4186" customFormat="1" ht="23.25" customHeight="1">
      <c r="A73" s="2984"/>
      <c r="B73" s="2984"/>
      <c r="C73" s="2984" t="s">
        <v>186</v>
      </c>
      <c r="D73" s="2984"/>
      <c r="E73" s="4413" t="s">
        <v>114</v>
      </c>
      <c r="F73" s="4413"/>
      <c r="G73" s="4412">
        <v>1</v>
      </c>
      <c r="H73" s="2984"/>
      <c r="I73" s="2984"/>
      <c r="J73" s="2984"/>
      <c r="K73" s="2984"/>
      <c r="L73" s="2985"/>
      <c r="M73" s="2986"/>
      <c r="N73" s="2986"/>
      <c r="O73" s="2986"/>
      <c r="P73" s="2999"/>
      <c r="Q73" s="2996"/>
      <c r="R73" s="2997"/>
      <c r="S73" s="2990" t="str">
        <f>INDEX(PT_DIFFERENTIATION_NUM_CS,MATCH(C73,PT_DIFFERENTIATION_CS_ID,0))</f>
        <v>3.1.1</v>
      </c>
      <c r="T73" s="3000" t="s">
        <v>420</v>
      </c>
      <c r="U73" s="2992"/>
      <c r="V73" s="4406"/>
      <c r="W73" s="4407"/>
      <c r="X73" s="4407"/>
      <c r="Y73" s="4407"/>
      <c r="Z73" s="4407"/>
      <c r="AA73" s="4407"/>
      <c r="AB73" s="4407"/>
      <c r="AC73" s="4408"/>
      <c r="AD73" s="4406" t="str">
        <f>INDEX(PT_DIFFERENTIATION_CS,MATCH(C73,PT_DIFFERENTIATION_CS_ID,0))</f>
        <v>без дифференциации</v>
      </c>
      <c r="AE73" s="4407"/>
      <c r="AF73" s="4407"/>
      <c r="AG73" s="4407"/>
      <c r="AH73" s="4407"/>
      <c r="AI73" s="4407"/>
      <c r="AJ73" s="4407"/>
      <c r="AK73" s="4407"/>
      <c r="AL73" s="4406"/>
      <c r="AM73" s="4407"/>
      <c r="AN73" s="4407"/>
      <c r="AO73" s="4407"/>
      <c r="AP73" s="4407"/>
      <c r="AQ73" s="4407"/>
      <c r="AR73" s="4407"/>
      <c r="AS73" s="4408"/>
      <c r="AT73" s="4406"/>
      <c r="AU73" s="4407"/>
      <c r="AV73" s="4407"/>
      <c r="AW73" s="4407"/>
      <c r="AX73" s="4407"/>
      <c r="AY73" s="4407"/>
      <c r="AZ73" s="4407"/>
      <c r="BA73" s="4408"/>
      <c r="BB73" s="4406"/>
      <c r="BC73" s="4407"/>
      <c r="BD73" s="4407"/>
      <c r="BE73" s="4407"/>
      <c r="BF73" s="4407"/>
      <c r="BG73" s="4407"/>
      <c r="BH73" s="4407"/>
      <c r="BI73" s="4408"/>
      <c r="BJ73" s="4406"/>
      <c r="BK73" s="4407"/>
      <c r="BL73" s="4407"/>
      <c r="BM73" s="4407"/>
      <c r="BN73" s="4407"/>
      <c r="BO73" s="4407"/>
      <c r="BP73" s="4407"/>
      <c r="BQ73" s="4408"/>
      <c r="BR73" s="4406"/>
      <c r="BS73" s="4407"/>
      <c r="BT73" s="4407"/>
      <c r="BU73" s="4407"/>
      <c r="BV73" s="4407"/>
      <c r="BW73" s="4407"/>
      <c r="BX73" s="4407"/>
      <c r="BY73" s="4408"/>
      <c r="BZ73" s="4406"/>
      <c r="CA73" s="4407"/>
      <c r="CB73" s="4407"/>
      <c r="CC73" s="4407"/>
      <c r="CD73" s="4407"/>
      <c r="CE73" s="4407"/>
      <c r="CF73" s="4407"/>
      <c r="CG73" s="4408"/>
      <c r="CH73" s="4406"/>
      <c r="CI73" s="4407"/>
      <c r="CJ73" s="4407"/>
      <c r="CK73" s="4407"/>
      <c r="CL73" s="4407"/>
      <c r="CM73" s="4407"/>
      <c r="CN73" s="4407"/>
      <c r="CO73" s="4408"/>
      <c r="CP73" s="4406"/>
      <c r="CQ73" s="4407"/>
      <c r="CR73" s="4407"/>
      <c r="CS73" s="4407"/>
      <c r="CT73" s="4407"/>
      <c r="CU73" s="4407"/>
      <c r="CV73" s="4407"/>
      <c r="CW73" s="4408"/>
      <c r="CX73" s="4406"/>
      <c r="CY73" s="4407"/>
      <c r="CZ73" s="4407"/>
      <c r="DA73" s="4407"/>
      <c r="DB73" s="4407"/>
      <c r="DC73" s="4407"/>
      <c r="DD73" s="4407"/>
      <c r="DE73" s="4408"/>
      <c r="DF73" s="4406"/>
      <c r="DG73" s="4407"/>
      <c r="DH73" s="4407"/>
      <c r="DI73" s="4407"/>
      <c r="DJ73" s="4407"/>
      <c r="DK73" s="4407"/>
      <c r="DL73" s="4407"/>
      <c r="DM73" s="4408"/>
      <c r="DN73" s="4406"/>
      <c r="DO73" s="4407"/>
      <c r="DP73" s="4407"/>
      <c r="DQ73" s="4407"/>
      <c r="DR73" s="4407"/>
      <c r="DS73" s="4407"/>
      <c r="DT73" s="4407"/>
      <c r="DU73" s="4408"/>
      <c r="DV73" s="4406"/>
      <c r="DW73" s="4407"/>
      <c r="DX73" s="4407"/>
      <c r="DY73" s="4407"/>
      <c r="DZ73" s="4407"/>
      <c r="EA73" s="4407"/>
      <c r="EB73" s="4407"/>
      <c r="EC73" s="4408"/>
      <c r="ED73" s="4406"/>
      <c r="EE73" s="4407"/>
      <c r="EF73" s="4407"/>
      <c r="EG73" s="4407"/>
      <c r="EH73" s="4407"/>
      <c r="EI73" s="4407"/>
      <c r="EJ73" s="4407"/>
      <c r="EK73" s="4408"/>
      <c r="EL73" s="4406"/>
      <c r="EM73" s="4407"/>
      <c r="EN73" s="4407"/>
      <c r="EO73" s="4407"/>
      <c r="EP73" s="4407"/>
      <c r="EQ73" s="4407"/>
      <c r="ER73" s="4407"/>
      <c r="ES73" s="4408"/>
      <c r="ET73" s="4406"/>
      <c r="EU73" s="4407"/>
      <c r="EV73" s="4407"/>
      <c r="EW73" s="4407"/>
      <c r="EX73" s="4407"/>
      <c r="EY73" s="4407"/>
      <c r="EZ73" s="4407"/>
      <c r="FA73" s="4408"/>
      <c r="FB73" s="4406"/>
      <c r="FC73" s="4407"/>
      <c r="FD73" s="4407"/>
      <c r="FE73" s="4407"/>
      <c r="FF73" s="4407"/>
      <c r="FG73" s="4407"/>
      <c r="FH73" s="4407"/>
      <c r="FI73" s="4408"/>
      <c r="FJ73" s="4406"/>
      <c r="FK73" s="4407"/>
      <c r="FL73" s="4407"/>
      <c r="FM73" s="4407"/>
      <c r="FN73" s="4407"/>
      <c r="FO73" s="4407"/>
      <c r="FP73" s="4407"/>
      <c r="FQ73" s="4408"/>
      <c r="FR73" s="4406"/>
      <c r="FS73" s="4407"/>
      <c r="FT73" s="4407"/>
      <c r="FU73" s="4407"/>
      <c r="FV73" s="4407"/>
      <c r="FW73" s="4407"/>
      <c r="FX73" s="4407"/>
      <c r="FY73" s="4408"/>
      <c r="FZ73" s="4406"/>
      <c r="GA73" s="4407"/>
      <c r="GB73" s="4407"/>
      <c r="GC73" s="4407"/>
      <c r="GD73" s="4407"/>
      <c r="GE73" s="4407"/>
      <c r="GF73" s="4407"/>
      <c r="GG73" s="4408"/>
      <c r="GH73" s="4408"/>
      <c r="GI73" s="2993" t="s">
        <v>421</v>
      </c>
      <c r="GJ73" s="2524"/>
      <c r="GK73" s="2994"/>
      <c r="GL73" s="2994" t="str">
        <f t="shared" si="1"/>
        <v xml:space="preserve">Наименование системы теплоснабжения </v>
      </c>
      <c r="GM73" s="2994"/>
      <c r="GN73" s="2994"/>
      <c r="GO73" s="2055">
        <v>0</v>
      </c>
    </row>
    <row r="74" spans="1:197" s="4187" customFormat="1" ht="21" customHeight="1">
      <c r="A74" s="2984"/>
      <c r="B74" s="2984"/>
      <c r="C74" s="2984"/>
      <c r="D74" s="2984" t="s">
        <v>187</v>
      </c>
      <c r="E74" s="4413" t="s">
        <v>114</v>
      </c>
      <c r="F74" s="4413"/>
      <c r="G74" s="4413"/>
      <c r="H74" s="4412">
        <v>1</v>
      </c>
      <c r="I74" s="2984"/>
      <c r="J74" s="2984"/>
      <c r="K74" s="2984"/>
      <c r="L74" s="2985"/>
      <c r="M74" s="2986"/>
      <c r="N74" s="2986"/>
      <c r="O74" s="2986"/>
      <c r="P74" s="2999"/>
      <c r="Q74" s="2996"/>
      <c r="R74" s="2997"/>
      <c r="S74" s="2990" t="str">
        <f>INDEX(PT_DIFFERENTIATION_NUM_IST_TE,MATCH(D74,PT_DIFFERENTIATION_IST_TE_ID,0))</f>
        <v>3.1.1.1</v>
      </c>
      <c r="T74" s="3001" t="s">
        <v>422</v>
      </c>
      <c r="U74" s="2992"/>
      <c r="V74" s="4406"/>
      <c r="W74" s="4407"/>
      <c r="X74" s="4407"/>
      <c r="Y74" s="4407"/>
      <c r="Z74" s="4407"/>
      <c r="AA74" s="4407"/>
      <c r="AB74" s="4407"/>
      <c r="AC74" s="4408"/>
      <c r="AD74" s="4406" t="str">
        <f>INDEX(PT_DIFFERENTIATION_IST_TE,MATCH(D74,PT_DIFFERENTIATION_IST_TE_ID,0))</f>
        <v>без дифференциации</v>
      </c>
      <c r="AE74" s="4407"/>
      <c r="AF74" s="4407"/>
      <c r="AG74" s="4407"/>
      <c r="AH74" s="4407"/>
      <c r="AI74" s="4407"/>
      <c r="AJ74" s="4407"/>
      <c r="AK74" s="4407"/>
      <c r="AL74" s="4406"/>
      <c r="AM74" s="4407"/>
      <c r="AN74" s="4407"/>
      <c r="AO74" s="4407"/>
      <c r="AP74" s="4407"/>
      <c r="AQ74" s="4407"/>
      <c r="AR74" s="4407"/>
      <c r="AS74" s="4408"/>
      <c r="AT74" s="4406"/>
      <c r="AU74" s="4407"/>
      <c r="AV74" s="4407"/>
      <c r="AW74" s="4407"/>
      <c r="AX74" s="4407"/>
      <c r="AY74" s="4407"/>
      <c r="AZ74" s="4407"/>
      <c r="BA74" s="4408"/>
      <c r="BB74" s="4406"/>
      <c r="BC74" s="4407"/>
      <c r="BD74" s="4407"/>
      <c r="BE74" s="4407"/>
      <c r="BF74" s="4407"/>
      <c r="BG74" s="4407"/>
      <c r="BH74" s="4407"/>
      <c r="BI74" s="4408"/>
      <c r="BJ74" s="4406"/>
      <c r="BK74" s="4407"/>
      <c r="BL74" s="4407"/>
      <c r="BM74" s="4407"/>
      <c r="BN74" s="4407"/>
      <c r="BO74" s="4407"/>
      <c r="BP74" s="4407"/>
      <c r="BQ74" s="4408"/>
      <c r="BR74" s="4406"/>
      <c r="BS74" s="4407"/>
      <c r="BT74" s="4407"/>
      <c r="BU74" s="4407"/>
      <c r="BV74" s="4407"/>
      <c r="BW74" s="4407"/>
      <c r="BX74" s="4407"/>
      <c r="BY74" s="4408"/>
      <c r="BZ74" s="4406"/>
      <c r="CA74" s="4407"/>
      <c r="CB74" s="4407"/>
      <c r="CC74" s="4407"/>
      <c r="CD74" s="4407"/>
      <c r="CE74" s="4407"/>
      <c r="CF74" s="4407"/>
      <c r="CG74" s="4408"/>
      <c r="CH74" s="4406"/>
      <c r="CI74" s="4407"/>
      <c r="CJ74" s="4407"/>
      <c r="CK74" s="4407"/>
      <c r="CL74" s="4407"/>
      <c r="CM74" s="4407"/>
      <c r="CN74" s="4407"/>
      <c r="CO74" s="4408"/>
      <c r="CP74" s="4406"/>
      <c r="CQ74" s="4407"/>
      <c r="CR74" s="4407"/>
      <c r="CS74" s="4407"/>
      <c r="CT74" s="4407"/>
      <c r="CU74" s="4407"/>
      <c r="CV74" s="4407"/>
      <c r="CW74" s="4408"/>
      <c r="CX74" s="4406"/>
      <c r="CY74" s="4407"/>
      <c r="CZ74" s="4407"/>
      <c r="DA74" s="4407"/>
      <c r="DB74" s="4407"/>
      <c r="DC74" s="4407"/>
      <c r="DD74" s="4407"/>
      <c r="DE74" s="4408"/>
      <c r="DF74" s="4406"/>
      <c r="DG74" s="4407"/>
      <c r="DH74" s="4407"/>
      <c r="DI74" s="4407"/>
      <c r="DJ74" s="4407"/>
      <c r="DK74" s="4407"/>
      <c r="DL74" s="4407"/>
      <c r="DM74" s="4408"/>
      <c r="DN74" s="4406"/>
      <c r="DO74" s="4407"/>
      <c r="DP74" s="4407"/>
      <c r="DQ74" s="4407"/>
      <c r="DR74" s="4407"/>
      <c r="DS74" s="4407"/>
      <c r="DT74" s="4407"/>
      <c r="DU74" s="4408"/>
      <c r="DV74" s="4406"/>
      <c r="DW74" s="4407"/>
      <c r="DX74" s="4407"/>
      <c r="DY74" s="4407"/>
      <c r="DZ74" s="4407"/>
      <c r="EA74" s="4407"/>
      <c r="EB74" s="4407"/>
      <c r="EC74" s="4408"/>
      <c r="ED74" s="4406"/>
      <c r="EE74" s="4407"/>
      <c r="EF74" s="4407"/>
      <c r="EG74" s="4407"/>
      <c r="EH74" s="4407"/>
      <c r="EI74" s="4407"/>
      <c r="EJ74" s="4407"/>
      <c r="EK74" s="4408"/>
      <c r="EL74" s="4406"/>
      <c r="EM74" s="4407"/>
      <c r="EN74" s="4407"/>
      <c r="EO74" s="4407"/>
      <c r="EP74" s="4407"/>
      <c r="EQ74" s="4407"/>
      <c r="ER74" s="4407"/>
      <c r="ES74" s="4408"/>
      <c r="ET74" s="4406"/>
      <c r="EU74" s="4407"/>
      <c r="EV74" s="4407"/>
      <c r="EW74" s="4407"/>
      <c r="EX74" s="4407"/>
      <c r="EY74" s="4407"/>
      <c r="EZ74" s="4407"/>
      <c r="FA74" s="4408"/>
      <c r="FB74" s="4406"/>
      <c r="FC74" s="4407"/>
      <c r="FD74" s="4407"/>
      <c r="FE74" s="4407"/>
      <c r="FF74" s="4407"/>
      <c r="FG74" s="4407"/>
      <c r="FH74" s="4407"/>
      <c r="FI74" s="4408"/>
      <c r="FJ74" s="4406"/>
      <c r="FK74" s="4407"/>
      <c r="FL74" s="4407"/>
      <c r="FM74" s="4407"/>
      <c r="FN74" s="4407"/>
      <c r="FO74" s="4407"/>
      <c r="FP74" s="4407"/>
      <c r="FQ74" s="4408"/>
      <c r="FR74" s="4406"/>
      <c r="FS74" s="4407"/>
      <c r="FT74" s="4407"/>
      <c r="FU74" s="4407"/>
      <c r="FV74" s="4407"/>
      <c r="FW74" s="4407"/>
      <c r="FX74" s="4407"/>
      <c r="FY74" s="4408"/>
      <c r="FZ74" s="4406"/>
      <c r="GA74" s="4407"/>
      <c r="GB74" s="4407"/>
      <c r="GC74" s="4407"/>
      <c r="GD74" s="4407"/>
      <c r="GE74" s="4407"/>
      <c r="GF74" s="4407"/>
      <c r="GG74" s="4408"/>
      <c r="GH74" s="4408"/>
      <c r="GI74" s="2993" t="s">
        <v>423</v>
      </c>
      <c r="GJ74" s="2524"/>
      <c r="GK74" s="2994"/>
      <c r="GL74" s="2994" t="str">
        <f t="shared" si="1"/>
        <v xml:space="preserve">Источник тепловой энергии  </v>
      </c>
      <c r="GM74" s="2994"/>
      <c r="GN74" s="2994"/>
      <c r="GO74" s="2055">
        <v>0</v>
      </c>
    </row>
    <row r="75" spans="1:197" s="4188" customFormat="1" ht="47.25" customHeight="1">
      <c r="A75" s="2984"/>
      <c r="B75" s="2984"/>
      <c r="C75" s="2984"/>
      <c r="D75" s="2984"/>
      <c r="E75" s="4413" t="s">
        <v>114</v>
      </c>
      <c r="F75" s="4413"/>
      <c r="G75" s="4413"/>
      <c r="H75" s="4413"/>
      <c r="I75" s="4414" t="str">
        <f>S74&amp;".1"</f>
        <v>3.1.1.1.1</v>
      </c>
      <c r="J75" s="2984"/>
      <c r="K75" s="2984"/>
      <c r="L75" s="2985" t="s">
        <v>424</v>
      </c>
      <c r="M75" s="2518"/>
      <c r="N75" s="3002"/>
      <c r="O75" s="3002"/>
      <c r="P75" s="4416">
        <v>1</v>
      </c>
      <c r="Q75" s="3003"/>
      <c r="R75" s="3004"/>
      <c r="S75" s="2990" t="str">
        <f>$I75</f>
        <v>3.1.1.1.1</v>
      </c>
      <c r="T75" s="3005" t="s">
        <v>425</v>
      </c>
      <c r="U75" s="2992"/>
      <c r="V75" s="4400"/>
      <c r="W75" s="4401"/>
      <c r="X75" s="4401"/>
      <c r="Y75" s="4401"/>
      <c r="Z75" s="4401"/>
      <c r="AA75" s="4401"/>
      <c r="AB75" s="4401"/>
      <c r="AC75" s="4402"/>
      <c r="AD75" s="4400" t="s">
        <v>467</v>
      </c>
      <c r="AE75" s="4401"/>
      <c r="AF75" s="4401"/>
      <c r="AG75" s="4401"/>
      <c r="AH75" s="4401"/>
      <c r="AI75" s="4401"/>
      <c r="AJ75" s="4401"/>
      <c r="AK75" s="4401"/>
      <c r="AL75" s="4400"/>
      <c r="AM75" s="4401"/>
      <c r="AN75" s="4401"/>
      <c r="AO75" s="4401"/>
      <c r="AP75" s="4401"/>
      <c r="AQ75" s="4401"/>
      <c r="AR75" s="4401"/>
      <c r="AS75" s="4402"/>
      <c r="AT75" s="4400"/>
      <c r="AU75" s="4401"/>
      <c r="AV75" s="4401"/>
      <c r="AW75" s="4401"/>
      <c r="AX75" s="4401"/>
      <c r="AY75" s="4401"/>
      <c r="AZ75" s="4401"/>
      <c r="BA75" s="4402"/>
      <c r="BB75" s="4400"/>
      <c r="BC75" s="4401"/>
      <c r="BD75" s="4401"/>
      <c r="BE75" s="4401"/>
      <c r="BF75" s="4401"/>
      <c r="BG75" s="4401"/>
      <c r="BH75" s="4401"/>
      <c r="BI75" s="4402"/>
      <c r="BJ75" s="4400"/>
      <c r="BK75" s="4401"/>
      <c r="BL75" s="4401"/>
      <c r="BM75" s="4401"/>
      <c r="BN75" s="4401"/>
      <c r="BO75" s="4401"/>
      <c r="BP75" s="4401"/>
      <c r="BQ75" s="4402"/>
      <c r="BR75" s="4400"/>
      <c r="BS75" s="4401"/>
      <c r="BT75" s="4401"/>
      <c r="BU75" s="4401"/>
      <c r="BV75" s="4401"/>
      <c r="BW75" s="4401"/>
      <c r="BX75" s="4401"/>
      <c r="BY75" s="4402"/>
      <c r="BZ75" s="4400"/>
      <c r="CA75" s="4401"/>
      <c r="CB75" s="4401"/>
      <c r="CC75" s="4401"/>
      <c r="CD75" s="4401"/>
      <c r="CE75" s="4401"/>
      <c r="CF75" s="4401"/>
      <c r="CG75" s="4402"/>
      <c r="CH75" s="4400"/>
      <c r="CI75" s="4401"/>
      <c r="CJ75" s="4401"/>
      <c r="CK75" s="4401"/>
      <c r="CL75" s="4401"/>
      <c r="CM75" s="4401"/>
      <c r="CN75" s="4401"/>
      <c r="CO75" s="4402"/>
      <c r="CP75" s="4400"/>
      <c r="CQ75" s="4401"/>
      <c r="CR75" s="4401"/>
      <c r="CS75" s="4401"/>
      <c r="CT75" s="4401"/>
      <c r="CU75" s="4401"/>
      <c r="CV75" s="4401"/>
      <c r="CW75" s="4402"/>
      <c r="CX75" s="4400"/>
      <c r="CY75" s="4401"/>
      <c r="CZ75" s="4401"/>
      <c r="DA75" s="4401"/>
      <c r="DB75" s="4401"/>
      <c r="DC75" s="4401"/>
      <c r="DD75" s="4401"/>
      <c r="DE75" s="4402"/>
      <c r="DF75" s="4400"/>
      <c r="DG75" s="4401"/>
      <c r="DH75" s="4401"/>
      <c r="DI75" s="4401"/>
      <c r="DJ75" s="4401"/>
      <c r="DK75" s="4401"/>
      <c r="DL75" s="4401"/>
      <c r="DM75" s="4402"/>
      <c r="DN75" s="4400"/>
      <c r="DO75" s="4401"/>
      <c r="DP75" s="4401"/>
      <c r="DQ75" s="4401"/>
      <c r="DR75" s="4401"/>
      <c r="DS75" s="4401"/>
      <c r="DT75" s="4401"/>
      <c r="DU75" s="4402"/>
      <c r="DV75" s="4400"/>
      <c r="DW75" s="4401"/>
      <c r="DX75" s="4401"/>
      <c r="DY75" s="4401"/>
      <c r="DZ75" s="4401"/>
      <c r="EA75" s="4401"/>
      <c r="EB75" s="4401"/>
      <c r="EC75" s="4402"/>
      <c r="ED75" s="4400"/>
      <c r="EE75" s="4401"/>
      <c r="EF75" s="4401"/>
      <c r="EG75" s="4401"/>
      <c r="EH75" s="4401"/>
      <c r="EI75" s="4401"/>
      <c r="EJ75" s="4401"/>
      <c r="EK75" s="4402"/>
      <c r="EL75" s="4400"/>
      <c r="EM75" s="4401"/>
      <c r="EN75" s="4401"/>
      <c r="EO75" s="4401"/>
      <c r="EP75" s="4401"/>
      <c r="EQ75" s="4401"/>
      <c r="ER75" s="4401"/>
      <c r="ES75" s="4402"/>
      <c r="ET75" s="4400"/>
      <c r="EU75" s="4401"/>
      <c r="EV75" s="4401"/>
      <c r="EW75" s="4401"/>
      <c r="EX75" s="4401"/>
      <c r="EY75" s="4401"/>
      <c r="EZ75" s="4401"/>
      <c r="FA75" s="4402"/>
      <c r="FB75" s="4400"/>
      <c r="FC75" s="4401"/>
      <c r="FD75" s="4401"/>
      <c r="FE75" s="4401"/>
      <c r="FF75" s="4401"/>
      <c r="FG75" s="4401"/>
      <c r="FH75" s="4401"/>
      <c r="FI75" s="4402"/>
      <c r="FJ75" s="4400"/>
      <c r="FK75" s="4401"/>
      <c r="FL75" s="4401"/>
      <c r="FM75" s="4401"/>
      <c r="FN75" s="4401"/>
      <c r="FO75" s="4401"/>
      <c r="FP75" s="4401"/>
      <c r="FQ75" s="4402"/>
      <c r="FR75" s="4400"/>
      <c r="FS75" s="4401"/>
      <c r="FT75" s="4401"/>
      <c r="FU75" s="4401"/>
      <c r="FV75" s="4401"/>
      <c r="FW75" s="4401"/>
      <c r="FX75" s="4401"/>
      <c r="FY75" s="4402"/>
      <c r="FZ75" s="4400"/>
      <c r="GA75" s="4401"/>
      <c r="GB75" s="4401"/>
      <c r="GC75" s="4401"/>
      <c r="GD75" s="4401"/>
      <c r="GE75" s="4401"/>
      <c r="GF75" s="4401"/>
      <c r="GG75" s="4402"/>
      <c r="GH75" s="4402"/>
      <c r="GI75" s="2993" t="s">
        <v>426</v>
      </c>
      <c r="GJ75" s="2524"/>
      <c r="GK75" s="2994"/>
      <c r="GL75" s="2994" t="str">
        <f t="shared" si="1"/>
        <v>Схема подключения теплопотребляющей установки к коллектору источника тепловой энергии</v>
      </c>
      <c r="GM75" s="2994"/>
      <c r="GN75" s="2994"/>
      <c r="GO75" s="2055">
        <v>0</v>
      </c>
    </row>
    <row r="76" spans="1:197" s="4189" customFormat="1" ht="21" customHeight="1">
      <c r="A76" s="2984"/>
      <c r="B76" s="2984"/>
      <c r="C76" s="2984"/>
      <c r="D76" s="2984"/>
      <c r="E76" s="4413" t="s">
        <v>114</v>
      </c>
      <c r="F76" s="4413"/>
      <c r="G76" s="4413"/>
      <c r="H76" s="4413"/>
      <c r="I76" s="4415"/>
      <c r="J76" s="4414" t="str">
        <f>I75&amp;".1"</f>
        <v>3.1.1.1.1.1</v>
      </c>
      <c r="K76" s="2984"/>
      <c r="L76" s="2985" t="s">
        <v>427</v>
      </c>
      <c r="M76" s="2518"/>
      <c r="N76" s="2518"/>
      <c r="O76" s="3002"/>
      <c r="P76" s="4416"/>
      <c r="Q76" s="4416">
        <v>1</v>
      </c>
      <c r="R76" s="3006"/>
      <c r="S76" s="2990" t="str">
        <f>$J76</f>
        <v>3.1.1.1.1.1</v>
      </c>
      <c r="T76" s="3007" t="s">
        <v>428</v>
      </c>
      <c r="U76" s="2992"/>
      <c r="V76" s="4400"/>
      <c r="W76" s="4401"/>
      <c r="X76" s="4401"/>
      <c r="Y76" s="4401"/>
      <c r="Z76" s="4401"/>
      <c r="AA76" s="4401"/>
      <c r="AB76" s="4401"/>
      <c r="AC76" s="4402"/>
      <c r="AD76" s="4400" t="s">
        <v>468</v>
      </c>
      <c r="AE76" s="4401"/>
      <c r="AF76" s="4401"/>
      <c r="AG76" s="4401"/>
      <c r="AH76" s="4401"/>
      <c r="AI76" s="4401"/>
      <c r="AJ76" s="4401"/>
      <c r="AK76" s="4401"/>
      <c r="AL76" s="4400"/>
      <c r="AM76" s="4401"/>
      <c r="AN76" s="4401"/>
      <c r="AO76" s="4401"/>
      <c r="AP76" s="4401"/>
      <c r="AQ76" s="4401"/>
      <c r="AR76" s="4401"/>
      <c r="AS76" s="4402"/>
      <c r="AT76" s="4400"/>
      <c r="AU76" s="4401"/>
      <c r="AV76" s="4401"/>
      <c r="AW76" s="4401"/>
      <c r="AX76" s="4401"/>
      <c r="AY76" s="4401"/>
      <c r="AZ76" s="4401"/>
      <c r="BA76" s="4402"/>
      <c r="BB76" s="4400"/>
      <c r="BC76" s="4401"/>
      <c r="BD76" s="4401"/>
      <c r="BE76" s="4401"/>
      <c r="BF76" s="4401"/>
      <c r="BG76" s="4401"/>
      <c r="BH76" s="4401"/>
      <c r="BI76" s="4402"/>
      <c r="BJ76" s="4400"/>
      <c r="BK76" s="4401"/>
      <c r="BL76" s="4401"/>
      <c r="BM76" s="4401"/>
      <c r="BN76" s="4401"/>
      <c r="BO76" s="4401"/>
      <c r="BP76" s="4401"/>
      <c r="BQ76" s="4402"/>
      <c r="BR76" s="4400"/>
      <c r="BS76" s="4401"/>
      <c r="BT76" s="4401"/>
      <c r="BU76" s="4401"/>
      <c r="BV76" s="4401"/>
      <c r="BW76" s="4401"/>
      <c r="BX76" s="4401"/>
      <c r="BY76" s="4402"/>
      <c r="BZ76" s="4400"/>
      <c r="CA76" s="4401"/>
      <c r="CB76" s="4401"/>
      <c r="CC76" s="4401"/>
      <c r="CD76" s="4401"/>
      <c r="CE76" s="4401"/>
      <c r="CF76" s="4401"/>
      <c r="CG76" s="4402"/>
      <c r="CH76" s="4400"/>
      <c r="CI76" s="4401"/>
      <c r="CJ76" s="4401"/>
      <c r="CK76" s="4401"/>
      <c r="CL76" s="4401"/>
      <c r="CM76" s="4401"/>
      <c r="CN76" s="4401"/>
      <c r="CO76" s="4402"/>
      <c r="CP76" s="4400"/>
      <c r="CQ76" s="4401"/>
      <c r="CR76" s="4401"/>
      <c r="CS76" s="4401"/>
      <c r="CT76" s="4401"/>
      <c r="CU76" s="4401"/>
      <c r="CV76" s="4401"/>
      <c r="CW76" s="4402"/>
      <c r="CX76" s="4400"/>
      <c r="CY76" s="4401"/>
      <c r="CZ76" s="4401"/>
      <c r="DA76" s="4401"/>
      <c r="DB76" s="4401"/>
      <c r="DC76" s="4401"/>
      <c r="DD76" s="4401"/>
      <c r="DE76" s="4402"/>
      <c r="DF76" s="4400"/>
      <c r="DG76" s="4401"/>
      <c r="DH76" s="4401"/>
      <c r="DI76" s="4401"/>
      <c r="DJ76" s="4401"/>
      <c r="DK76" s="4401"/>
      <c r="DL76" s="4401"/>
      <c r="DM76" s="4402"/>
      <c r="DN76" s="4400"/>
      <c r="DO76" s="4401"/>
      <c r="DP76" s="4401"/>
      <c r="DQ76" s="4401"/>
      <c r="DR76" s="4401"/>
      <c r="DS76" s="4401"/>
      <c r="DT76" s="4401"/>
      <c r="DU76" s="4402"/>
      <c r="DV76" s="4400"/>
      <c r="DW76" s="4401"/>
      <c r="DX76" s="4401"/>
      <c r="DY76" s="4401"/>
      <c r="DZ76" s="4401"/>
      <c r="EA76" s="4401"/>
      <c r="EB76" s="4401"/>
      <c r="EC76" s="4402"/>
      <c r="ED76" s="4400"/>
      <c r="EE76" s="4401"/>
      <c r="EF76" s="4401"/>
      <c r="EG76" s="4401"/>
      <c r="EH76" s="4401"/>
      <c r="EI76" s="4401"/>
      <c r="EJ76" s="4401"/>
      <c r="EK76" s="4402"/>
      <c r="EL76" s="4400"/>
      <c r="EM76" s="4401"/>
      <c r="EN76" s="4401"/>
      <c r="EO76" s="4401"/>
      <c r="EP76" s="4401"/>
      <c r="EQ76" s="4401"/>
      <c r="ER76" s="4401"/>
      <c r="ES76" s="4402"/>
      <c r="ET76" s="4400"/>
      <c r="EU76" s="4401"/>
      <c r="EV76" s="4401"/>
      <c r="EW76" s="4401"/>
      <c r="EX76" s="4401"/>
      <c r="EY76" s="4401"/>
      <c r="EZ76" s="4401"/>
      <c r="FA76" s="4402"/>
      <c r="FB76" s="4400"/>
      <c r="FC76" s="4401"/>
      <c r="FD76" s="4401"/>
      <c r="FE76" s="4401"/>
      <c r="FF76" s="4401"/>
      <c r="FG76" s="4401"/>
      <c r="FH76" s="4401"/>
      <c r="FI76" s="4402"/>
      <c r="FJ76" s="4400"/>
      <c r="FK76" s="4401"/>
      <c r="FL76" s="4401"/>
      <c r="FM76" s="4401"/>
      <c r="FN76" s="4401"/>
      <c r="FO76" s="4401"/>
      <c r="FP76" s="4401"/>
      <c r="FQ76" s="4402"/>
      <c r="FR76" s="4400"/>
      <c r="FS76" s="4401"/>
      <c r="FT76" s="4401"/>
      <c r="FU76" s="4401"/>
      <c r="FV76" s="4401"/>
      <c r="FW76" s="4401"/>
      <c r="FX76" s="4401"/>
      <c r="FY76" s="4402"/>
      <c r="FZ76" s="4400"/>
      <c r="GA76" s="4401"/>
      <c r="GB76" s="4401"/>
      <c r="GC76" s="4401"/>
      <c r="GD76" s="4401"/>
      <c r="GE76" s="4401"/>
      <c r="GF76" s="4401"/>
      <c r="GG76" s="4402"/>
      <c r="GH76" s="4402"/>
      <c r="GI76" s="2993" t="s">
        <v>429</v>
      </c>
      <c r="GJ76" s="2524"/>
      <c r="GK76" s="2994"/>
      <c r="GL76" s="2994" t="str">
        <f t="shared" si="1"/>
        <v>Группа потребителей</v>
      </c>
      <c r="GM76" s="2994"/>
      <c r="GN76" s="2994"/>
      <c r="GO76" s="2055">
        <v>0</v>
      </c>
    </row>
    <row r="77" spans="1:197" s="4190" customFormat="1" ht="21" customHeight="1">
      <c r="A77" s="2984"/>
      <c r="B77" s="2984"/>
      <c r="C77" s="2984"/>
      <c r="D77" s="2984"/>
      <c r="E77" s="4413" t="s">
        <v>114</v>
      </c>
      <c r="F77" s="4413"/>
      <c r="G77" s="4413"/>
      <c r="H77" s="4413"/>
      <c r="I77" s="4415"/>
      <c r="J77" s="4415"/>
      <c r="K77" s="4414" t="str">
        <f>J76&amp;".1"</f>
        <v>3.1.1.1.1.1.1</v>
      </c>
      <c r="L77" s="2985" t="s">
        <v>430</v>
      </c>
      <c r="M77" s="2518"/>
      <c r="N77" s="2518"/>
      <c r="O77" s="2518"/>
      <c r="P77" s="4416"/>
      <c r="Q77" s="4416"/>
      <c r="R77" s="3006">
        <v>1</v>
      </c>
      <c r="S77" s="2990" t="str">
        <f>$K77</f>
        <v>3.1.1.1.1.1.1</v>
      </c>
      <c r="T77" s="3008" t="s">
        <v>469</v>
      </c>
      <c r="U77" s="2992"/>
      <c r="V77" s="2056"/>
      <c r="W77" s="2057"/>
      <c r="X77" s="2056"/>
      <c r="Y77" s="2058"/>
      <c r="Z77" s="4417"/>
      <c r="AA77" s="4284" t="s">
        <v>65</v>
      </c>
      <c r="AB77" s="4417"/>
      <c r="AC77" s="4284" t="s">
        <v>65</v>
      </c>
      <c r="AD77" s="2056">
        <v>0</v>
      </c>
      <c r="AE77" s="2057"/>
      <c r="AF77" s="2056"/>
      <c r="AG77" s="2058"/>
      <c r="AH77" s="4417">
        <v>42990</v>
      </c>
      <c r="AI77" s="4284" t="s">
        <v>65</v>
      </c>
      <c r="AJ77" s="4417">
        <v>43100</v>
      </c>
      <c r="AK77" s="4284" t="s">
        <v>65</v>
      </c>
      <c r="AL77" s="2056">
        <v>0</v>
      </c>
      <c r="AM77" s="2057"/>
      <c r="AN77" s="2056"/>
      <c r="AO77" s="2058"/>
      <c r="AP77" s="4417">
        <v>43101</v>
      </c>
      <c r="AQ77" s="4284" t="s">
        <v>65</v>
      </c>
      <c r="AR77" s="4417">
        <v>43281</v>
      </c>
      <c r="AS77" s="4284" t="s">
        <v>65</v>
      </c>
      <c r="AT77" s="2056">
        <v>0</v>
      </c>
      <c r="AU77" s="2057"/>
      <c r="AV77" s="2056"/>
      <c r="AW77" s="2058"/>
      <c r="AX77" s="4417">
        <v>43282</v>
      </c>
      <c r="AY77" s="4284" t="s">
        <v>65</v>
      </c>
      <c r="AZ77" s="4417">
        <v>43465</v>
      </c>
      <c r="BA77" s="4284" t="s">
        <v>65</v>
      </c>
      <c r="BB77" s="2056">
        <v>0</v>
      </c>
      <c r="BC77" s="2057"/>
      <c r="BD77" s="2056"/>
      <c r="BE77" s="2058"/>
      <c r="BF77" s="4417">
        <v>43466</v>
      </c>
      <c r="BG77" s="4284" t="s">
        <v>65</v>
      </c>
      <c r="BH77" s="4417">
        <v>43646</v>
      </c>
      <c r="BI77" s="4284" t="s">
        <v>65</v>
      </c>
      <c r="BJ77" s="2056">
        <v>0</v>
      </c>
      <c r="BK77" s="2057"/>
      <c r="BL77" s="2056"/>
      <c r="BM77" s="2058"/>
      <c r="BN77" s="4417">
        <v>43647</v>
      </c>
      <c r="BO77" s="4284" t="s">
        <v>65</v>
      </c>
      <c r="BP77" s="4417">
        <v>43830</v>
      </c>
      <c r="BQ77" s="4284" t="s">
        <v>65</v>
      </c>
      <c r="BR77" s="2056">
        <v>0</v>
      </c>
      <c r="BS77" s="2057"/>
      <c r="BT77" s="2056"/>
      <c r="BU77" s="2058"/>
      <c r="BV77" s="4417">
        <v>43831</v>
      </c>
      <c r="BW77" s="4284" t="s">
        <v>65</v>
      </c>
      <c r="BX77" s="4417">
        <v>44012</v>
      </c>
      <c r="BY77" s="4284" t="s">
        <v>65</v>
      </c>
      <c r="BZ77" s="2056">
        <v>0</v>
      </c>
      <c r="CA77" s="2057"/>
      <c r="CB77" s="2056"/>
      <c r="CC77" s="2058"/>
      <c r="CD77" s="4417">
        <v>44013</v>
      </c>
      <c r="CE77" s="4284" t="s">
        <v>65</v>
      </c>
      <c r="CF77" s="4417">
        <v>44196</v>
      </c>
      <c r="CG77" s="4284" t="s">
        <v>65</v>
      </c>
      <c r="CH77" s="2056">
        <v>0</v>
      </c>
      <c r="CI77" s="2057"/>
      <c r="CJ77" s="2056"/>
      <c r="CK77" s="2058"/>
      <c r="CL77" s="4417">
        <v>44197</v>
      </c>
      <c r="CM77" s="4284" t="s">
        <v>65</v>
      </c>
      <c r="CN77" s="4417">
        <v>44377</v>
      </c>
      <c r="CO77" s="4284" t="s">
        <v>65</v>
      </c>
      <c r="CP77" s="2056">
        <v>0</v>
      </c>
      <c r="CQ77" s="2057"/>
      <c r="CR77" s="2056"/>
      <c r="CS77" s="2058"/>
      <c r="CT77" s="4417">
        <v>44378</v>
      </c>
      <c r="CU77" s="4284" t="s">
        <v>65</v>
      </c>
      <c r="CV77" s="4417">
        <v>44561</v>
      </c>
      <c r="CW77" s="4284" t="s">
        <v>65</v>
      </c>
      <c r="CX77" s="2056">
        <v>3748.58</v>
      </c>
      <c r="CY77" s="2057"/>
      <c r="CZ77" s="2056"/>
      <c r="DA77" s="2058"/>
      <c r="DB77" s="4417">
        <v>44562</v>
      </c>
      <c r="DC77" s="4284" t="s">
        <v>65</v>
      </c>
      <c r="DD77" s="4417">
        <v>44742</v>
      </c>
      <c r="DE77" s="4284" t="s">
        <v>65</v>
      </c>
      <c r="DF77" s="2056">
        <v>3909.77</v>
      </c>
      <c r="DG77" s="2057"/>
      <c r="DH77" s="2056"/>
      <c r="DI77" s="2058"/>
      <c r="DJ77" s="4417">
        <v>44743</v>
      </c>
      <c r="DK77" s="4284" t="s">
        <v>65</v>
      </c>
      <c r="DL77" s="4417">
        <v>44895</v>
      </c>
      <c r="DM77" s="4284" t="s">
        <v>65</v>
      </c>
      <c r="DN77" s="2056">
        <v>0</v>
      </c>
      <c r="DO77" s="2057"/>
      <c r="DP77" s="2056"/>
      <c r="DQ77" s="2058"/>
      <c r="DR77" s="4417">
        <v>44896</v>
      </c>
      <c r="DS77" s="4284" t="s">
        <v>65</v>
      </c>
      <c r="DT77" s="4417">
        <v>45291</v>
      </c>
      <c r="DU77" s="4284" t="s">
        <v>65</v>
      </c>
      <c r="DV77" s="2056">
        <v>3379.59</v>
      </c>
      <c r="DW77" s="2057"/>
      <c r="DX77" s="2056"/>
      <c r="DY77" s="2058"/>
      <c r="DZ77" s="4417">
        <v>45292</v>
      </c>
      <c r="EA77" s="4284" t="s">
        <v>65</v>
      </c>
      <c r="EB77" s="4417">
        <v>45473</v>
      </c>
      <c r="EC77" s="4284" t="s">
        <v>65</v>
      </c>
      <c r="ED77" s="2056">
        <v>3795.28</v>
      </c>
      <c r="EE77" s="2057"/>
      <c r="EF77" s="2056"/>
      <c r="EG77" s="2058"/>
      <c r="EH77" s="4417">
        <v>45474</v>
      </c>
      <c r="EI77" s="4284" t="s">
        <v>65</v>
      </c>
      <c r="EJ77" s="4417">
        <v>45657</v>
      </c>
      <c r="EK77" s="4284" t="s">
        <v>65</v>
      </c>
      <c r="EL77" s="2056">
        <v>3795.28</v>
      </c>
      <c r="EM77" s="2057"/>
      <c r="EN77" s="2056"/>
      <c r="EO77" s="2058"/>
      <c r="EP77" s="4417">
        <v>45658</v>
      </c>
      <c r="EQ77" s="4284" t="s">
        <v>65</v>
      </c>
      <c r="ER77" s="4417">
        <v>45838</v>
      </c>
      <c r="ES77" s="4284" t="s">
        <v>65</v>
      </c>
      <c r="ET77" s="2056">
        <v>5250</v>
      </c>
      <c r="EU77" s="2057"/>
      <c r="EV77" s="2056"/>
      <c r="EW77" s="2058"/>
      <c r="EX77" s="4417">
        <v>45839</v>
      </c>
      <c r="EY77" s="4284" t="s">
        <v>65</v>
      </c>
      <c r="EZ77" s="4417">
        <v>46022</v>
      </c>
      <c r="FA77" s="4284" t="s">
        <v>65</v>
      </c>
      <c r="FB77" s="2056">
        <v>3327.1</v>
      </c>
      <c r="FC77" s="2057"/>
      <c r="FD77" s="2056"/>
      <c r="FE77" s="2058"/>
      <c r="FF77" s="4417">
        <v>46023</v>
      </c>
      <c r="FG77" s="4284" t="s">
        <v>65</v>
      </c>
      <c r="FH77" s="4417">
        <v>46203</v>
      </c>
      <c r="FI77" s="4284" t="s">
        <v>65</v>
      </c>
      <c r="FJ77" s="2056">
        <v>3327.1</v>
      </c>
      <c r="FK77" s="2057"/>
      <c r="FL77" s="2056"/>
      <c r="FM77" s="2058"/>
      <c r="FN77" s="4417">
        <v>46204</v>
      </c>
      <c r="FO77" s="4284" t="s">
        <v>65</v>
      </c>
      <c r="FP77" s="4417">
        <v>46387</v>
      </c>
      <c r="FQ77" s="4284" t="s">
        <v>65</v>
      </c>
      <c r="FR77" s="2056">
        <v>3320.78</v>
      </c>
      <c r="FS77" s="2057"/>
      <c r="FT77" s="2056"/>
      <c r="FU77" s="2058"/>
      <c r="FV77" s="4417">
        <v>46388</v>
      </c>
      <c r="FW77" s="4284" t="s">
        <v>65</v>
      </c>
      <c r="FX77" s="4417">
        <v>46568</v>
      </c>
      <c r="FY77" s="4284" t="s">
        <v>65</v>
      </c>
      <c r="FZ77" s="2056">
        <v>3320.78</v>
      </c>
      <c r="GA77" s="2057"/>
      <c r="GB77" s="2056"/>
      <c r="GC77" s="2058"/>
      <c r="GD77" s="4417">
        <v>46569</v>
      </c>
      <c r="GE77" s="4284" t="s">
        <v>65</v>
      </c>
      <c r="GF77" s="4417">
        <v>46630</v>
      </c>
      <c r="GG77" s="4284" t="s">
        <v>65</v>
      </c>
      <c r="GH77" s="2057"/>
      <c r="GI77" s="4435" t="s">
        <v>431</v>
      </c>
      <c r="GJ77" s="2524" t="e">
        <f ca="1">STRCHECKDATE(V78:GH78)</f>
        <v>#NAME?</v>
      </c>
      <c r="GK77" s="2994"/>
      <c r="GL77" s="2994" t="str">
        <f t="shared" si="1"/>
        <v>вода</v>
      </c>
      <c r="GM77" s="2994"/>
      <c r="GN77" s="2994"/>
      <c r="GO77" s="2055">
        <v>0</v>
      </c>
    </row>
    <row r="78" spans="1:197" s="4191" customFormat="1" ht="0.75" customHeight="1">
      <c r="A78" s="2984"/>
      <c r="B78" s="2984"/>
      <c r="C78" s="2984"/>
      <c r="D78" s="2984"/>
      <c r="E78" s="4413" t="s">
        <v>114</v>
      </c>
      <c r="F78" s="4413"/>
      <c r="G78" s="4413"/>
      <c r="H78" s="4413"/>
      <c r="I78" s="4415"/>
      <c r="J78" s="4415"/>
      <c r="K78" s="4414"/>
      <c r="L78" s="2985"/>
      <c r="M78" s="2518"/>
      <c r="N78" s="2518"/>
      <c r="O78" s="2518"/>
      <c r="P78" s="4416"/>
      <c r="Q78" s="4416"/>
      <c r="R78" s="3006"/>
      <c r="S78" s="3009"/>
      <c r="T78" s="2992"/>
      <c r="U78" s="2992"/>
      <c r="V78" s="2057"/>
      <c r="W78" s="2057"/>
      <c r="X78" s="2057"/>
      <c r="Y78" s="2059" t="str">
        <f>Z77&amp;"-"&amp;AB77</f>
        <v>-</v>
      </c>
      <c r="Z78" s="4418"/>
      <c r="AA78" s="4284"/>
      <c r="AB78" s="4418"/>
      <c r="AC78" s="4284"/>
      <c r="AD78" s="2057"/>
      <c r="AE78" s="2057"/>
      <c r="AF78" s="2057"/>
      <c r="AG78" s="2059" t="str">
        <f>AH77&amp;"-"&amp;AJ77</f>
        <v>42990-43100</v>
      </c>
      <c r="AH78" s="4418"/>
      <c r="AI78" s="4284"/>
      <c r="AJ78" s="4418"/>
      <c r="AK78" s="4284"/>
      <c r="AL78" s="2057"/>
      <c r="AM78" s="2057"/>
      <c r="AN78" s="2057"/>
      <c r="AO78" s="2059" t="str">
        <f>AP77&amp;"-"&amp;AR77</f>
        <v>43101-43281</v>
      </c>
      <c r="AP78" s="4418"/>
      <c r="AQ78" s="4284"/>
      <c r="AR78" s="4418"/>
      <c r="AS78" s="4284"/>
      <c r="AT78" s="2057"/>
      <c r="AU78" s="2057"/>
      <c r="AV78" s="2057"/>
      <c r="AW78" s="2059" t="str">
        <f>AX77&amp;"-"&amp;AZ77</f>
        <v>43282-43465</v>
      </c>
      <c r="AX78" s="4418"/>
      <c r="AY78" s="4284"/>
      <c r="AZ78" s="4418"/>
      <c r="BA78" s="4284"/>
      <c r="BB78" s="2057"/>
      <c r="BC78" s="2057"/>
      <c r="BD78" s="2057"/>
      <c r="BE78" s="2059" t="str">
        <f>BF77&amp;"-"&amp;BH77</f>
        <v>43466-43646</v>
      </c>
      <c r="BF78" s="4418"/>
      <c r="BG78" s="4284"/>
      <c r="BH78" s="4418"/>
      <c r="BI78" s="4284"/>
      <c r="BJ78" s="2057"/>
      <c r="BK78" s="2057"/>
      <c r="BL78" s="2057"/>
      <c r="BM78" s="2059" t="str">
        <f>BN77&amp;"-"&amp;BP77</f>
        <v>43647-43830</v>
      </c>
      <c r="BN78" s="4418"/>
      <c r="BO78" s="4284"/>
      <c r="BP78" s="4418"/>
      <c r="BQ78" s="4284"/>
      <c r="BR78" s="2057"/>
      <c r="BS78" s="2057"/>
      <c r="BT78" s="2057"/>
      <c r="BU78" s="2059" t="str">
        <f>BV77&amp;"-"&amp;BX77</f>
        <v>43831-44012</v>
      </c>
      <c r="BV78" s="4418"/>
      <c r="BW78" s="4284"/>
      <c r="BX78" s="4418"/>
      <c r="BY78" s="4284"/>
      <c r="BZ78" s="2057"/>
      <c r="CA78" s="2057"/>
      <c r="CB78" s="2057"/>
      <c r="CC78" s="2059" t="str">
        <f>CD77&amp;"-"&amp;CF77</f>
        <v>44013-44196</v>
      </c>
      <c r="CD78" s="4418"/>
      <c r="CE78" s="4284"/>
      <c r="CF78" s="4418"/>
      <c r="CG78" s="4284"/>
      <c r="CH78" s="2057"/>
      <c r="CI78" s="2057"/>
      <c r="CJ78" s="2057"/>
      <c r="CK78" s="2059" t="str">
        <f>CL77&amp;"-"&amp;CN77</f>
        <v>44197-44377</v>
      </c>
      <c r="CL78" s="4418"/>
      <c r="CM78" s="4284"/>
      <c r="CN78" s="4418"/>
      <c r="CO78" s="4284"/>
      <c r="CP78" s="2057"/>
      <c r="CQ78" s="2057"/>
      <c r="CR78" s="2057"/>
      <c r="CS78" s="2059" t="str">
        <f>CT77&amp;"-"&amp;CV77</f>
        <v>44378-44561</v>
      </c>
      <c r="CT78" s="4418"/>
      <c r="CU78" s="4284"/>
      <c r="CV78" s="4418"/>
      <c r="CW78" s="4284"/>
      <c r="CX78" s="2057"/>
      <c r="CY78" s="2057"/>
      <c r="CZ78" s="2057"/>
      <c r="DA78" s="2059" t="str">
        <f>DB77&amp;"-"&amp;DD77</f>
        <v>44562-44742</v>
      </c>
      <c r="DB78" s="4418"/>
      <c r="DC78" s="4284"/>
      <c r="DD78" s="4418"/>
      <c r="DE78" s="4284"/>
      <c r="DF78" s="2057"/>
      <c r="DG78" s="2057"/>
      <c r="DH78" s="2057"/>
      <c r="DI78" s="2059" t="str">
        <f>DJ77&amp;"-"&amp;DL77</f>
        <v>44743-44895</v>
      </c>
      <c r="DJ78" s="4418"/>
      <c r="DK78" s="4284"/>
      <c r="DL78" s="4418"/>
      <c r="DM78" s="4284"/>
      <c r="DN78" s="2057"/>
      <c r="DO78" s="2057"/>
      <c r="DP78" s="2057"/>
      <c r="DQ78" s="2059" t="str">
        <f>DR77&amp;"-"&amp;DT77</f>
        <v>44896-45291</v>
      </c>
      <c r="DR78" s="4418"/>
      <c r="DS78" s="4284"/>
      <c r="DT78" s="4418"/>
      <c r="DU78" s="4284"/>
      <c r="DV78" s="2057"/>
      <c r="DW78" s="2057"/>
      <c r="DX78" s="2057"/>
      <c r="DY78" s="2059" t="str">
        <f>DZ77&amp;"-"&amp;EB77</f>
        <v>45292-45473</v>
      </c>
      <c r="DZ78" s="4418"/>
      <c r="EA78" s="4284"/>
      <c r="EB78" s="4418"/>
      <c r="EC78" s="4284"/>
      <c r="ED78" s="2057"/>
      <c r="EE78" s="2057"/>
      <c r="EF78" s="2057"/>
      <c r="EG78" s="2059" t="str">
        <f>EH77&amp;"-"&amp;EJ77</f>
        <v>45474-45657</v>
      </c>
      <c r="EH78" s="4418"/>
      <c r="EI78" s="4284"/>
      <c r="EJ78" s="4418"/>
      <c r="EK78" s="4284"/>
      <c r="EL78" s="2057"/>
      <c r="EM78" s="2057"/>
      <c r="EN78" s="2057"/>
      <c r="EO78" s="2059" t="str">
        <f>EP77&amp;"-"&amp;ER77</f>
        <v>45658-45838</v>
      </c>
      <c r="EP78" s="4418"/>
      <c r="EQ78" s="4284"/>
      <c r="ER78" s="4418"/>
      <c r="ES78" s="4284"/>
      <c r="ET78" s="2057"/>
      <c r="EU78" s="2057"/>
      <c r="EV78" s="2057"/>
      <c r="EW78" s="2059" t="str">
        <f>EX77&amp;"-"&amp;EZ77</f>
        <v>45839-46022</v>
      </c>
      <c r="EX78" s="4418"/>
      <c r="EY78" s="4284"/>
      <c r="EZ78" s="4418"/>
      <c r="FA78" s="4284"/>
      <c r="FB78" s="2057"/>
      <c r="FC78" s="2057"/>
      <c r="FD78" s="2057"/>
      <c r="FE78" s="2059" t="str">
        <f>FF77&amp;"-"&amp;FH77</f>
        <v>46023-46203</v>
      </c>
      <c r="FF78" s="4418"/>
      <c r="FG78" s="4284"/>
      <c r="FH78" s="4418"/>
      <c r="FI78" s="4284"/>
      <c r="FJ78" s="2057"/>
      <c r="FK78" s="2057"/>
      <c r="FL78" s="2057"/>
      <c r="FM78" s="2059" t="str">
        <f>FN77&amp;"-"&amp;FP77</f>
        <v>46204-46387</v>
      </c>
      <c r="FN78" s="4418"/>
      <c r="FO78" s="4284"/>
      <c r="FP78" s="4418"/>
      <c r="FQ78" s="4284"/>
      <c r="FR78" s="2057"/>
      <c r="FS78" s="2057"/>
      <c r="FT78" s="2057"/>
      <c r="FU78" s="2059" t="str">
        <f>FV77&amp;"-"&amp;FX77</f>
        <v>46388-46568</v>
      </c>
      <c r="FV78" s="4418"/>
      <c r="FW78" s="4284"/>
      <c r="FX78" s="4418"/>
      <c r="FY78" s="4284"/>
      <c r="FZ78" s="2057"/>
      <c r="GA78" s="2057"/>
      <c r="GB78" s="2057"/>
      <c r="GC78" s="2059" t="str">
        <f>GD77&amp;"-"&amp;GF77</f>
        <v>46569-46630</v>
      </c>
      <c r="GD78" s="4418"/>
      <c r="GE78" s="4284"/>
      <c r="GF78" s="4418"/>
      <c r="GG78" s="4284"/>
      <c r="GH78" s="2057"/>
      <c r="GI78" s="4436"/>
      <c r="GJ78" s="2524"/>
      <c r="GK78" s="2994"/>
      <c r="GL78" s="2994" t="str">
        <f t="shared" si="1"/>
        <v/>
      </c>
      <c r="GM78" s="2994"/>
      <c r="GN78" s="2994"/>
      <c r="GO78" s="2055">
        <v>0</v>
      </c>
    </row>
    <row r="79" spans="1:197" s="4192" customFormat="1" ht="15" customHeight="1">
      <c r="A79" s="2984"/>
      <c r="B79" s="2984"/>
      <c r="C79" s="2984"/>
      <c r="D79" s="2984"/>
      <c r="E79" s="4413" t="s">
        <v>114</v>
      </c>
      <c r="F79" s="4413"/>
      <c r="G79" s="4413"/>
      <c r="H79" s="4413"/>
      <c r="I79" s="4415"/>
      <c r="J79" s="4414"/>
      <c r="K79" s="2984"/>
      <c r="L79" s="2985"/>
      <c r="M79" s="2518"/>
      <c r="N79" s="2518"/>
      <c r="O79" s="3002"/>
      <c r="P79" s="4416"/>
      <c r="Q79" s="4416"/>
      <c r="R79" s="3004"/>
      <c r="S79" s="3540"/>
      <c r="T79" s="3541" t="s">
        <v>432</v>
      </c>
      <c r="U79" s="3542"/>
      <c r="V79" s="3543"/>
      <c r="W79" s="3544"/>
      <c r="X79" s="3545"/>
      <c r="Y79" s="3546"/>
      <c r="Z79" s="3547"/>
      <c r="AA79" s="3548"/>
      <c r="AB79" s="3549"/>
      <c r="AC79" s="3550"/>
      <c r="AD79" s="3551"/>
      <c r="AE79" s="3552"/>
      <c r="AF79" s="3553"/>
      <c r="AG79" s="3554"/>
      <c r="AH79" s="3555"/>
      <c r="AI79" s="3556"/>
      <c r="AJ79" s="3557"/>
      <c r="AK79" s="3558"/>
      <c r="AL79" s="3559"/>
      <c r="AM79" s="3560"/>
      <c r="AN79" s="3561"/>
      <c r="AO79" s="3562"/>
      <c r="AP79" s="3563"/>
      <c r="AQ79" s="3564"/>
      <c r="AR79" s="3565"/>
      <c r="AS79" s="3566"/>
      <c r="AT79" s="3567"/>
      <c r="AU79" s="3568"/>
      <c r="AV79" s="3569"/>
      <c r="AW79" s="3570"/>
      <c r="AX79" s="3571"/>
      <c r="AY79" s="3572"/>
      <c r="AZ79" s="3573"/>
      <c r="BA79" s="3574"/>
      <c r="BB79" s="3575"/>
      <c r="BC79" s="3576"/>
      <c r="BD79" s="3577"/>
      <c r="BE79" s="3578"/>
      <c r="BF79" s="3579"/>
      <c r="BG79" s="3580"/>
      <c r="BH79" s="3581"/>
      <c r="BI79" s="3582"/>
      <c r="BJ79" s="3583"/>
      <c r="BK79" s="3584"/>
      <c r="BL79" s="3585"/>
      <c r="BM79" s="3586"/>
      <c r="BN79" s="3587"/>
      <c r="BO79" s="3588"/>
      <c r="BP79" s="3589"/>
      <c r="BQ79" s="3590"/>
      <c r="BR79" s="3591"/>
      <c r="BS79" s="3592"/>
      <c r="BT79" s="3593"/>
      <c r="BU79" s="3594"/>
      <c r="BV79" s="3595"/>
      <c r="BW79" s="3596"/>
      <c r="BX79" s="3597"/>
      <c r="BY79" s="3598"/>
      <c r="BZ79" s="3599"/>
      <c r="CA79" s="3600"/>
      <c r="CB79" s="3601"/>
      <c r="CC79" s="3602"/>
      <c r="CD79" s="3603"/>
      <c r="CE79" s="3604"/>
      <c r="CF79" s="3605"/>
      <c r="CG79" s="3606"/>
      <c r="CH79" s="3607"/>
      <c r="CI79" s="3608"/>
      <c r="CJ79" s="3609"/>
      <c r="CK79" s="3610"/>
      <c r="CL79" s="3611"/>
      <c r="CM79" s="3612"/>
      <c r="CN79" s="3613"/>
      <c r="CO79" s="3614"/>
      <c r="CP79" s="3615"/>
      <c r="CQ79" s="3616"/>
      <c r="CR79" s="3617"/>
      <c r="CS79" s="3618"/>
      <c r="CT79" s="3619"/>
      <c r="CU79" s="3620"/>
      <c r="CV79" s="3621"/>
      <c r="CW79" s="3622"/>
      <c r="CX79" s="3623"/>
      <c r="CY79" s="3624"/>
      <c r="CZ79" s="3625"/>
      <c r="DA79" s="3626"/>
      <c r="DB79" s="3627"/>
      <c r="DC79" s="3628"/>
      <c r="DD79" s="3629"/>
      <c r="DE79" s="3630"/>
      <c r="DF79" s="3631"/>
      <c r="DG79" s="3632"/>
      <c r="DH79" s="3633"/>
      <c r="DI79" s="3634"/>
      <c r="DJ79" s="3635"/>
      <c r="DK79" s="3636"/>
      <c r="DL79" s="3637"/>
      <c r="DM79" s="3638"/>
      <c r="DN79" s="3639"/>
      <c r="DO79" s="3640"/>
      <c r="DP79" s="3641"/>
      <c r="DQ79" s="3642"/>
      <c r="DR79" s="3643"/>
      <c r="DS79" s="3644"/>
      <c r="DT79" s="3645"/>
      <c r="DU79" s="3646"/>
      <c r="DV79" s="3647"/>
      <c r="DW79" s="3648"/>
      <c r="DX79" s="3649"/>
      <c r="DY79" s="3650"/>
      <c r="DZ79" s="3651"/>
      <c r="EA79" s="3652"/>
      <c r="EB79" s="3653"/>
      <c r="EC79" s="3654"/>
      <c r="ED79" s="3655"/>
      <c r="EE79" s="3656"/>
      <c r="EF79" s="3657"/>
      <c r="EG79" s="3658"/>
      <c r="EH79" s="3659"/>
      <c r="EI79" s="3660"/>
      <c r="EJ79" s="3661"/>
      <c r="EK79" s="3662"/>
      <c r="EL79" s="3663"/>
      <c r="EM79" s="3664"/>
      <c r="EN79" s="3665"/>
      <c r="EO79" s="3666"/>
      <c r="EP79" s="3667"/>
      <c r="EQ79" s="3668"/>
      <c r="ER79" s="3669"/>
      <c r="ES79" s="3670"/>
      <c r="ET79" s="3671"/>
      <c r="EU79" s="3672"/>
      <c r="EV79" s="3673"/>
      <c r="EW79" s="3674"/>
      <c r="EX79" s="3675"/>
      <c r="EY79" s="3676"/>
      <c r="EZ79" s="3677"/>
      <c r="FA79" s="3678"/>
      <c r="FB79" s="3679"/>
      <c r="FC79" s="3680"/>
      <c r="FD79" s="3681"/>
      <c r="FE79" s="3682"/>
      <c r="FF79" s="3683"/>
      <c r="FG79" s="3684"/>
      <c r="FH79" s="3685"/>
      <c r="FI79" s="3686"/>
      <c r="FJ79" s="3687"/>
      <c r="FK79" s="3688"/>
      <c r="FL79" s="3689"/>
      <c r="FM79" s="3690"/>
      <c r="FN79" s="3691"/>
      <c r="FO79" s="3692"/>
      <c r="FP79" s="3693"/>
      <c r="FQ79" s="3694"/>
      <c r="FR79" s="3695"/>
      <c r="FS79" s="3696"/>
      <c r="FT79" s="3697"/>
      <c r="FU79" s="3698"/>
      <c r="FV79" s="3699"/>
      <c r="FW79" s="3700"/>
      <c r="FX79" s="3701"/>
      <c r="FY79" s="3702"/>
      <c r="FZ79" s="3703"/>
      <c r="GA79" s="3704"/>
      <c r="GB79" s="3705"/>
      <c r="GC79" s="3706"/>
      <c r="GD79" s="3707"/>
      <c r="GE79" s="3708"/>
      <c r="GF79" s="3709"/>
      <c r="GG79" s="3710"/>
      <c r="GH79" s="3711"/>
      <c r="GI79" s="4437"/>
      <c r="GJ79" s="2524"/>
      <c r="GK79" s="2994"/>
      <c r="GL79" s="2994" t="str">
        <f t="shared" si="1"/>
        <v>Добавить вид теплоносителя (параметры теплоносителя)</v>
      </c>
      <c r="GM79" s="2994"/>
      <c r="GN79" s="2994"/>
      <c r="GO79" s="2055">
        <v>0</v>
      </c>
    </row>
    <row r="80" spans="1:197" s="4193" customFormat="1" ht="15" customHeight="1">
      <c r="A80" s="2984"/>
      <c r="B80" s="2984"/>
      <c r="C80" s="2984"/>
      <c r="D80" s="2984"/>
      <c r="E80" s="4413" t="s">
        <v>114</v>
      </c>
      <c r="F80" s="4413"/>
      <c r="G80" s="4413"/>
      <c r="H80" s="4413"/>
      <c r="I80" s="4414"/>
      <c r="J80" s="2984"/>
      <c r="K80" s="2984"/>
      <c r="L80" s="2985"/>
      <c r="M80" s="2518"/>
      <c r="N80" s="3002"/>
      <c r="O80" s="3002"/>
      <c r="P80" s="4416"/>
      <c r="Q80" s="3003"/>
      <c r="R80" s="3004"/>
      <c r="S80" s="3712"/>
      <c r="T80" s="3713" t="s">
        <v>433</v>
      </c>
      <c r="U80" s="3714"/>
      <c r="V80" s="3715"/>
      <c r="W80" s="3716"/>
      <c r="X80" s="3717"/>
      <c r="Y80" s="3718"/>
      <c r="Z80" s="3719"/>
      <c r="AA80" s="3720"/>
      <c r="AB80" s="3721"/>
      <c r="AC80" s="3722"/>
      <c r="AD80" s="3723"/>
      <c r="AE80" s="3724"/>
      <c r="AF80" s="3725"/>
      <c r="AG80" s="3726"/>
      <c r="AH80" s="3727"/>
      <c r="AI80" s="3728"/>
      <c r="AJ80" s="3729"/>
      <c r="AK80" s="3730"/>
      <c r="AL80" s="3731"/>
      <c r="AM80" s="3732"/>
      <c r="AN80" s="3733"/>
      <c r="AO80" s="3734"/>
      <c r="AP80" s="3735"/>
      <c r="AQ80" s="3736"/>
      <c r="AR80" s="3737"/>
      <c r="AS80" s="3738"/>
      <c r="AT80" s="3739"/>
      <c r="AU80" s="3740"/>
      <c r="AV80" s="3741"/>
      <c r="AW80" s="3742"/>
      <c r="AX80" s="3743"/>
      <c r="AY80" s="3744"/>
      <c r="AZ80" s="3745"/>
      <c r="BA80" s="3746"/>
      <c r="BB80" s="3747"/>
      <c r="BC80" s="3748"/>
      <c r="BD80" s="3749"/>
      <c r="BE80" s="3750"/>
      <c r="BF80" s="3751"/>
      <c r="BG80" s="3752"/>
      <c r="BH80" s="3753"/>
      <c r="BI80" s="3754"/>
      <c r="BJ80" s="3755"/>
      <c r="BK80" s="3756"/>
      <c r="BL80" s="3757"/>
      <c r="BM80" s="3758"/>
      <c r="BN80" s="3759"/>
      <c r="BO80" s="3760"/>
      <c r="BP80" s="3761"/>
      <c r="BQ80" s="3762"/>
      <c r="BR80" s="3763"/>
      <c r="BS80" s="3764"/>
      <c r="BT80" s="3765"/>
      <c r="BU80" s="3766"/>
      <c r="BV80" s="3767"/>
      <c r="BW80" s="3768"/>
      <c r="BX80" s="3769"/>
      <c r="BY80" s="3770"/>
      <c r="BZ80" s="3771"/>
      <c r="CA80" s="3772"/>
      <c r="CB80" s="3773"/>
      <c r="CC80" s="3774"/>
      <c r="CD80" s="3775"/>
      <c r="CE80" s="3776"/>
      <c r="CF80" s="3777"/>
      <c r="CG80" s="3778"/>
      <c r="CH80" s="3779"/>
      <c r="CI80" s="3780"/>
      <c r="CJ80" s="3781"/>
      <c r="CK80" s="3782"/>
      <c r="CL80" s="3783"/>
      <c r="CM80" s="3784"/>
      <c r="CN80" s="3785"/>
      <c r="CO80" s="3786"/>
      <c r="CP80" s="3787"/>
      <c r="CQ80" s="3788"/>
      <c r="CR80" s="3789"/>
      <c r="CS80" s="3790"/>
      <c r="CT80" s="3791"/>
      <c r="CU80" s="3792"/>
      <c r="CV80" s="3793"/>
      <c r="CW80" s="3794"/>
      <c r="CX80" s="3795"/>
      <c r="CY80" s="3796"/>
      <c r="CZ80" s="3797"/>
      <c r="DA80" s="3798"/>
      <c r="DB80" s="3799"/>
      <c r="DC80" s="3800"/>
      <c r="DD80" s="3801"/>
      <c r="DE80" s="3802"/>
      <c r="DF80" s="3803"/>
      <c r="DG80" s="3804"/>
      <c r="DH80" s="3805"/>
      <c r="DI80" s="3806"/>
      <c r="DJ80" s="3807"/>
      <c r="DK80" s="3808"/>
      <c r="DL80" s="3809"/>
      <c r="DM80" s="3810"/>
      <c r="DN80" s="3811"/>
      <c r="DO80" s="3812"/>
      <c r="DP80" s="3813"/>
      <c r="DQ80" s="3814"/>
      <c r="DR80" s="3815"/>
      <c r="DS80" s="3816"/>
      <c r="DT80" s="3817"/>
      <c r="DU80" s="3818"/>
      <c r="DV80" s="3819"/>
      <c r="DW80" s="3820"/>
      <c r="DX80" s="3821"/>
      <c r="DY80" s="3822"/>
      <c r="DZ80" s="3823"/>
      <c r="EA80" s="3824"/>
      <c r="EB80" s="3825"/>
      <c r="EC80" s="3826"/>
      <c r="ED80" s="3827"/>
      <c r="EE80" s="3828"/>
      <c r="EF80" s="3829"/>
      <c r="EG80" s="3830"/>
      <c r="EH80" s="3831"/>
      <c r="EI80" s="3832"/>
      <c r="EJ80" s="3833"/>
      <c r="EK80" s="3834"/>
      <c r="EL80" s="3835"/>
      <c r="EM80" s="3836"/>
      <c r="EN80" s="3837"/>
      <c r="EO80" s="3838"/>
      <c r="EP80" s="3839"/>
      <c r="EQ80" s="3840"/>
      <c r="ER80" s="3841"/>
      <c r="ES80" s="3842"/>
      <c r="ET80" s="3843"/>
      <c r="EU80" s="3844"/>
      <c r="EV80" s="3845"/>
      <c r="EW80" s="3846"/>
      <c r="EX80" s="3847"/>
      <c r="EY80" s="3848"/>
      <c r="EZ80" s="3849"/>
      <c r="FA80" s="3850"/>
      <c r="FB80" s="3851"/>
      <c r="FC80" s="3852"/>
      <c r="FD80" s="3853"/>
      <c r="FE80" s="3854"/>
      <c r="FF80" s="3855"/>
      <c r="FG80" s="3856"/>
      <c r="FH80" s="3857"/>
      <c r="FI80" s="3858"/>
      <c r="FJ80" s="3859"/>
      <c r="FK80" s="3860"/>
      <c r="FL80" s="3861"/>
      <c r="FM80" s="3862"/>
      <c r="FN80" s="3863"/>
      <c r="FO80" s="3864"/>
      <c r="FP80" s="3865"/>
      <c r="FQ80" s="3866"/>
      <c r="FR80" s="3867"/>
      <c r="FS80" s="3868"/>
      <c r="FT80" s="3869"/>
      <c r="FU80" s="3870"/>
      <c r="FV80" s="3871"/>
      <c r="FW80" s="3872"/>
      <c r="FX80" s="3873"/>
      <c r="FY80" s="3874"/>
      <c r="FZ80" s="3875"/>
      <c r="GA80" s="3876"/>
      <c r="GB80" s="3877"/>
      <c r="GC80" s="3878"/>
      <c r="GD80" s="3879"/>
      <c r="GE80" s="3880"/>
      <c r="GF80" s="3881"/>
      <c r="GG80" s="3882"/>
      <c r="GH80" s="3883"/>
      <c r="GI80" s="3884"/>
      <c r="GJ80" s="2524"/>
      <c r="GK80" s="2994"/>
      <c r="GL80" s="2994" t="str">
        <f t="shared" si="1"/>
        <v>Добавить группу потребителей</v>
      </c>
      <c r="GM80" s="2994"/>
      <c r="GN80" s="2994"/>
      <c r="GO80" s="2055">
        <v>0</v>
      </c>
    </row>
    <row r="81" spans="1:197" s="4194" customFormat="1" ht="14.25" customHeight="1">
      <c r="A81" s="2984"/>
      <c r="B81" s="2984"/>
      <c r="C81" s="2984"/>
      <c r="D81" s="2984"/>
      <c r="E81" s="4413" t="s">
        <v>114</v>
      </c>
      <c r="F81" s="4413"/>
      <c r="G81" s="4413"/>
      <c r="H81" s="4412"/>
      <c r="I81" s="2984"/>
      <c r="J81" s="2984"/>
      <c r="K81" s="2984"/>
      <c r="L81" s="2985"/>
      <c r="M81" s="2986"/>
      <c r="N81" s="2986"/>
      <c r="O81" s="2518"/>
      <c r="P81" s="2988"/>
      <c r="Q81" s="3355"/>
      <c r="R81" s="2989"/>
      <c r="S81" s="3885"/>
      <c r="T81" s="3886" t="s">
        <v>434</v>
      </c>
      <c r="U81" s="3887"/>
      <c r="V81" s="3888"/>
      <c r="W81" s="3889"/>
      <c r="X81" s="3890"/>
      <c r="Y81" s="3891"/>
      <c r="Z81" s="3892"/>
      <c r="AA81" s="3893"/>
      <c r="AB81" s="3894"/>
      <c r="AC81" s="3895"/>
      <c r="AD81" s="3896"/>
      <c r="AE81" s="3897"/>
      <c r="AF81" s="3898"/>
      <c r="AG81" s="3899"/>
      <c r="AH81" s="3900"/>
      <c r="AI81" s="3901"/>
      <c r="AJ81" s="3902"/>
      <c r="AK81" s="3903"/>
      <c r="AL81" s="3904"/>
      <c r="AM81" s="3905"/>
      <c r="AN81" s="3906"/>
      <c r="AO81" s="3907"/>
      <c r="AP81" s="3908"/>
      <c r="AQ81" s="3909"/>
      <c r="AR81" s="3910"/>
      <c r="AS81" s="3911"/>
      <c r="AT81" s="3912"/>
      <c r="AU81" s="3913"/>
      <c r="AV81" s="3914"/>
      <c r="AW81" s="3915"/>
      <c r="AX81" s="3916"/>
      <c r="AY81" s="3917"/>
      <c r="AZ81" s="3918"/>
      <c r="BA81" s="3919"/>
      <c r="BB81" s="3920"/>
      <c r="BC81" s="3921"/>
      <c r="BD81" s="3922"/>
      <c r="BE81" s="3923"/>
      <c r="BF81" s="3924"/>
      <c r="BG81" s="3925"/>
      <c r="BH81" s="3926"/>
      <c r="BI81" s="3927"/>
      <c r="BJ81" s="3928"/>
      <c r="BK81" s="3929"/>
      <c r="BL81" s="3930"/>
      <c r="BM81" s="3931"/>
      <c r="BN81" s="3932"/>
      <c r="BO81" s="3933"/>
      <c r="BP81" s="3934"/>
      <c r="BQ81" s="3935"/>
      <c r="BR81" s="3936"/>
      <c r="BS81" s="3937"/>
      <c r="BT81" s="3938"/>
      <c r="BU81" s="3939"/>
      <c r="BV81" s="3940"/>
      <c r="BW81" s="3941"/>
      <c r="BX81" s="3942"/>
      <c r="BY81" s="3943"/>
      <c r="BZ81" s="3944"/>
      <c r="CA81" s="3945"/>
      <c r="CB81" s="3946"/>
      <c r="CC81" s="3947"/>
      <c r="CD81" s="3948"/>
      <c r="CE81" s="3949"/>
      <c r="CF81" s="3950"/>
      <c r="CG81" s="3951"/>
      <c r="CH81" s="3952"/>
      <c r="CI81" s="3953"/>
      <c r="CJ81" s="3954"/>
      <c r="CK81" s="3955"/>
      <c r="CL81" s="3956"/>
      <c r="CM81" s="3957"/>
      <c r="CN81" s="3958"/>
      <c r="CO81" s="3959"/>
      <c r="CP81" s="3960"/>
      <c r="CQ81" s="3961"/>
      <c r="CR81" s="3962"/>
      <c r="CS81" s="3963"/>
      <c r="CT81" s="3964"/>
      <c r="CU81" s="3965"/>
      <c r="CV81" s="3966"/>
      <c r="CW81" s="3967"/>
      <c r="CX81" s="3968"/>
      <c r="CY81" s="3969"/>
      <c r="CZ81" s="3970"/>
      <c r="DA81" s="3971"/>
      <c r="DB81" s="3972"/>
      <c r="DC81" s="3973"/>
      <c r="DD81" s="3974"/>
      <c r="DE81" s="3975"/>
      <c r="DF81" s="3976"/>
      <c r="DG81" s="3977"/>
      <c r="DH81" s="3978"/>
      <c r="DI81" s="3979"/>
      <c r="DJ81" s="3980"/>
      <c r="DK81" s="3981"/>
      <c r="DL81" s="3982"/>
      <c r="DM81" s="3983"/>
      <c r="DN81" s="3984"/>
      <c r="DO81" s="3985"/>
      <c r="DP81" s="3986"/>
      <c r="DQ81" s="3987"/>
      <c r="DR81" s="3988"/>
      <c r="DS81" s="3989"/>
      <c r="DT81" s="3990"/>
      <c r="DU81" s="3991"/>
      <c r="DV81" s="3992"/>
      <c r="DW81" s="3993"/>
      <c r="DX81" s="3994"/>
      <c r="DY81" s="3995"/>
      <c r="DZ81" s="3996"/>
      <c r="EA81" s="3997"/>
      <c r="EB81" s="3998"/>
      <c r="EC81" s="3999"/>
      <c r="ED81" s="4000"/>
      <c r="EE81" s="4001"/>
      <c r="EF81" s="4002"/>
      <c r="EG81" s="4003"/>
      <c r="EH81" s="4004"/>
      <c r="EI81" s="4005"/>
      <c r="EJ81" s="4006"/>
      <c r="EK81" s="4007"/>
      <c r="EL81" s="4008"/>
      <c r="EM81" s="4009"/>
      <c r="EN81" s="4010"/>
      <c r="EO81" s="4011"/>
      <c r="EP81" s="4012"/>
      <c r="EQ81" s="4013"/>
      <c r="ER81" s="4014"/>
      <c r="ES81" s="4015"/>
      <c r="ET81" s="4016"/>
      <c r="EU81" s="4017"/>
      <c r="EV81" s="4018"/>
      <c r="EW81" s="4019"/>
      <c r="EX81" s="4020"/>
      <c r="EY81" s="4021"/>
      <c r="EZ81" s="4022"/>
      <c r="FA81" s="4023"/>
      <c r="FB81" s="4024"/>
      <c r="FC81" s="4025"/>
      <c r="FD81" s="4026"/>
      <c r="FE81" s="4027"/>
      <c r="FF81" s="4028"/>
      <c r="FG81" s="4029"/>
      <c r="FH81" s="4030"/>
      <c r="FI81" s="4031"/>
      <c r="FJ81" s="4032"/>
      <c r="FK81" s="4033"/>
      <c r="FL81" s="4034"/>
      <c r="FM81" s="4035"/>
      <c r="FN81" s="4036"/>
      <c r="FO81" s="4037"/>
      <c r="FP81" s="4038"/>
      <c r="FQ81" s="4039"/>
      <c r="FR81" s="4040"/>
      <c r="FS81" s="4041"/>
      <c r="FT81" s="4042"/>
      <c r="FU81" s="4043"/>
      <c r="FV81" s="4044"/>
      <c r="FW81" s="4045"/>
      <c r="FX81" s="4046"/>
      <c r="FY81" s="4047"/>
      <c r="FZ81" s="4048"/>
      <c r="GA81" s="4049"/>
      <c r="GB81" s="4050"/>
      <c r="GC81" s="4051"/>
      <c r="GD81" s="4052"/>
      <c r="GE81" s="4053"/>
      <c r="GF81" s="4054"/>
      <c r="GG81" s="4055"/>
      <c r="GH81" s="4056"/>
      <c r="GI81" s="4057"/>
      <c r="GJ81" s="2524"/>
      <c r="GK81" s="2994"/>
      <c r="GL81" s="2994" t="str">
        <f t="shared" si="1"/>
        <v>Добавить схему подключения</v>
      </c>
      <c r="GM81" s="2994"/>
      <c r="GN81" s="2994"/>
      <c r="GO81" s="2055">
        <v>0</v>
      </c>
    </row>
    <row r="82" spans="1:197" s="4195" customFormat="1" ht="0.75" customHeight="1">
      <c r="A82" s="3529"/>
      <c r="B82" s="3529"/>
      <c r="C82" s="3529"/>
      <c r="D82" s="3529"/>
      <c r="E82" s="4413" t="s">
        <v>114</v>
      </c>
      <c r="F82" s="4413"/>
      <c r="G82" s="4412"/>
      <c r="H82" s="3529"/>
      <c r="I82" s="3529"/>
      <c r="J82" s="3529"/>
      <c r="K82" s="3529"/>
      <c r="L82" s="3530"/>
      <c r="M82" s="3531"/>
      <c r="N82" s="3531"/>
      <c r="O82" s="2524"/>
      <c r="P82" s="3532"/>
      <c r="Q82" s="3533"/>
      <c r="R82" s="3532"/>
      <c r="S82" s="3534"/>
      <c r="T82" s="3535" t="s">
        <v>172</v>
      </c>
      <c r="U82" s="2516"/>
      <c r="V82" s="2516"/>
      <c r="W82" s="2516"/>
      <c r="X82" s="2516"/>
      <c r="Y82" s="2516"/>
      <c r="Z82" s="2516"/>
      <c r="AA82" s="2516"/>
      <c r="AB82" s="2516"/>
      <c r="AC82" s="2516"/>
      <c r="AD82" s="2516"/>
      <c r="AE82" s="2516"/>
      <c r="AF82" s="2516"/>
      <c r="AG82" s="2516"/>
      <c r="AH82" s="2516"/>
      <c r="AI82" s="2516"/>
      <c r="AJ82" s="2516"/>
      <c r="AK82" s="2516"/>
      <c r="AL82" s="2516"/>
      <c r="AM82" s="2516"/>
      <c r="AN82" s="2516"/>
      <c r="AO82" s="2516"/>
      <c r="AP82" s="2516"/>
      <c r="AQ82" s="2516"/>
      <c r="AR82" s="2516"/>
      <c r="AS82" s="2516"/>
      <c r="AT82" s="2516"/>
      <c r="AU82" s="2516"/>
      <c r="AV82" s="2516"/>
      <c r="AW82" s="2516"/>
      <c r="AX82" s="2516"/>
      <c r="AY82" s="2516"/>
      <c r="AZ82" s="2516"/>
      <c r="BA82" s="2516"/>
      <c r="BB82" s="2516"/>
      <c r="BC82" s="2516"/>
      <c r="BD82" s="2516"/>
      <c r="BE82" s="2516"/>
      <c r="BF82" s="2516"/>
      <c r="BG82" s="2516"/>
      <c r="BH82" s="2516"/>
      <c r="BI82" s="2516"/>
      <c r="BJ82" s="2516"/>
      <c r="BK82" s="2516"/>
      <c r="BL82" s="2516"/>
      <c r="BM82" s="2516"/>
      <c r="BN82" s="2516"/>
      <c r="BO82" s="2516"/>
      <c r="BP82" s="2516"/>
      <c r="BQ82" s="2516"/>
      <c r="BR82" s="2516"/>
      <c r="BS82" s="2516"/>
      <c r="BT82" s="2516"/>
      <c r="BU82" s="2516"/>
      <c r="BV82" s="2516"/>
      <c r="BW82" s="2516"/>
      <c r="BX82" s="2516"/>
      <c r="BY82" s="2516"/>
      <c r="BZ82" s="2516"/>
      <c r="CA82" s="2516"/>
      <c r="CB82" s="2516"/>
      <c r="CC82" s="2516"/>
      <c r="CD82" s="2516"/>
      <c r="CE82" s="2516"/>
      <c r="CF82" s="2516"/>
      <c r="CG82" s="2516"/>
      <c r="CH82" s="2516"/>
      <c r="CI82" s="2516"/>
      <c r="CJ82" s="2516"/>
      <c r="CK82" s="2516"/>
      <c r="CL82" s="2516"/>
      <c r="CM82" s="2516"/>
      <c r="CN82" s="2516"/>
      <c r="CO82" s="2516"/>
      <c r="CP82" s="2516"/>
      <c r="CQ82" s="2516"/>
      <c r="CR82" s="2516"/>
      <c r="CS82" s="2516"/>
      <c r="CT82" s="2516"/>
      <c r="CU82" s="2516"/>
      <c r="CV82" s="2516"/>
      <c r="CW82" s="2516"/>
      <c r="CX82" s="2516"/>
      <c r="CY82" s="2516"/>
      <c r="CZ82" s="2516"/>
      <c r="DA82" s="2516"/>
      <c r="DB82" s="2516"/>
      <c r="DC82" s="2516"/>
      <c r="DD82" s="2516"/>
      <c r="DE82" s="2516"/>
      <c r="DF82" s="2516"/>
      <c r="DG82" s="2516"/>
      <c r="DH82" s="2516"/>
      <c r="DI82" s="2516"/>
      <c r="DJ82" s="2516"/>
      <c r="DK82" s="2516"/>
      <c r="DL82" s="2516"/>
      <c r="DM82" s="2516"/>
      <c r="DN82" s="2516"/>
      <c r="DO82" s="2516"/>
      <c r="DP82" s="2516"/>
      <c r="DQ82" s="2516"/>
      <c r="DR82" s="2516"/>
      <c r="DS82" s="2516"/>
      <c r="DT82" s="2516"/>
      <c r="DU82" s="2516"/>
      <c r="DV82" s="2516"/>
      <c r="DW82" s="2516"/>
      <c r="DX82" s="2516"/>
      <c r="DY82" s="2516"/>
      <c r="DZ82" s="2516"/>
      <c r="EA82" s="2516"/>
      <c r="EB82" s="2516"/>
      <c r="EC82" s="2516"/>
      <c r="ED82" s="2516"/>
      <c r="EE82" s="2516"/>
      <c r="EF82" s="2516"/>
      <c r="EG82" s="2516"/>
      <c r="EH82" s="2516"/>
      <c r="EI82" s="2516"/>
      <c r="EJ82" s="2516"/>
      <c r="EK82" s="2516"/>
      <c r="EL82" s="2516"/>
      <c r="EM82" s="2516"/>
      <c r="EN82" s="2516"/>
      <c r="EO82" s="2516"/>
      <c r="EP82" s="2516"/>
      <c r="EQ82" s="2516"/>
      <c r="ER82" s="2516"/>
      <c r="ES82" s="2516"/>
      <c r="ET82" s="2516"/>
      <c r="EU82" s="2516"/>
      <c r="EV82" s="2516"/>
      <c r="EW82" s="2516"/>
      <c r="EX82" s="2516"/>
      <c r="EY82" s="2516"/>
      <c r="EZ82" s="2516"/>
      <c r="FA82" s="2516"/>
      <c r="FB82" s="2516"/>
      <c r="FC82" s="2516"/>
      <c r="FD82" s="2516"/>
      <c r="FE82" s="2516"/>
      <c r="FF82" s="2516"/>
      <c r="FG82" s="2516"/>
      <c r="FH82" s="2516"/>
      <c r="FI82" s="2516"/>
      <c r="FJ82" s="2516"/>
      <c r="FK82" s="2516"/>
      <c r="FL82" s="2516"/>
      <c r="FM82" s="2516"/>
      <c r="FN82" s="2516"/>
      <c r="FO82" s="2516"/>
      <c r="FP82" s="2516"/>
      <c r="FQ82" s="2516"/>
      <c r="FR82" s="2516"/>
      <c r="FS82" s="2516"/>
      <c r="FT82" s="2516"/>
      <c r="FU82" s="2516"/>
      <c r="FV82" s="2516"/>
      <c r="FW82" s="2516"/>
      <c r="FX82" s="2516"/>
      <c r="FY82" s="2516"/>
      <c r="FZ82" s="2516"/>
      <c r="GA82" s="2516"/>
      <c r="GB82" s="2516"/>
      <c r="GC82" s="2516"/>
      <c r="GD82" s="2516"/>
      <c r="GE82" s="2516"/>
      <c r="GF82" s="2516"/>
      <c r="GG82" s="2516"/>
      <c r="GH82" s="2516"/>
      <c r="GI82" s="2516"/>
      <c r="GJ82" s="2524"/>
      <c r="GK82" s="2994"/>
      <c r="GL82" s="2994" t="str">
        <f t="shared" si="1"/>
        <v>Добавить источник для дифференциации</v>
      </c>
      <c r="GM82" s="2994"/>
      <c r="GN82" s="2994"/>
      <c r="GO82" s="2524">
        <v>0</v>
      </c>
    </row>
    <row r="83" spans="1:197" s="4196" customFormat="1" ht="0.75" customHeight="1">
      <c r="A83" s="3529"/>
      <c r="B83" s="3529"/>
      <c r="C83" s="3529"/>
      <c r="D83" s="3529"/>
      <c r="E83" s="4413" t="s">
        <v>114</v>
      </c>
      <c r="F83" s="4412"/>
      <c r="G83" s="3529"/>
      <c r="H83" s="3529"/>
      <c r="I83" s="3529"/>
      <c r="J83" s="3529"/>
      <c r="K83" s="3529"/>
      <c r="L83" s="3530"/>
      <c r="M83" s="3536"/>
      <c r="N83" s="3536"/>
      <c r="O83" s="2524"/>
      <c r="P83" s="3532"/>
      <c r="Q83" s="3533"/>
      <c r="R83" s="3532"/>
      <c r="S83" s="3537"/>
      <c r="T83" s="3538" t="s">
        <v>173</v>
      </c>
      <c r="U83" s="2517"/>
      <c r="V83" s="2517"/>
      <c r="W83" s="2517"/>
      <c r="X83" s="2517"/>
      <c r="Y83" s="2517"/>
      <c r="Z83" s="2517"/>
      <c r="AA83" s="2517"/>
      <c r="AB83" s="2517"/>
      <c r="AC83" s="2517"/>
      <c r="AD83" s="2517"/>
      <c r="AE83" s="2517"/>
      <c r="AF83" s="2517"/>
      <c r="AG83" s="2517"/>
      <c r="AH83" s="2517"/>
      <c r="AI83" s="2517"/>
      <c r="AJ83" s="2517"/>
      <c r="AK83" s="2517"/>
      <c r="AL83" s="2517"/>
      <c r="AM83" s="2517"/>
      <c r="AN83" s="2517"/>
      <c r="AO83" s="2517"/>
      <c r="AP83" s="2517"/>
      <c r="AQ83" s="2517"/>
      <c r="AR83" s="2517"/>
      <c r="AS83" s="2517"/>
      <c r="AT83" s="2517"/>
      <c r="AU83" s="2517"/>
      <c r="AV83" s="2517"/>
      <c r="AW83" s="2517"/>
      <c r="AX83" s="2517"/>
      <c r="AY83" s="2517"/>
      <c r="AZ83" s="2517"/>
      <c r="BA83" s="2517"/>
      <c r="BB83" s="2517"/>
      <c r="BC83" s="2517"/>
      <c r="BD83" s="2517"/>
      <c r="BE83" s="2517"/>
      <c r="BF83" s="2517"/>
      <c r="BG83" s="2517"/>
      <c r="BH83" s="2517"/>
      <c r="BI83" s="2517"/>
      <c r="BJ83" s="2517"/>
      <c r="BK83" s="2517"/>
      <c r="BL83" s="2517"/>
      <c r="BM83" s="2517"/>
      <c r="BN83" s="2517"/>
      <c r="BO83" s="2517"/>
      <c r="BP83" s="2517"/>
      <c r="BQ83" s="2517"/>
      <c r="BR83" s="2517"/>
      <c r="BS83" s="2517"/>
      <c r="BT83" s="2517"/>
      <c r="BU83" s="2517"/>
      <c r="BV83" s="2517"/>
      <c r="BW83" s="2517"/>
      <c r="BX83" s="2517"/>
      <c r="BY83" s="2517"/>
      <c r="BZ83" s="2517"/>
      <c r="CA83" s="2517"/>
      <c r="CB83" s="2517"/>
      <c r="CC83" s="2517"/>
      <c r="CD83" s="2517"/>
      <c r="CE83" s="2517"/>
      <c r="CF83" s="2517"/>
      <c r="CG83" s="2517"/>
      <c r="CH83" s="2517"/>
      <c r="CI83" s="2517"/>
      <c r="CJ83" s="2517"/>
      <c r="CK83" s="2517"/>
      <c r="CL83" s="2517"/>
      <c r="CM83" s="2517"/>
      <c r="CN83" s="2517"/>
      <c r="CO83" s="2517"/>
      <c r="CP83" s="2517"/>
      <c r="CQ83" s="2517"/>
      <c r="CR83" s="2517"/>
      <c r="CS83" s="2517"/>
      <c r="CT83" s="2517"/>
      <c r="CU83" s="2517"/>
      <c r="CV83" s="2517"/>
      <c r="CW83" s="2517"/>
      <c r="CX83" s="2517"/>
      <c r="CY83" s="2517"/>
      <c r="CZ83" s="2517"/>
      <c r="DA83" s="2517"/>
      <c r="DB83" s="2517"/>
      <c r="DC83" s="2517"/>
      <c r="DD83" s="2517"/>
      <c r="DE83" s="2517"/>
      <c r="DF83" s="2517"/>
      <c r="DG83" s="2517"/>
      <c r="DH83" s="2517"/>
      <c r="DI83" s="2517"/>
      <c r="DJ83" s="2517"/>
      <c r="DK83" s="2517"/>
      <c r="DL83" s="2517"/>
      <c r="DM83" s="2517"/>
      <c r="DN83" s="2517"/>
      <c r="DO83" s="2517"/>
      <c r="DP83" s="2517"/>
      <c r="DQ83" s="2517"/>
      <c r="DR83" s="2517"/>
      <c r="DS83" s="2517"/>
      <c r="DT83" s="2517"/>
      <c r="DU83" s="2517"/>
      <c r="DV83" s="2517"/>
      <c r="DW83" s="2517"/>
      <c r="DX83" s="2517"/>
      <c r="DY83" s="2517"/>
      <c r="DZ83" s="2517"/>
      <c r="EA83" s="2517"/>
      <c r="EB83" s="2517"/>
      <c r="EC83" s="2517"/>
      <c r="ED83" s="2517"/>
      <c r="EE83" s="2517"/>
      <c r="EF83" s="2517"/>
      <c r="EG83" s="2517"/>
      <c r="EH83" s="2517"/>
      <c r="EI83" s="2517"/>
      <c r="EJ83" s="2517"/>
      <c r="EK83" s="2517"/>
      <c r="EL83" s="2517"/>
      <c r="EM83" s="2517"/>
      <c r="EN83" s="2517"/>
      <c r="EO83" s="2517"/>
      <c r="EP83" s="2517"/>
      <c r="EQ83" s="2517"/>
      <c r="ER83" s="2517"/>
      <c r="ES83" s="2517"/>
      <c r="ET83" s="2517"/>
      <c r="EU83" s="2517"/>
      <c r="EV83" s="2517"/>
      <c r="EW83" s="2517"/>
      <c r="EX83" s="2517"/>
      <c r="EY83" s="2517"/>
      <c r="EZ83" s="2517"/>
      <c r="FA83" s="2517"/>
      <c r="FB83" s="2517"/>
      <c r="FC83" s="2517"/>
      <c r="FD83" s="2517"/>
      <c r="FE83" s="2517"/>
      <c r="FF83" s="2517"/>
      <c r="FG83" s="2517"/>
      <c r="FH83" s="2517"/>
      <c r="FI83" s="2517"/>
      <c r="FJ83" s="2517"/>
      <c r="FK83" s="2517"/>
      <c r="FL83" s="2517"/>
      <c r="FM83" s="2517"/>
      <c r="FN83" s="2517"/>
      <c r="FO83" s="2517"/>
      <c r="FP83" s="2517"/>
      <c r="FQ83" s="2517"/>
      <c r="FR83" s="2517"/>
      <c r="FS83" s="2517"/>
      <c r="FT83" s="2517"/>
      <c r="FU83" s="2517"/>
      <c r="FV83" s="2517"/>
      <c r="FW83" s="2517"/>
      <c r="FX83" s="2517"/>
      <c r="FY83" s="2517"/>
      <c r="FZ83" s="2517"/>
      <c r="GA83" s="2517"/>
      <c r="GB83" s="2517"/>
      <c r="GC83" s="2517"/>
      <c r="GD83" s="2517"/>
      <c r="GE83" s="2517"/>
      <c r="GF83" s="2517"/>
      <c r="GG83" s="2517"/>
      <c r="GH83" s="2517"/>
      <c r="GI83" s="2517"/>
      <c r="GJ83" s="2524"/>
      <c r="GK83" s="2994"/>
      <c r="GL83" s="2994" t="str">
        <f t="shared" si="1"/>
        <v>Добавить централизованную систему для дифференциации</v>
      </c>
      <c r="GM83" s="2994"/>
      <c r="GN83" s="2994"/>
      <c r="GO83" s="2524">
        <v>0</v>
      </c>
    </row>
    <row r="84" spans="1:197" s="4197" customFormat="1" ht="0.75" customHeight="1">
      <c r="A84" s="3529"/>
      <c r="B84" s="3529"/>
      <c r="C84" s="3529"/>
      <c r="D84" s="3529"/>
      <c r="E84" s="4412" t="s">
        <v>114</v>
      </c>
      <c r="F84" s="3529"/>
      <c r="G84" s="3529"/>
      <c r="H84" s="3529"/>
      <c r="I84" s="3529"/>
      <c r="J84" s="3529"/>
      <c r="K84" s="3529"/>
      <c r="L84" s="3530"/>
      <c r="M84" s="3536"/>
      <c r="N84" s="3536"/>
      <c r="O84" s="2524"/>
      <c r="P84" s="3532"/>
      <c r="Q84" s="3533"/>
      <c r="R84" s="3532"/>
      <c r="S84" s="3537"/>
      <c r="T84" s="3539" t="s">
        <v>174</v>
      </c>
      <c r="U84" s="2517"/>
      <c r="V84" s="2517"/>
      <c r="W84" s="2517"/>
      <c r="X84" s="2517"/>
      <c r="Y84" s="2517"/>
      <c r="Z84" s="2517"/>
      <c r="AA84" s="2517"/>
      <c r="AB84" s="2517"/>
      <c r="AC84" s="2517"/>
      <c r="AD84" s="2517"/>
      <c r="AE84" s="2517"/>
      <c r="AF84" s="2517"/>
      <c r="AG84" s="2517"/>
      <c r="AH84" s="2517"/>
      <c r="AI84" s="2517"/>
      <c r="AJ84" s="2517"/>
      <c r="AK84" s="2517"/>
      <c r="AL84" s="2517"/>
      <c r="AM84" s="2517"/>
      <c r="AN84" s="2517"/>
      <c r="AO84" s="2517"/>
      <c r="AP84" s="2517"/>
      <c r="AQ84" s="2517"/>
      <c r="AR84" s="2517"/>
      <c r="AS84" s="2517"/>
      <c r="AT84" s="2517"/>
      <c r="AU84" s="2517"/>
      <c r="AV84" s="2517"/>
      <c r="AW84" s="2517"/>
      <c r="AX84" s="2517"/>
      <c r="AY84" s="2517"/>
      <c r="AZ84" s="2517"/>
      <c r="BA84" s="2517"/>
      <c r="BB84" s="2517"/>
      <c r="BC84" s="2517"/>
      <c r="BD84" s="2517"/>
      <c r="BE84" s="2517"/>
      <c r="BF84" s="2517"/>
      <c r="BG84" s="2517"/>
      <c r="BH84" s="2517"/>
      <c r="BI84" s="2517"/>
      <c r="BJ84" s="2517"/>
      <c r="BK84" s="2517"/>
      <c r="BL84" s="2517"/>
      <c r="BM84" s="2517"/>
      <c r="BN84" s="2517"/>
      <c r="BO84" s="2517"/>
      <c r="BP84" s="2517"/>
      <c r="BQ84" s="2517"/>
      <c r="BR84" s="2517"/>
      <c r="BS84" s="2517"/>
      <c r="BT84" s="2517"/>
      <c r="BU84" s="2517"/>
      <c r="BV84" s="2517"/>
      <c r="BW84" s="2517"/>
      <c r="BX84" s="2517"/>
      <c r="BY84" s="2517"/>
      <c r="BZ84" s="2517"/>
      <c r="CA84" s="2517"/>
      <c r="CB84" s="2517"/>
      <c r="CC84" s="2517"/>
      <c r="CD84" s="2517"/>
      <c r="CE84" s="2517"/>
      <c r="CF84" s="2517"/>
      <c r="CG84" s="2517"/>
      <c r="CH84" s="2517"/>
      <c r="CI84" s="2517"/>
      <c r="CJ84" s="2517"/>
      <c r="CK84" s="2517"/>
      <c r="CL84" s="2517"/>
      <c r="CM84" s="2517"/>
      <c r="CN84" s="2517"/>
      <c r="CO84" s="2517"/>
      <c r="CP84" s="2517"/>
      <c r="CQ84" s="2517"/>
      <c r="CR84" s="2517"/>
      <c r="CS84" s="2517"/>
      <c r="CT84" s="2517"/>
      <c r="CU84" s="2517"/>
      <c r="CV84" s="2517"/>
      <c r="CW84" s="2517"/>
      <c r="CX84" s="2517"/>
      <c r="CY84" s="2517"/>
      <c r="CZ84" s="2517"/>
      <c r="DA84" s="2517"/>
      <c r="DB84" s="2517"/>
      <c r="DC84" s="2517"/>
      <c r="DD84" s="2517"/>
      <c r="DE84" s="2517"/>
      <c r="DF84" s="2517"/>
      <c r="DG84" s="2517"/>
      <c r="DH84" s="2517"/>
      <c r="DI84" s="2517"/>
      <c r="DJ84" s="2517"/>
      <c r="DK84" s="2517"/>
      <c r="DL84" s="2517"/>
      <c r="DM84" s="2517"/>
      <c r="DN84" s="2517"/>
      <c r="DO84" s="2517"/>
      <c r="DP84" s="2517"/>
      <c r="DQ84" s="2517"/>
      <c r="DR84" s="2517"/>
      <c r="DS84" s="2517"/>
      <c r="DT84" s="2517"/>
      <c r="DU84" s="2517"/>
      <c r="DV84" s="2517"/>
      <c r="DW84" s="2517"/>
      <c r="DX84" s="2517"/>
      <c r="DY84" s="2517"/>
      <c r="DZ84" s="2517"/>
      <c r="EA84" s="2517"/>
      <c r="EB84" s="2517"/>
      <c r="EC84" s="2517"/>
      <c r="ED84" s="2517"/>
      <c r="EE84" s="2517"/>
      <c r="EF84" s="2517"/>
      <c r="EG84" s="2517"/>
      <c r="EH84" s="2517"/>
      <c r="EI84" s="2517"/>
      <c r="EJ84" s="2517"/>
      <c r="EK84" s="2517"/>
      <c r="EL84" s="2517"/>
      <c r="EM84" s="2517"/>
      <c r="EN84" s="2517"/>
      <c r="EO84" s="2517"/>
      <c r="EP84" s="2517"/>
      <c r="EQ84" s="2517"/>
      <c r="ER84" s="2517"/>
      <c r="ES84" s="2517"/>
      <c r="ET84" s="2517"/>
      <c r="EU84" s="2517"/>
      <c r="EV84" s="2517"/>
      <c r="EW84" s="2517"/>
      <c r="EX84" s="2517"/>
      <c r="EY84" s="2517"/>
      <c r="EZ84" s="2517"/>
      <c r="FA84" s="2517"/>
      <c r="FB84" s="2517"/>
      <c r="FC84" s="2517"/>
      <c r="FD84" s="2517"/>
      <c r="FE84" s="2517"/>
      <c r="FF84" s="2517"/>
      <c r="FG84" s="2517"/>
      <c r="FH84" s="2517"/>
      <c r="FI84" s="2517"/>
      <c r="FJ84" s="2517"/>
      <c r="FK84" s="2517"/>
      <c r="FL84" s="2517"/>
      <c r="FM84" s="2517"/>
      <c r="FN84" s="2517"/>
      <c r="FO84" s="2517"/>
      <c r="FP84" s="2517"/>
      <c r="FQ84" s="2517"/>
      <c r="FR84" s="2517"/>
      <c r="FS84" s="2517"/>
      <c r="FT84" s="2517"/>
      <c r="FU84" s="2517"/>
      <c r="FV84" s="2517"/>
      <c r="FW84" s="2517"/>
      <c r="FX84" s="2517"/>
      <c r="FY84" s="2517"/>
      <c r="FZ84" s="2517"/>
      <c r="GA84" s="2517"/>
      <c r="GB84" s="2517"/>
      <c r="GC84" s="2517"/>
      <c r="GD84" s="2517"/>
      <c r="GE84" s="2517"/>
      <c r="GF84" s="2517"/>
      <c r="GG84" s="2517"/>
      <c r="GH84" s="2517"/>
      <c r="GI84" s="2517"/>
      <c r="GJ84" s="2524"/>
      <c r="GK84" s="2994"/>
      <c r="GL84" s="2994" t="str">
        <f t="shared" si="1"/>
        <v>Добавить территорию для дифференциации</v>
      </c>
      <c r="GM84" s="2994"/>
      <c r="GN84" s="2994"/>
      <c r="GO84" s="2524">
        <v>0</v>
      </c>
    </row>
    <row r="85" spans="1:197" s="4140" customFormat="1" ht="1.1499999999999999" customHeight="1">
      <c r="A85" s="1232"/>
      <c r="B85" s="1232"/>
      <c r="C85" s="1232"/>
      <c r="D85" s="1232"/>
      <c r="E85" s="1261"/>
      <c r="F85" s="1232"/>
      <c r="G85" s="1232"/>
      <c r="H85" s="1232"/>
      <c r="I85" s="1232"/>
      <c r="J85" s="1232"/>
      <c r="K85" s="1232"/>
      <c r="L85" s="1257"/>
      <c r="M85" s="1239"/>
      <c r="N85" s="1239"/>
      <c r="P85" s="1234"/>
      <c r="Q85" s="1235"/>
      <c r="R85" s="1234"/>
      <c r="S85" s="1240"/>
      <c r="T85" s="1243" t="s">
        <v>188</v>
      </c>
      <c r="U85" s="1242"/>
      <c r="V85" s="1242"/>
      <c r="W85" s="1242"/>
      <c r="X85" s="1242"/>
      <c r="Y85" s="1242"/>
      <c r="Z85" s="1242"/>
      <c r="AA85" s="1242"/>
      <c r="AB85" s="1242"/>
      <c r="AC85" s="1242"/>
      <c r="AD85" s="1242"/>
      <c r="AE85" s="1242"/>
      <c r="AF85" s="1242"/>
      <c r="AG85" s="1242"/>
      <c r="AH85" s="1242"/>
      <c r="AI85" s="1242"/>
      <c r="AJ85" s="1242"/>
      <c r="AK85" s="1242"/>
      <c r="AL85" s="2517"/>
      <c r="AM85" s="2517"/>
      <c r="AN85" s="2517"/>
      <c r="AO85" s="2517"/>
      <c r="AP85" s="2517"/>
      <c r="AQ85" s="2517"/>
      <c r="AR85" s="2517"/>
      <c r="AS85" s="2517"/>
      <c r="AT85" s="2517"/>
      <c r="AU85" s="2517"/>
      <c r="AV85" s="2517"/>
      <c r="AW85" s="2517"/>
      <c r="AX85" s="2517"/>
      <c r="AY85" s="2517"/>
      <c r="AZ85" s="2517"/>
      <c r="BA85" s="2517"/>
      <c r="BB85" s="2517"/>
      <c r="BC85" s="2517"/>
      <c r="BD85" s="2517"/>
      <c r="BE85" s="2517"/>
      <c r="BF85" s="2517"/>
      <c r="BG85" s="2517"/>
      <c r="BH85" s="2517"/>
      <c r="BI85" s="2517"/>
      <c r="BJ85" s="2517"/>
      <c r="BK85" s="2517"/>
      <c r="BL85" s="2517"/>
      <c r="BM85" s="2517"/>
      <c r="BN85" s="2517"/>
      <c r="BO85" s="2517"/>
      <c r="BP85" s="2517"/>
      <c r="BQ85" s="2517"/>
      <c r="BR85" s="2517"/>
      <c r="BS85" s="2517"/>
      <c r="BT85" s="2517"/>
      <c r="BU85" s="2517"/>
      <c r="BV85" s="2517"/>
      <c r="BW85" s="2517"/>
      <c r="BX85" s="2517"/>
      <c r="BY85" s="2517"/>
      <c r="BZ85" s="2517"/>
      <c r="CA85" s="2517"/>
      <c r="CB85" s="2517"/>
      <c r="CC85" s="2517"/>
      <c r="CD85" s="2517"/>
      <c r="CE85" s="2517"/>
      <c r="CF85" s="2517"/>
      <c r="CG85" s="2517"/>
      <c r="CH85" s="2517"/>
      <c r="CI85" s="2517"/>
      <c r="CJ85" s="2517"/>
      <c r="CK85" s="2517"/>
      <c r="CL85" s="2517"/>
      <c r="CM85" s="2517"/>
      <c r="CN85" s="2517"/>
      <c r="CO85" s="2517"/>
      <c r="CP85" s="2517"/>
      <c r="CQ85" s="2517"/>
      <c r="CR85" s="2517"/>
      <c r="CS85" s="2517"/>
      <c r="CT85" s="2517"/>
      <c r="CU85" s="2517"/>
      <c r="CV85" s="2517"/>
      <c r="CW85" s="2517"/>
      <c r="CX85" s="2517"/>
      <c r="CY85" s="2517"/>
      <c r="CZ85" s="2517"/>
      <c r="DA85" s="2517"/>
      <c r="DB85" s="2517"/>
      <c r="DC85" s="2517"/>
      <c r="DD85" s="2517"/>
      <c r="DE85" s="2517"/>
      <c r="DF85" s="2517"/>
      <c r="DG85" s="2517"/>
      <c r="DH85" s="2517"/>
      <c r="DI85" s="2517"/>
      <c r="DJ85" s="2517"/>
      <c r="DK85" s="2517"/>
      <c r="DL85" s="2517"/>
      <c r="DM85" s="2517"/>
      <c r="DN85" s="2517"/>
      <c r="DO85" s="2517"/>
      <c r="DP85" s="2517"/>
      <c r="DQ85" s="2517"/>
      <c r="DR85" s="2517"/>
      <c r="DS85" s="2517"/>
      <c r="DT85" s="2517"/>
      <c r="DU85" s="2517"/>
      <c r="DV85" s="2517"/>
      <c r="DW85" s="2517"/>
      <c r="DX85" s="2517"/>
      <c r="DY85" s="2517"/>
      <c r="DZ85" s="2517"/>
      <c r="EA85" s="2517"/>
      <c r="EB85" s="2517"/>
      <c r="EC85" s="2517"/>
      <c r="ED85" s="2517"/>
      <c r="EE85" s="2517"/>
      <c r="EF85" s="2517"/>
      <c r="EG85" s="2517"/>
      <c r="EH85" s="2517"/>
      <c r="EI85" s="2517"/>
      <c r="EJ85" s="2517"/>
      <c r="EK85" s="2517"/>
      <c r="EL85" s="2517"/>
      <c r="EM85" s="2517"/>
      <c r="EN85" s="2517"/>
      <c r="EO85" s="2517"/>
      <c r="EP85" s="2517"/>
      <c r="EQ85" s="2517"/>
      <c r="ER85" s="2517"/>
      <c r="ES85" s="2517"/>
      <c r="ET85" s="2517"/>
      <c r="EU85" s="2517"/>
      <c r="EV85" s="2517"/>
      <c r="EW85" s="2517"/>
      <c r="EX85" s="2517"/>
      <c r="EY85" s="2517"/>
      <c r="EZ85" s="2517"/>
      <c r="FA85" s="2517"/>
      <c r="FB85" s="2517"/>
      <c r="FC85" s="2517"/>
      <c r="FD85" s="2517"/>
      <c r="FE85" s="2517"/>
      <c r="FF85" s="2517"/>
      <c r="FG85" s="2517"/>
      <c r="FH85" s="2517"/>
      <c r="FI85" s="2517"/>
      <c r="FJ85" s="2517"/>
      <c r="FK85" s="2517"/>
      <c r="FL85" s="2517"/>
      <c r="FM85" s="2517"/>
      <c r="FN85" s="2517"/>
      <c r="FO85" s="2517"/>
      <c r="FP85" s="2517"/>
      <c r="FQ85" s="2517"/>
      <c r="FR85" s="2517"/>
      <c r="FS85" s="2517"/>
      <c r="FT85" s="2517"/>
      <c r="FU85" s="2517"/>
      <c r="FV85" s="2517"/>
      <c r="FW85" s="2517"/>
      <c r="FX85" s="2517"/>
      <c r="FY85" s="2517"/>
      <c r="FZ85" s="2517"/>
      <c r="GA85" s="2517"/>
      <c r="GB85" s="2517"/>
      <c r="GC85" s="2517"/>
      <c r="GD85" s="2517"/>
      <c r="GE85" s="2517"/>
      <c r="GF85" s="2517"/>
      <c r="GG85" s="2517"/>
      <c r="GH85" s="1242"/>
      <c r="GI85" s="1242"/>
      <c r="GK85" s="718"/>
      <c r="GL85" s="718" t="str">
        <f t="shared" si="1"/>
        <v>Добавить наименование тарифа</v>
      </c>
      <c r="GM85" s="718"/>
      <c r="GN85" s="718"/>
      <c r="GO85" s="453">
        <v>1</v>
      </c>
    </row>
    <row r="86" spans="1:197" ht="11.45" customHeight="1">
      <c r="M86" s="1078"/>
      <c r="N86" s="1078"/>
      <c r="O86" s="472"/>
      <c r="P86" s="1073"/>
      <c r="Q86" s="1073"/>
      <c r="R86" s="1073"/>
      <c r="S86" s="1073"/>
      <c r="AL86" s="2055"/>
      <c r="AM86" s="2055"/>
      <c r="AN86" s="2055"/>
      <c r="AO86" s="2055"/>
      <c r="AP86" s="2055"/>
      <c r="AQ86" s="2055"/>
      <c r="AR86" s="2055"/>
      <c r="AS86" s="2055"/>
      <c r="AT86" s="2055"/>
      <c r="AU86" s="2055"/>
      <c r="AV86" s="2055"/>
      <c r="AW86" s="2055"/>
      <c r="AX86" s="2055"/>
      <c r="AY86" s="2055"/>
      <c r="AZ86" s="2055"/>
      <c r="BA86" s="2055"/>
      <c r="BB86" s="2055"/>
      <c r="BC86" s="2055"/>
      <c r="BD86" s="2055"/>
      <c r="BE86" s="2055"/>
      <c r="BF86" s="2055"/>
      <c r="BG86" s="2055"/>
      <c r="BH86" s="2055"/>
      <c r="BI86" s="2055"/>
      <c r="BJ86" s="2055"/>
      <c r="BK86" s="2055"/>
      <c r="BL86" s="2055"/>
      <c r="BM86" s="2055"/>
      <c r="BN86" s="2055"/>
      <c r="BO86" s="2055"/>
      <c r="BP86" s="2055"/>
      <c r="BQ86" s="2055"/>
      <c r="BR86" s="2055"/>
      <c r="BS86" s="2055"/>
      <c r="BT86" s="2055"/>
      <c r="BU86" s="2055"/>
      <c r="BV86" s="2055"/>
      <c r="BW86" s="2055"/>
      <c r="BX86" s="2055"/>
      <c r="BY86" s="2055"/>
      <c r="BZ86" s="2055"/>
      <c r="CA86" s="2055"/>
      <c r="CB86" s="2055"/>
      <c r="CC86" s="2055"/>
      <c r="CD86" s="2055"/>
      <c r="CE86" s="2055"/>
      <c r="CF86" s="2055"/>
      <c r="CG86" s="2055"/>
      <c r="CH86" s="2055"/>
      <c r="CI86" s="2055"/>
      <c r="CJ86" s="2055"/>
      <c r="CK86" s="2055"/>
      <c r="CL86" s="2055"/>
      <c r="CM86" s="2055"/>
      <c r="CN86" s="2055"/>
      <c r="CO86" s="2055"/>
      <c r="CP86" s="2055"/>
      <c r="CQ86" s="2055"/>
      <c r="CR86" s="2055"/>
      <c r="CS86" s="2055"/>
      <c r="CT86" s="2055"/>
      <c r="CU86" s="2055"/>
      <c r="CV86" s="2055"/>
      <c r="CW86" s="2055"/>
      <c r="CX86" s="2055"/>
      <c r="CY86" s="2055"/>
      <c r="CZ86" s="2055"/>
      <c r="DA86" s="2055"/>
      <c r="DB86" s="2055"/>
      <c r="DC86" s="2055"/>
      <c r="DD86" s="2055"/>
      <c r="DE86" s="2055"/>
      <c r="DF86" s="2055"/>
      <c r="DG86" s="2055"/>
      <c r="DH86" s="2055"/>
      <c r="DI86" s="2055"/>
      <c r="DJ86" s="2055"/>
      <c r="DK86" s="2055"/>
      <c r="DL86" s="2055"/>
      <c r="DM86" s="2055"/>
      <c r="DN86" s="2055"/>
      <c r="DO86" s="2055"/>
      <c r="DP86" s="2055"/>
      <c r="DQ86" s="2055"/>
      <c r="DR86" s="2055"/>
      <c r="DS86" s="2055"/>
      <c r="DT86" s="2055"/>
      <c r="DU86" s="2055"/>
      <c r="DV86" s="2055"/>
      <c r="DW86" s="2055"/>
      <c r="DX86" s="2055"/>
      <c r="DY86" s="2055"/>
      <c r="DZ86" s="2055"/>
      <c r="EA86" s="2055"/>
      <c r="EB86" s="2055"/>
      <c r="EC86" s="2055"/>
      <c r="ED86" s="2055"/>
      <c r="EE86" s="2055"/>
      <c r="EF86" s="2055"/>
      <c r="EG86" s="2055"/>
      <c r="EH86" s="2055"/>
      <c r="EI86" s="2055"/>
      <c r="EJ86" s="2055"/>
      <c r="EK86" s="2055"/>
      <c r="EL86" s="2055"/>
      <c r="EM86" s="2055"/>
      <c r="EN86" s="2055"/>
      <c r="EO86" s="2055"/>
      <c r="EP86" s="2055"/>
      <c r="EQ86" s="2055"/>
      <c r="ER86" s="2055"/>
      <c r="ES86" s="2055"/>
      <c r="ET86" s="2055"/>
      <c r="EU86" s="2055"/>
      <c r="EV86" s="2055"/>
      <c r="EW86" s="2055"/>
      <c r="EX86" s="2055"/>
      <c r="EY86" s="2055"/>
      <c r="EZ86" s="2055"/>
      <c r="FA86" s="2055"/>
      <c r="FB86" s="2055"/>
      <c r="FC86" s="2055"/>
      <c r="FD86" s="2055"/>
      <c r="FE86" s="2055"/>
      <c r="FF86" s="2055"/>
      <c r="FG86" s="2055"/>
      <c r="FH86" s="2055"/>
      <c r="FI86" s="2055"/>
      <c r="FJ86" s="2055"/>
      <c r="FK86" s="2055"/>
      <c r="FL86" s="2055"/>
      <c r="FM86" s="2055"/>
      <c r="FN86" s="2055"/>
      <c r="FO86" s="2055"/>
      <c r="FP86" s="2055"/>
      <c r="FQ86" s="2055"/>
      <c r="FR86" s="2055"/>
      <c r="FS86" s="2055"/>
      <c r="FT86" s="2055"/>
      <c r="FU86" s="2055"/>
      <c r="FV86" s="2055"/>
      <c r="FW86" s="2055"/>
      <c r="FX86" s="2055"/>
      <c r="FY86" s="2055"/>
      <c r="FZ86" s="2055"/>
      <c r="GA86" s="2055"/>
      <c r="GB86" s="2055"/>
      <c r="GC86" s="2055"/>
      <c r="GD86" s="2055"/>
      <c r="GE86" s="2055"/>
      <c r="GF86" s="2055"/>
      <c r="GG86" s="2055"/>
      <c r="GJ86" s="1073"/>
      <c r="GK86" s="1073"/>
      <c r="GL86" s="1073"/>
      <c r="GM86" s="1073"/>
      <c r="GN86" s="1073"/>
      <c r="GO86" s="1073">
        <v>11</v>
      </c>
    </row>
    <row r="87" spans="1:197" ht="28.5" customHeight="1">
      <c r="O87" s="472"/>
      <c r="S87" s="1171"/>
      <c r="T87" s="4411"/>
      <c r="U87" s="4411"/>
      <c r="V87" s="4411"/>
      <c r="W87" s="4411"/>
      <c r="X87" s="4411"/>
      <c r="Y87" s="4411"/>
      <c r="Z87" s="4411"/>
      <c r="AA87" s="4411"/>
      <c r="AB87" s="4411"/>
      <c r="AC87" s="4411"/>
      <c r="AD87" s="4411"/>
      <c r="AE87" s="4411"/>
      <c r="AF87" s="4411"/>
      <c r="AG87" s="4411"/>
      <c r="AH87" s="4411"/>
      <c r="AI87" s="4411"/>
      <c r="AJ87" s="4411"/>
      <c r="AK87" s="4411"/>
      <c r="AL87" s="4411"/>
      <c r="AM87" s="4411"/>
      <c r="AN87" s="4411"/>
      <c r="AO87" s="4411"/>
      <c r="AP87" s="4411"/>
      <c r="AQ87" s="4411"/>
      <c r="AR87" s="4411"/>
      <c r="AS87" s="4411"/>
      <c r="AT87" s="4411"/>
      <c r="AU87" s="4411"/>
      <c r="AV87" s="4411"/>
      <c r="AW87" s="4411"/>
      <c r="AX87" s="4411"/>
      <c r="AY87" s="4411"/>
      <c r="AZ87" s="4411"/>
      <c r="BA87" s="4411"/>
      <c r="BB87" s="4411"/>
      <c r="BC87" s="4411"/>
      <c r="BD87" s="4411"/>
      <c r="BE87" s="4411"/>
      <c r="BF87" s="4411"/>
      <c r="BG87" s="4411"/>
      <c r="BH87" s="4411"/>
      <c r="BI87" s="4411"/>
      <c r="BJ87" s="4411"/>
      <c r="BK87" s="4411"/>
      <c r="BL87" s="4411"/>
      <c r="BM87" s="4411"/>
      <c r="BN87" s="4411"/>
      <c r="BO87" s="4411"/>
      <c r="BP87" s="4411"/>
      <c r="BQ87" s="4411"/>
      <c r="BR87" s="4411"/>
      <c r="BS87" s="4411"/>
      <c r="BT87" s="4411"/>
      <c r="BU87" s="4411"/>
      <c r="BV87" s="4411"/>
      <c r="BW87" s="4411"/>
      <c r="BX87" s="4411"/>
      <c r="BY87" s="4411"/>
      <c r="BZ87" s="4411"/>
      <c r="CA87" s="4411"/>
      <c r="CB87" s="4411"/>
      <c r="CC87" s="4411"/>
      <c r="CD87" s="4411"/>
      <c r="CE87" s="4411"/>
      <c r="CF87" s="4411"/>
      <c r="CG87" s="4411"/>
      <c r="CH87" s="4411"/>
      <c r="CI87" s="4411"/>
      <c r="CJ87" s="4411"/>
      <c r="CK87" s="4411"/>
      <c r="CL87" s="4411"/>
      <c r="CM87" s="4411"/>
      <c r="CN87" s="4411"/>
      <c r="CO87" s="4411"/>
      <c r="CP87" s="4411"/>
      <c r="CQ87" s="4411"/>
      <c r="CR87" s="4411"/>
      <c r="CS87" s="4411"/>
      <c r="CT87" s="4411"/>
      <c r="CU87" s="4411"/>
      <c r="CV87" s="4411"/>
      <c r="CW87" s="4411"/>
      <c r="CX87" s="4411"/>
      <c r="CY87" s="4411"/>
      <c r="CZ87" s="4411"/>
      <c r="DA87" s="4411"/>
      <c r="DB87" s="4411"/>
      <c r="DC87" s="4411"/>
      <c r="DD87" s="4411"/>
      <c r="DE87" s="4411"/>
      <c r="DF87" s="4411"/>
      <c r="DG87" s="4411"/>
      <c r="DH87" s="4411"/>
      <c r="DI87" s="4411"/>
      <c r="DJ87" s="4411"/>
      <c r="DK87" s="4411"/>
      <c r="DL87" s="4411"/>
      <c r="DM87" s="4411"/>
      <c r="DN87" s="4411"/>
      <c r="DO87" s="4411"/>
      <c r="DP87" s="4411"/>
      <c r="DQ87" s="4411"/>
      <c r="DR87" s="4411"/>
      <c r="DS87" s="4411"/>
      <c r="DT87" s="4411"/>
      <c r="DU87" s="4411"/>
      <c r="DV87" s="4411"/>
      <c r="DW87" s="4411"/>
      <c r="DX87" s="4411"/>
      <c r="DY87" s="4411"/>
      <c r="DZ87" s="4411"/>
      <c r="EA87" s="4411"/>
      <c r="EB87" s="4411"/>
      <c r="EC87" s="4411"/>
      <c r="ED87" s="4411"/>
      <c r="EE87" s="4411"/>
      <c r="EF87" s="4411"/>
      <c r="EG87" s="4411"/>
      <c r="EH87" s="4411"/>
      <c r="EI87" s="4411"/>
      <c r="EJ87" s="4411"/>
      <c r="EK87" s="4411"/>
      <c r="EL87" s="4411"/>
      <c r="EM87" s="4411"/>
      <c r="EN87" s="4411"/>
      <c r="EO87" s="4411"/>
      <c r="EP87" s="4411"/>
      <c r="EQ87" s="4411"/>
      <c r="ER87" s="4411"/>
      <c r="ES87" s="4411"/>
      <c r="ET87" s="4411"/>
      <c r="EU87" s="4411"/>
      <c r="EV87" s="4411"/>
      <c r="EW87" s="4411"/>
      <c r="EX87" s="4411"/>
      <c r="EY87" s="4411"/>
      <c r="EZ87" s="4411"/>
      <c r="FA87" s="4411"/>
      <c r="FB87" s="4411"/>
      <c r="FC87" s="4411"/>
      <c r="FD87" s="4411"/>
      <c r="FE87" s="4411"/>
      <c r="FF87" s="4411"/>
      <c r="FG87" s="4411"/>
      <c r="FH87" s="4411"/>
      <c r="FI87" s="4411"/>
      <c r="FJ87" s="4411"/>
      <c r="FK87" s="4411"/>
      <c r="FL87" s="4411"/>
      <c r="FM87" s="4411"/>
      <c r="FN87" s="4411"/>
      <c r="FO87" s="4411"/>
      <c r="FP87" s="4411"/>
      <c r="FQ87" s="4411"/>
      <c r="FR87" s="4411"/>
      <c r="FS87" s="4411"/>
      <c r="FT87" s="4411"/>
      <c r="FU87" s="4411"/>
      <c r="FV87" s="4411"/>
      <c r="FW87" s="4411"/>
      <c r="FX87" s="4411"/>
      <c r="FY87" s="4411"/>
      <c r="FZ87" s="4411"/>
      <c r="GA87" s="4411"/>
      <c r="GB87" s="4411"/>
      <c r="GC87" s="4411"/>
      <c r="GD87" s="4411"/>
      <c r="GE87" s="4411"/>
      <c r="GF87" s="4411"/>
      <c r="GG87" s="4411"/>
      <c r="GH87" s="4411"/>
      <c r="GI87" s="4411"/>
      <c r="GO87" s="1073">
        <v>27</v>
      </c>
    </row>
    <row r="88" spans="1:197" ht="65.25" customHeight="1">
      <c r="O88" s="472"/>
      <c r="T88" s="4411"/>
      <c r="U88" s="4411"/>
      <c r="V88" s="4411"/>
      <c r="W88" s="4411"/>
      <c r="X88" s="4411"/>
      <c r="Y88" s="4411"/>
      <c r="Z88" s="4411"/>
      <c r="AA88" s="4411"/>
      <c r="AB88" s="4411"/>
      <c r="AC88" s="4411"/>
      <c r="AD88" s="4411"/>
      <c r="AE88" s="4411"/>
      <c r="AF88" s="4411"/>
      <c r="AG88" s="4411"/>
      <c r="AH88" s="4411"/>
      <c r="AI88" s="4411"/>
      <c r="AJ88" s="4411"/>
      <c r="AK88" s="4411"/>
      <c r="AL88" s="4411"/>
      <c r="AM88" s="4411"/>
      <c r="AN88" s="4411"/>
      <c r="AO88" s="4411"/>
      <c r="AP88" s="4411"/>
      <c r="AQ88" s="4411"/>
      <c r="AR88" s="4411"/>
      <c r="AS88" s="4411"/>
      <c r="AT88" s="4411"/>
      <c r="AU88" s="4411"/>
      <c r="AV88" s="4411"/>
      <c r="AW88" s="4411"/>
      <c r="AX88" s="4411"/>
      <c r="AY88" s="4411"/>
      <c r="AZ88" s="4411"/>
      <c r="BA88" s="4411"/>
      <c r="BB88" s="4411"/>
      <c r="BC88" s="4411"/>
      <c r="BD88" s="4411"/>
      <c r="BE88" s="4411"/>
      <c r="BF88" s="4411"/>
      <c r="BG88" s="4411"/>
      <c r="BH88" s="4411"/>
      <c r="BI88" s="4411"/>
      <c r="BJ88" s="4411"/>
      <c r="BK88" s="4411"/>
      <c r="BL88" s="4411"/>
      <c r="BM88" s="4411"/>
      <c r="BN88" s="4411"/>
      <c r="BO88" s="4411"/>
      <c r="BP88" s="4411"/>
      <c r="BQ88" s="4411"/>
      <c r="BR88" s="4411"/>
      <c r="BS88" s="4411"/>
      <c r="BT88" s="4411"/>
      <c r="BU88" s="4411"/>
      <c r="BV88" s="4411"/>
      <c r="BW88" s="4411"/>
      <c r="BX88" s="4411"/>
      <c r="BY88" s="4411"/>
      <c r="BZ88" s="4411"/>
      <c r="CA88" s="4411"/>
      <c r="CB88" s="4411"/>
      <c r="CC88" s="4411"/>
      <c r="CD88" s="4411"/>
      <c r="CE88" s="4411"/>
      <c r="CF88" s="4411"/>
      <c r="CG88" s="4411"/>
      <c r="CH88" s="4411"/>
      <c r="CI88" s="4411"/>
      <c r="CJ88" s="4411"/>
      <c r="CK88" s="4411"/>
      <c r="CL88" s="4411"/>
      <c r="CM88" s="4411"/>
      <c r="CN88" s="4411"/>
      <c r="CO88" s="4411"/>
      <c r="CP88" s="4411"/>
      <c r="CQ88" s="4411"/>
      <c r="CR88" s="4411"/>
      <c r="CS88" s="4411"/>
      <c r="CT88" s="4411"/>
      <c r="CU88" s="4411"/>
      <c r="CV88" s="4411"/>
      <c r="CW88" s="4411"/>
      <c r="CX88" s="4411"/>
      <c r="CY88" s="4411"/>
      <c r="CZ88" s="4411"/>
      <c r="DA88" s="4411"/>
      <c r="DB88" s="4411"/>
      <c r="DC88" s="4411"/>
      <c r="DD88" s="4411"/>
      <c r="DE88" s="4411"/>
      <c r="DF88" s="4411"/>
      <c r="DG88" s="4411"/>
      <c r="DH88" s="4411"/>
      <c r="DI88" s="4411"/>
      <c r="DJ88" s="4411"/>
      <c r="DK88" s="4411"/>
      <c r="DL88" s="4411"/>
      <c r="DM88" s="4411"/>
      <c r="DN88" s="4411"/>
      <c r="DO88" s="4411"/>
      <c r="DP88" s="4411"/>
      <c r="DQ88" s="4411"/>
      <c r="DR88" s="4411"/>
      <c r="DS88" s="4411"/>
      <c r="DT88" s="4411"/>
      <c r="DU88" s="4411"/>
      <c r="DV88" s="4411"/>
      <c r="DW88" s="4411"/>
      <c r="DX88" s="4411"/>
      <c r="DY88" s="4411"/>
      <c r="DZ88" s="4411"/>
      <c r="EA88" s="4411"/>
      <c r="EB88" s="4411"/>
      <c r="EC88" s="4411"/>
      <c r="ED88" s="4411"/>
      <c r="EE88" s="4411"/>
      <c r="EF88" s="4411"/>
      <c r="EG88" s="4411"/>
      <c r="EH88" s="4411"/>
      <c r="EI88" s="4411"/>
      <c r="EJ88" s="4411"/>
      <c r="EK88" s="4411"/>
      <c r="EL88" s="4411"/>
      <c r="EM88" s="4411"/>
      <c r="EN88" s="4411"/>
      <c r="EO88" s="4411"/>
      <c r="EP88" s="4411"/>
      <c r="EQ88" s="4411"/>
      <c r="ER88" s="4411"/>
      <c r="ES88" s="4411"/>
      <c r="ET88" s="4411"/>
      <c r="EU88" s="4411"/>
      <c r="EV88" s="4411"/>
      <c r="EW88" s="4411"/>
      <c r="EX88" s="4411"/>
      <c r="EY88" s="4411"/>
      <c r="EZ88" s="4411"/>
      <c r="FA88" s="4411"/>
      <c r="FB88" s="4411"/>
      <c r="FC88" s="4411"/>
      <c r="FD88" s="4411"/>
      <c r="FE88" s="4411"/>
      <c r="FF88" s="4411"/>
      <c r="FG88" s="4411"/>
      <c r="FH88" s="4411"/>
      <c r="FI88" s="4411"/>
      <c r="FJ88" s="4411"/>
      <c r="FK88" s="4411"/>
      <c r="FL88" s="4411"/>
      <c r="FM88" s="4411"/>
      <c r="FN88" s="4411"/>
      <c r="FO88" s="4411"/>
      <c r="FP88" s="4411"/>
      <c r="FQ88" s="4411"/>
      <c r="FR88" s="4411"/>
      <c r="FS88" s="4411"/>
      <c r="FT88" s="4411"/>
      <c r="FU88" s="4411"/>
      <c r="FV88" s="4411"/>
      <c r="FW88" s="4411"/>
      <c r="FX88" s="4411"/>
      <c r="FY88" s="4411"/>
      <c r="FZ88" s="4411"/>
      <c r="GA88" s="4411"/>
      <c r="GB88" s="4411"/>
      <c r="GC88" s="4411"/>
      <c r="GD88" s="4411"/>
      <c r="GE88" s="4411"/>
      <c r="GF88" s="4411"/>
      <c r="GG88" s="4411"/>
      <c r="GH88" s="4411"/>
      <c r="GI88" s="4411"/>
      <c r="GO88" s="1073">
        <v>62</v>
      </c>
    </row>
    <row r="89" spans="1:197" ht="14.65" customHeight="1">
      <c r="O89" s="472"/>
      <c r="AL89" s="2055"/>
      <c r="AM89" s="2055"/>
      <c r="AN89" s="2055"/>
      <c r="AO89" s="2055"/>
      <c r="AP89" s="2055"/>
      <c r="AQ89" s="2055"/>
      <c r="AR89" s="2055"/>
      <c r="AS89" s="2055"/>
      <c r="AT89" s="2055"/>
      <c r="AU89" s="2055"/>
      <c r="AV89" s="2055"/>
      <c r="AW89" s="2055"/>
      <c r="AX89" s="2055"/>
      <c r="AY89" s="2055"/>
      <c r="AZ89" s="2055"/>
      <c r="BA89" s="2055"/>
      <c r="BB89" s="2055"/>
      <c r="BC89" s="2055"/>
      <c r="BD89" s="2055"/>
      <c r="BE89" s="2055"/>
      <c r="BF89" s="2055"/>
      <c r="BG89" s="2055"/>
      <c r="BH89" s="2055"/>
      <c r="BI89" s="2055"/>
      <c r="BJ89" s="2055"/>
      <c r="BK89" s="2055"/>
      <c r="BL89" s="2055"/>
      <c r="BM89" s="2055"/>
      <c r="BN89" s="2055"/>
      <c r="BO89" s="2055"/>
      <c r="BP89" s="2055"/>
      <c r="BQ89" s="2055"/>
      <c r="BR89" s="2055"/>
      <c r="BS89" s="2055"/>
      <c r="BT89" s="2055"/>
      <c r="BU89" s="2055"/>
      <c r="BV89" s="2055"/>
      <c r="BW89" s="2055"/>
      <c r="BX89" s="2055"/>
      <c r="BY89" s="2055"/>
      <c r="BZ89" s="2055"/>
      <c r="CA89" s="2055"/>
      <c r="CB89" s="2055"/>
      <c r="CC89" s="2055"/>
      <c r="CD89" s="2055"/>
      <c r="CE89" s="2055"/>
      <c r="CF89" s="2055"/>
      <c r="CG89" s="2055"/>
      <c r="CH89" s="2055"/>
      <c r="CI89" s="2055"/>
      <c r="CJ89" s="2055"/>
      <c r="CK89" s="2055"/>
      <c r="CL89" s="2055"/>
      <c r="CM89" s="2055"/>
      <c r="CN89" s="2055"/>
      <c r="CO89" s="2055"/>
      <c r="CP89" s="2055"/>
      <c r="CQ89" s="2055"/>
      <c r="CR89" s="2055"/>
      <c r="CS89" s="2055"/>
      <c r="CT89" s="2055"/>
      <c r="CU89" s="2055"/>
      <c r="CV89" s="2055"/>
      <c r="CW89" s="2055"/>
      <c r="CX89" s="2055"/>
      <c r="CY89" s="2055"/>
      <c r="CZ89" s="2055"/>
      <c r="DA89" s="2055"/>
      <c r="DB89" s="2055"/>
      <c r="DC89" s="2055"/>
      <c r="DD89" s="2055"/>
      <c r="DE89" s="2055"/>
      <c r="DF89" s="2055"/>
      <c r="DG89" s="2055"/>
      <c r="DH89" s="2055"/>
      <c r="DI89" s="2055"/>
      <c r="DJ89" s="2055"/>
      <c r="DK89" s="2055"/>
      <c r="DL89" s="2055"/>
      <c r="DM89" s="2055"/>
      <c r="DN89" s="2055"/>
      <c r="DO89" s="2055"/>
      <c r="DP89" s="2055"/>
      <c r="DQ89" s="2055"/>
      <c r="DR89" s="2055"/>
      <c r="DS89" s="2055"/>
      <c r="DT89" s="2055"/>
      <c r="DU89" s="2055"/>
      <c r="DV89" s="2055"/>
      <c r="DW89" s="2055"/>
      <c r="DX89" s="2055"/>
      <c r="DY89" s="2055"/>
      <c r="DZ89" s="2055"/>
      <c r="EA89" s="2055"/>
      <c r="EB89" s="2055"/>
      <c r="EC89" s="2055"/>
      <c r="ED89" s="2055"/>
      <c r="EE89" s="2055"/>
      <c r="EF89" s="2055"/>
      <c r="EG89" s="2055"/>
      <c r="EH89" s="2055"/>
      <c r="EI89" s="2055"/>
      <c r="EJ89" s="2055"/>
      <c r="EK89" s="2055"/>
      <c r="EL89" s="2055"/>
      <c r="EM89" s="2055"/>
      <c r="EN89" s="2055"/>
      <c r="EO89" s="2055"/>
      <c r="EP89" s="2055"/>
      <c r="EQ89" s="2055"/>
      <c r="ER89" s="2055"/>
      <c r="ES89" s="2055"/>
      <c r="ET89" s="2055"/>
      <c r="EU89" s="2055"/>
      <c r="EV89" s="2055"/>
      <c r="EW89" s="2055"/>
      <c r="EX89" s="2055"/>
      <c r="EY89" s="2055"/>
      <c r="EZ89" s="2055"/>
      <c r="FA89" s="2055"/>
      <c r="FB89" s="2055"/>
      <c r="FC89" s="2055"/>
      <c r="FD89" s="2055"/>
      <c r="FE89" s="2055"/>
      <c r="FF89" s="2055"/>
      <c r="FG89" s="2055"/>
      <c r="FH89" s="2055"/>
      <c r="FI89" s="2055"/>
      <c r="FJ89" s="2055"/>
      <c r="FK89" s="2055"/>
      <c r="FL89" s="2055"/>
      <c r="FM89" s="2055"/>
      <c r="FN89" s="2055"/>
      <c r="FO89" s="2055"/>
      <c r="FP89" s="2055"/>
      <c r="FQ89" s="2055"/>
      <c r="FR89" s="2055"/>
      <c r="FS89" s="2055"/>
      <c r="FT89" s="2055"/>
      <c r="FU89" s="2055"/>
      <c r="FV89" s="2055"/>
      <c r="FW89" s="2055"/>
      <c r="FX89" s="2055"/>
      <c r="FY89" s="2055"/>
      <c r="FZ89" s="2055"/>
      <c r="GA89" s="2055"/>
      <c r="GB89" s="2055"/>
      <c r="GC89" s="2055"/>
      <c r="GD89" s="2055"/>
      <c r="GE89" s="2055"/>
      <c r="GF89" s="2055"/>
      <c r="GG89" s="2055"/>
      <c r="GO89" s="1073">
        <v>14</v>
      </c>
    </row>
    <row r="90" spans="1:197" ht="18.75" customHeight="1">
      <c r="O90" s="472"/>
      <c r="S90" s="1171"/>
      <c r="T90" s="4411"/>
      <c r="U90" s="4411"/>
      <c r="V90" s="4411"/>
      <c r="W90" s="4411"/>
      <c r="X90" s="4411"/>
      <c r="Y90" s="4411"/>
      <c r="Z90" s="4411"/>
      <c r="AA90" s="4411"/>
      <c r="AB90" s="4411"/>
      <c r="AC90" s="4411"/>
      <c r="AD90" s="4411"/>
      <c r="AE90" s="4411"/>
      <c r="AF90" s="4411"/>
      <c r="AG90" s="4411"/>
      <c r="AH90" s="4411"/>
      <c r="AI90" s="4411"/>
      <c r="AJ90" s="4411"/>
      <c r="AK90" s="4411"/>
      <c r="AL90" s="4411"/>
      <c r="AM90" s="4411"/>
      <c r="AN90" s="4411"/>
      <c r="AO90" s="4411"/>
      <c r="AP90" s="4411"/>
      <c r="AQ90" s="4411"/>
      <c r="AR90" s="4411"/>
      <c r="AS90" s="4411"/>
      <c r="AT90" s="4411"/>
      <c r="AU90" s="4411"/>
      <c r="AV90" s="4411"/>
      <c r="AW90" s="4411"/>
      <c r="AX90" s="4411"/>
      <c r="AY90" s="4411"/>
      <c r="AZ90" s="4411"/>
      <c r="BA90" s="4411"/>
      <c r="BB90" s="4411"/>
      <c r="BC90" s="4411"/>
      <c r="BD90" s="4411"/>
      <c r="BE90" s="4411"/>
      <c r="BF90" s="4411"/>
      <c r="BG90" s="4411"/>
      <c r="BH90" s="4411"/>
      <c r="BI90" s="4411"/>
      <c r="BJ90" s="4411"/>
      <c r="BK90" s="4411"/>
      <c r="BL90" s="4411"/>
      <c r="BM90" s="4411"/>
      <c r="BN90" s="4411"/>
      <c r="BO90" s="4411"/>
      <c r="BP90" s="4411"/>
      <c r="BQ90" s="4411"/>
      <c r="BR90" s="4411"/>
      <c r="BS90" s="4411"/>
      <c r="BT90" s="4411"/>
      <c r="BU90" s="4411"/>
      <c r="BV90" s="4411"/>
      <c r="BW90" s="4411"/>
      <c r="BX90" s="4411"/>
      <c r="BY90" s="4411"/>
      <c r="BZ90" s="4411"/>
      <c r="CA90" s="4411"/>
      <c r="CB90" s="4411"/>
      <c r="CC90" s="4411"/>
      <c r="CD90" s="4411"/>
      <c r="CE90" s="4411"/>
      <c r="CF90" s="4411"/>
      <c r="CG90" s="4411"/>
      <c r="CH90" s="4411"/>
      <c r="CI90" s="4411"/>
      <c r="CJ90" s="4411"/>
      <c r="CK90" s="4411"/>
      <c r="CL90" s="4411"/>
      <c r="CM90" s="4411"/>
      <c r="CN90" s="4411"/>
      <c r="CO90" s="4411"/>
      <c r="CP90" s="4411"/>
      <c r="CQ90" s="4411"/>
      <c r="CR90" s="4411"/>
      <c r="CS90" s="4411"/>
      <c r="CT90" s="4411"/>
      <c r="CU90" s="4411"/>
      <c r="CV90" s="4411"/>
      <c r="CW90" s="4411"/>
      <c r="CX90" s="4411"/>
      <c r="CY90" s="4411"/>
      <c r="CZ90" s="4411"/>
      <c r="DA90" s="4411"/>
      <c r="DB90" s="4411"/>
      <c r="DC90" s="4411"/>
      <c r="DD90" s="4411"/>
      <c r="DE90" s="4411"/>
      <c r="DF90" s="4411"/>
      <c r="DG90" s="4411"/>
      <c r="DH90" s="4411"/>
      <c r="DI90" s="4411"/>
      <c r="DJ90" s="4411"/>
      <c r="DK90" s="4411"/>
      <c r="DL90" s="4411"/>
      <c r="DM90" s="4411"/>
      <c r="DN90" s="4411"/>
      <c r="DO90" s="4411"/>
      <c r="DP90" s="4411"/>
      <c r="DQ90" s="4411"/>
      <c r="DR90" s="4411"/>
      <c r="DS90" s="4411"/>
      <c r="DT90" s="4411"/>
      <c r="DU90" s="4411"/>
      <c r="DV90" s="4411"/>
      <c r="DW90" s="4411"/>
      <c r="DX90" s="4411"/>
      <c r="DY90" s="4411"/>
      <c r="DZ90" s="4411"/>
      <c r="EA90" s="4411"/>
      <c r="EB90" s="4411"/>
      <c r="EC90" s="4411"/>
      <c r="ED90" s="4411"/>
      <c r="EE90" s="4411"/>
      <c r="EF90" s="4411"/>
      <c r="EG90" s="4411"/>
      <c r="EH90" s="4411"/>
      <c r="EI90" s="4411"/>
      <c r="EJ90" s="4411"/>
      <c r="EK90" s="4411"/>
      <c r="EL90" s="4411"/>
      <c r="EM90" s="4411"/>
      <c r="EN90" s="4411"/>
      <c r="EO90" s="4411"/>
      <c r="EP90" s="4411"/>
      <c r="EQ90" s="4411"/>
      <c r="ER90" s="4411"/>
      <c r="ES90" s="4411"/>
      <c r="ET90" s="4411"/>
      <c r="EU90" s="4411"/>
      <c r="EV90" s="4411"/>
      <c r="EW90" s="4411"/>
      <c r="EX90" s="4411"/>
      <c r="EY90" s="4411"/>
      <c r="EZ90" s="4411"/>
      <c r="FA90" s="4411"/>
      <c r="FB90" s="4411"/>
      <c r="FC90" s="4411"/>
      <c r="FD90" s="4411"/>
      <c r="FE90" s="4411"/>
      <c r="FF90" s="4411"/>
      <c r="FG90" s="4411"/>
      <c r="FH90" s="4411"/>
      <c r="FI90" s="4411"/>
      <c r="FJ90" s="4411"/>
      <c r="FK90" s="4411"/>
      <c r="FL90" s="4411"/>
      <c r="FM90" s="4411"/>
      <c r="FN90" s="4411"/>
      <c r="FO90" s="4411"/>
      <c r="FP90" s="4411"/>
      <c r="FQ90" s="4411"/>
      <c r="FR90" s="4411"/>
      <c r="FS90" s="4411"/>
      <c r="FT90" s="4411"/>
      <c r="FU90" s="4411"/>
      <c r="FV90" s="4411"/>
      <c r="FW90" s="4411"/>
      <c r="FX90" s="4411"/>
      <c r="FY90" s="4411"/>
      <c r="FZ90" s="4411"/>
      <c r="GA90" s="4411"/>
      <c r="GB90" s="4411"/>
      <c r="GC90" s="4411"/>
      <c r="GD90" s="4411"/>
      <c r="GE90" s="4411"/>
      <c r="GF90" s="4411"/>
      <c r="GG90" s="4411"/>
      <c r="GH90" s="4411"/>
      <c r="GI90" s="4411"/>
      <c r="GO90" s="1073">
        <v>18</v>
      </c>
    </row>
    <row r="91" spans="1:197" ht="18.75" customHeight="1">
      <c r="O91" s="472"/>
      <c r="T91" s="4411"/>
      <c r="U91" s="4411"/>
      <c r="V91" s="4411"/>
      <c r="W91" s="4411"/>
      <c r="X91" s="4411"/>
      <c r="Y91" s="4411"/>
      <c r="Z91" s="4411"/>
      <c r="AA91" s="4411"/>
      <c r="AB91" s="4411"/>
      <c r="AC91" s="4411"/>
      <c r="AD91" s="4411"/>
      <c r="AE91" s="4411"/>
      <c r="AF91" s="4411"/>
      <c r="AG91" s="4411"/>
      <c r="AH91" s="4411"/>
      <c r="AI91" s="4411"/>
      <c r="AJ91" s="4411"/>
      <c r="AK91" s="4411"/>
      <c r="AL91" s="4411"/>
      <c r="AM91" s="4411"/>
      <c r="AN91" s="4411"/>
      <c r="AO91" s="4411"/>
      <c r="AP91" s="4411"/>
      <c r="AQ91" s="4411"/>
      <c r="AR91" s="4411"/>
      <c r="AS91" s="4411"/>
      <c r="AT91" s="4411"/>
      <c r="AU91" s="4411"/>
      <c r="AV91" s="4411"/>
      <c r="AW91" s="4411"/>
      <c r="AX91" s="4411"/>
      <c r="AY91" s="4411"/>
      <c r="AZ91" s="4411"/>
      <c r="BA91" s="4411"/>
      <c r="BB91" s="4411"/>
      <c r="BC91" s="4411"/>
      <c r="BD91" s="4411"/>
      <c r="BE91" s="4411"/>
      <c r="BF91" s="4411"/>
      <c r="BG91" s="4411"/>
      <c r="BH91" s="4411"/>
      <c r="BI91" s="4411"/>
      <c r="BJ91" s="4411"/>
      <c r="BK91" s="4411"/>
      <c r="BL91" s="4411"/>
      <c r="BM91" s="4411"/>
      <c r="BN91" s="4411"/>
      <c r="BO91" s="4411"/>
      <c r="BP91" s="4411"/>
      <c r="BQ91" s="4411"/>
      <c r="BR91" s="4411"/>
      <c r="BS91" s="4411"/>
      <c r="BT91" s="4411"/>
      <c r="BU91" s="4411"/>
      <c r="BV91" s="4411"/>
      <c r="BW91" s="4411"/>
      <c r="BX91" s="4411"/>
      <c r="BY91" s="4411"/>
      <c r="BZ91" s="4411"/>
      <c r="CA91" s="4411"/>
      <c r="CB91" s="4411"/>
      <c r="CC91" s="4411"/>
      <c r="CD91" s="4411"/>
      <c r="CE91" s="4411"/>
      <c r="CF91" s="4411"/>
      <c r="CG91" s="4411"/>
      <c r="CH91" s="4411"/>
      <c r="CI91" s="4411"/>
      <c r="CJ91" s="4411"/>
      <c r="CK91" s="4411"/>
      <c r="CL91" s="4411"/>
      <c r="CM91" s="4411"/>
      <c r="CN91" s="4411"/>
      <c r="CO91" s="4411"/>
      <c r="CP91" s="4411"/>
      <c r="CQ91" s="4411"/>
      <c r="CR91" s="4411"/>
      <c r="CS91" s="4411"/>
      <c r="CT91" s="4411"/>
      <c r="CU91" s="4411"/>
      <c r="CV91" s="4411"/>
      <c r="CW91" s="4411"/>
      <c r="CX91" s="4411"/>
      <c r="CY91" s="4411"/>
      <c r="CZ91" s="4411"/>
      <c r="DA91" s="4411"/>
      <c r="DB91" s="4411"/>
      <c r="DC91" s="4411"/>
      <c r="DD91" s="4411"/>
      <c r="DE91" s="4411"/>
      <c r="DF91" s="4411"/>
      <c r="DG91" s="4411"/>
      <c r="DH91" s="4411"/>
      <c r="DI91" s="4411"/>
      <c r="DJ91" s="4411"/>
      <c r="DK91" s="4411"/>
      <c r="DL91" s="4411"/>
      <c r="DM91" s="4411"/>
      <c r="DN91" s="4411"/>
      <c r="DO91" s="4411"/>
      <c r="DP91" s="4411"/>
      <c r="DQ91" s="4411"/>
      <c r="DR91" s="4411"/>
      <c r="DS91" s="4411"/>
      <c r="DT91" s="4411"/>
      <c r="DU91" s="4411"/>
      <c r="DV91" s="4411"/>
      <c r="DW91" s="4411"/>
      <c r="DX91" s="4411"/>
      <c r="DY91" s="4411"/>
      <c r="DZ91" s="4411"/>
      <c r="EA91" s="4411"/>
      <c r="EB91" s="4411"/>
      <c r="EC91" s="4411"/>
      <c r="ED91" s="4411"/>
      <c r="EE91" s="4411"/>
      <c r="EF91" s="4411"/>
      <c r="EG91" s="4411"/>
      <c r="EH91" s="4411"/>
      <c r="EI91" s="4411"/>
      <c r="EJ91" s="4411"/>
      <c r="EK91" s="4411"/>
      <c r="EL91" s="4411"/>
      <c r="EM91" s="4411"/>
      <c r="EN91" s="4411"/>
      <c r="EO91" s="4411"/>
      <c r="EP91" s="4411"/>
      <c r="EQ91" s="4411"/>
      <c r="ER91" s="4411"/>
      <c r="ES91" s="4411"/>
      <c r="ET91" s="4411"/>
      <c r="EU91" s="4411"/>
      <c r="EV91" s="4411"/>
      <c r="EW91" s="4411"/>
      <c r="EX91" s="4411"/>
      <c r="EY91" s="4411"/>
      <c r="EZ91" s="4411"/>
      <c r="FA91" s="4411"/>
      <c r="FB91" s="4411"/>
      <c r="FC91" s="4411"/>
      <c r="FD91" s="4411"/>
      <c r="FE91" s="4411"/>
      <c r="FF91" s="4411"/>
      <c r="FG91" s="4411"/>
      <c r="FH91" s="4411"/>
      <c r="FI91" s="4411"/>
      <c r="FJ91" s="4411"/>
      <c r="FK91" s="4411"/>
      <c r="FL91" s="4411"/>
      <c r="FM91" s="4411"/>
      <c r="FN91" s="4411"/>
      <c r="FO91" s="4411"/>
      <c r="FP91" s="4411"/>
      <c r="FQ91" s="4411"/>
      <c r="FR91" s="4411"/>
      <c r="FS91" s="4411"/>
      <c r="FT91" s="4411"/>
      <c r="FU91" s="4411"/>
      <c r="FV91" s="4411"/>
      <c r="FW91" s="4411"/>
      <c r="FX91" s="4411"/>
      <c r="FY91" s="4411"/>
      <c r="FZ91" s="4411"/>
      <c r="GA91" s="4411"/>
      <c r="GB91" s="4411"/>
      <c r="GC91" s="4411"/>
      <c r="GD91" s="4411"/>
      <c r="GE91" s="4411"/>
      <c r="GF91" s="4411"/>
      <c r="GG91" s="4411"/>
      <c r="GH91" s="4411"/>
      <c r="GI91" s="4411"/>
      <c r="GO91" s="1073">
        <v>18</v>
      </c>
    </row>
    <row r="92" spans="1:197" ht="29.25" customHeight="1">
      <c r="O92" s="472"/>
      <c r="S92" s="1171"/>
      <c r="T92" s="4411"/>
      <c r="U92" s="4411"/>
      <c r="V92" s="4411"/>
      <c r="W92" s="4411"/>
      <c r="X92" s="4411"/>
      <c r="Y92" s="4411"/>
      <c r="Z92" s="4411"/>
      <c r="AA92" s="4411"/>
      <c r="AB92" s="4411"/>
      <c r="AC92" s="4411"/>
      <c r="AD92" s="4411"/>
      <c r="AE92" s="4411"/>
      <c r="AF92" s="4411"/>
      <c r="AG92" s="4411"/>
      <c r="AH92" s="4411"/>
      <c r="AI92" s="4411"/>
      <c r="AJ92" s="4411"/>
      <c r="AK92" s="4411"/>
      <c r="AL92" s="4411"/>
      <c r="AM92" s="4411"/>
      <c r="AN92" s="4411"/>
      <c r="AO92" s="4411"/>
      <c r="AP92" s="4411"/>
      <c r="AQ92" s="4411"/>
      <c r="AR92" s="4411"/>
      <c r="AS92" s="4411"/>
      <c r="AT92" s="4411"/>
      <c r="AU92" s="4411"/>
      <c r="AV92" s="4411"/>
      <c r="AW92" s="4411"/>
      <c r="AX92" s="4411"/>
      <c r="AY92" s="4411"/>
      <c r="AZ92" s="4411"/>
      <c r="BA92" s="4411"/>
      <c r="BB92" s="4411"/>
      <c r="BC92" s="4411"/>
      <c r="BD92" s="4411"/>
      <c r="BE92" s="4411"/>
      <c r="BF92" s="4411"/>
      <c r="BG92" s="4411"/>
      <c r="BH92" s="4411"/>
      <c r="BI92" s="4411"/>
      <c r="BJ92" s="4411"/>
      <c r="BK92" s="4411"/>
      <c r="BL92" s="4411"/>
      <c r="BM92" s="4411"/>
      <c r="BN92" s="4411"/>
      <c r="BO92" s="4411"/>
      <c r="BP92" s="4411"/>
      <c r="BQ92" s="4411"/>
      <c r="BR92" s="4411"/>
      <c r="BS92" s="4411"/>
      <c r="BT92" s="4411"/>
      <c r="BU92" s="4411"/>
      <c r="BV92" s="4411"/>
      <c r="BW92" s="4411"/>
      <c r="BX92" s="4411"/>
      <c r="BY92" s="4411"/>
      <c r="BZ92" s="4411"/>
      <c r="CA92" s="4411"/>
      <c r="CB92" s="4411"/>
      <c r="CC92" s="4411"/>
      <c r="CD92" s="4411"/>
      <c r="CE92" s="4411"/>
      <c r="CF92" s="4411"/>
      <c r="CG92" s="4411"/>
      <c r="CH92" s="4411"/>
      <c r="CI92" s="4411"/>
      <c r="CJ92" s="4411"/>
      <c r="CK92" s="4411"/>
      <c r="CL92" s="4411"/>
      <c r="CM92" s="4411"/>
      <c r="CN92" s="4411"/>
      <c r="CO92" s="4411"/>
      <c r="CP92" s="4411"/>
      <c r="CQ92" s="4411"/>
      <c r="CR92" s="4411"/>
      <c r="CS92" s="4411"/>
      <c r="CT92" s="4411"/>
      <c r="CU92" s="4411"/>
      <c r="CV92" s="4411"/>
      <c r="CW92" s="4411"/>
      <c r="CX92" s="4411"/>
      <c r="CY92" s="4411"/>
      <c r="CZ92" s="4411"/>
      <c r="DA92" s="4411"/>
      <c r="DB92" s="4411"/>
      <c r="DC92" s="4411"/>
      <c r="DD92" s="4411"/>
      <c r="DE92" s="4411"/>
      <c r="DF92" s="4411"/>
      <c r="DG92" s="4411"/>
      <c r="DH92" s="4411"/>
      <c r="DI92" s="4411"/>
      <c r="DJ92" s="4411"/>
      <c r="DK92" s="4411"/>
      <c r="DL92" s="4411"/>
      <c r="DM92" s="4411"/>
      <c r="DN92" s="4411"/>
      <c r="DO92" s="4411"/>
      <c r="DP92" s="4411"/>
      <c r="DQ92" s="4411"/>
      <c r="DR92" s="4411"/>
      <c r="DS92" s="4411"/>
      <c r="DT92" s="4411"/>
      <c r="DU92" s="4411"/>
      <c r="DV92" s="4411"/>
      <c r="DW92" s="4411"/>
      <c r="DX92" s="4411"/>
      <c r="DY92" s="4411"/>
      <c r="DZ92" s="4411"/>
      <c r="EA92" s="4411"/>
      <c r="EB92" s="4411"/>
      <c r="EC92" s="4411"/>
      <c r="ED92" s="4411"/>
      <c r="EE92" s="4411"/>
      <c r="EF92" s="4411"/>
      <c r="EG92" s="4411"/>
      <c r="EH92" s="4411"/>
      <c r="EI92" s="4411"/>
      <c r="EJ92" s="4411"/>
      <c r="EK92" s="4411"/>
      <c r="EL92" s="4411"/>
      <c r="EM92" s="4411"/>
      <c r="EN92" s="4411"/>
      <c r="EO92" s="4411"/>
      <c r="EP92" s="4411"/>
      <c r="EQ92" s="4411"/>
      <c r="ER92" s="4411"/>
      <c r="ES92" s="4411"/>
      <c r="ET92" s="4411"/>
      <c r="EU92" s="4411"/>
      <c r="EV92" s="4411"/>
      <c r="EW92" s="4411"/>
      <c r="EX92" s="4411"/>
      <c r="EY92" s="4411"/>
      <c r="EZ92" s="4411"/>
      <c r="FA92" s="4411"/>
      <c r="FB92" s="4411"/>
      <c r="FC92" s="4411"/>
      <c r="FD92" s="4411"/>
      <c r="FE92" s="4411"/>
      <c r="FF92" s="4411"/>
      <c r="FG92" s="4411"/>
      <c r="FH92" s="4411"/>
      <c r="FI92" s="4411"/>
      <c r="FJ92" s="4411"/>
      <c r="FK92" s="4411"/>
      <c r="FL92" s="4411"/>
      <c r="FM92" s="4411"/>
      <c r="FN92" s="4411"/>
      <c r="FO92" s="4411"/>
      <c r="FP92" s="4411"/>
      <c r="FQ92" s="4411"/>
      <c r="FR92" s="4411"/>
      <c r="FS92" s="4411"/>
      <c r="FT92" s="4411"/>
      <c r="FU92" s="4411"/>
      <c r="FV92" s="4411"/>
      <c r="FW92" s="4411"/>
      <c r="FX92" s="4411"/>
      <c r="FY92" s="4411"/>
      <c r="FZ92" s="4411"/>
      <c r="GA92" s="4411"/>
      <c r="GB92" s="4411"/>
      <c r="GC92" s="4411"/>
      <c r="GD92" s="4411"/>
      <c r="GE92" s="4411"/>
      <c r="GF92" s="4411"/>
      <c r="GG92" s="4411"/>
      <c r="GH92" s="4411"/>
      <c r="GI92" s="4411"/>
      <c r="GO92" s="1073">
        <v>28</v>
      </c>
    </row>
    <row r="93" spans="1:197" ht="22.5" hidden="1" customHeight="1">
      <c r="A93" s="1078" t="s">
        <v>86</v>
      </c>
      <c r="B93" s="1078">
        <v>0</v>
      </c>
      <c r="C93" s="1078">
        <v>0</v>
      </c>
      <c r="D93" s="1078">
        <v>0</v>
      </c>
      <c r="E93" s="1078">
        <v>0</v>
      </c>
      <c r="F93" s="1078">
        <v>0</v>
      </c>
      <c r="G93" s="1078">
        <v>0</v>
      </c>
      <c r="H93" s="1078">
        <v>0</v>
      </c>
      <c r="I93" s="1078">
        <v>0</v>
      </c>
      <c r="J93" s="1078">
        <v>0</v>
      </c>
      <c r="K93" s="1078">
        <v>0</v>
      </c>
      <c r="L93" s="1247">
        <v>0</v>
      </c>
      <c r="M93" s="1280">
        <v>0</v>
      </c>
      <c r="N93" s="1280">
        <v>0</v>
      </c>
      <c r="O93" s="1280">
        <v>0</v>
      </c>
      <c r="P93" s="1246">
        <v>3</v>
      </c>
      <c r="Q93" s="280">
        <v>3</v>
      </c>
      <c r="R93" s="280">
        <v>3</v>
      </c>
      <c r="S93" s="516">
        <v>12</v>
      </c>
      <c r="T93" s="1073">
        <v>31</v>
      </c>
      <c r="U93" s="1073">
        <v>0</v>
      </c>
      <c r="V93" s="1073">
        <v>0</v>
      </c>
      <c r="W93" s="1073">
        <v>0</v>
      </c>
      <c r="X93" s="1073">
        <v>0</v>
      </c>
      <c r="Y93" s="1073">
        <v>0</v>
      </c>
      <c r="Z93" s="1073">
        <v>0</v>
      </c>
      <c r="AA93" s="1073">
        <v>0</v>
      </c>
      <c r="AB93" s="1073">
        <v>0</v>
      </c>
      <c r="AC93" s="1073">
        <v>0</v>
      </c>
      <c r="AD93" s="1073">
        <v>24</v>
      </c>
      <c r="AE93" s="1073">
        <v>0</v>
      </c>
      <c r="AF93" s="1073">
        <v>24</v>
      </c>
      <c r="AG93" s="1073">
        <v>24</v>
      </c>
      <c r="AH93" s="1073">
        <v>11</v>
      </c>
      <c r="AI93" s="1073">
        <v>3</v>
      </c>
      <c r="AJ93" s="1073">
        <v>11</v>
      </c>
      <c r="AK93" s="1073">
        <v>0</v>
      </c>
      <c r="AL93" s="2055">
        <v>0</v>
      </c>
      <c r="AM93" s="2055">
        <v>0</v>
      </c>
      <c r="AN93" s="2055">
        <v>0</v>
      </c>
      <c r="AO93" s="2055">
        <v>0</v>
      </c>
      <c r="AP93" s="2055">
        <v>0</v>
      </c>
      <c r="AQ93" s="2055">
        <v>0</v>
      </c>
      <c r="AR93" s="2055">
        <v>0</v>
      </c>
      <c r="AS93" s="2055">
        <v>0</v>
      </c>
      <c r="AT93" s="2055">
        <v>0</v>
      </c>
      <c r="AU93" s="2055">
        <v>0</v>
      </c>
      <c r="AV93" s="2055">
        <v>0</v>
      </c>
      <c r="AW93" s="2055">
        <v>0</v>
      </c>
      <c r="AX93" s="2055">
        <v>0</v>
      </c>
      <c r="AY93" s="2055">
        <v>0</v>
      </c>
      <c r="AZ93" s="2055">
        <v>0</v>
      </c>
      <c r="BA93" s="2055">
        <v>0</v>
      </c>
      <c r="BB93" s="2055">
        <v>0</v>
      </c>
      <c r="BC93" s="2055">
        <v>0</v>
      </c>
      <c r="BD93" s="2055">
        <v>0</v>
      </c>
      <c r="BE93" s="2055">
        <v>0</v>
      </c>
      <c r="BF93" s="2055">
        <v>0</v>
      </c>
      <c r="BG93" s="2055">
        <v>0</v>
      </c>
      <c r="BH93" s="2055">
        <v>0</v>
      </c>
      <c r="BI93" s="2055">
        <v>0</v>
      </c>
      <c r="BJ93" s="2055">
        <v>0</v>
      </c>
      <c r="BK93" s="2055">
        <v>0</v>
      </c>
      <c r="BL93" s="2055">
        <v>0</v>
      </c>
      <c r="BM93" s="2055">
        <v>0</v>
      </c>
      <c r="BN93" s="2055">
        <v>0</v>
      </c>
      <c r="BO93" s="2055">
        <v>0</v>
      </c>
      <c r="BP93" s="2055">
        <v>0</v>
      </c>
      <c r="BQ93" s="2055">
        <v>0</v>
      </c>
      <c r="BR93" s="2055">
        <v>0</v>
      </c>
      <c r="BS93" s="2055">
        <v>0</v>
      </c>
      <c r="BT93" s="2055">
        <v>0</v>
      </c>
      <c r="BU93" s="2055">
        <v>0</v>
      </c>
      <c r="BV93" s="2055">
        <v>0</v>
      </c>
      <c r="BW93" s="2055">
        <v>0</v>
      </c>
      <c r="BX93" s="2055">
        <v>0</v>
      </c>
      <c r="BY93" s="2055">
        <v>0</v>
      </c>
      <c r="BZ93" s="2055">
        <v>0</v>
      </c>
      <c r="CA93" s="2055">
        <v>0</v>
      </c>
      <c r="CB93" s="2055">
        <v>0</v>
      </c>
      <c r="CC93" s="2055">
        <v>0</v>
      </c>
      <c r="CD93" s="2055">
        <v>0</v>
      </c>
      <c r="CE93" s="2055">
        <v>0</v>
      </c>
      <c r="CF93" s="2055">
        <v>0</v>
      </c>
      <c r="CG93" s="2055">
        <v>0</v>
      </c>
      <c r="CH93" s="2055">
        <v>0</v>
      </c>
      <c r="CI93" s="2055">
        <v>0</v>
      </c>
      <c r="CJ93" s="2055">
        <v>0</v>
      </c>
      <c r="CK93" s="2055">
        <v>0</v>
      </c>
      <c r="CL93" s="2055">
        <v>0</v>
      </c>
      <c r="CM93" s="2055">
        <v>0</v>
      </c>
      <c r="CN93" s="2055">
        <v>0</v>
      </c>
      <c r="CO93" s="2055">
        <v>0</v>
      </c>
      <c r="CP93" s="2055">
        <v>0</v>
      </c>
      <c r="CQ93" s="2055">
        <v>0</v>
      </c>
      <c r="CR93" s="2055">
        <v>0</v>
      </c>
      <c r="CS93" s="2055">
        <v>0</v>
      </c>
      <c r="CT93" s="2055">
        <v>0</v>
      </c>
      <c r="CU93" s="2055">
        <v>0</v>
      </c>
      <c r="CV93" s="2055">
        <v>0</v>
      </c>
      <c r="CW93" s="2055">
        <v>0</v>
      </c>
      <c r="CX93" s="2055">
        <v>0</v>
      </c>
      <c r="CY93" s="2055">
        <v>0</v>
      </c>
      <c r="CZ93" s="2055">
        <v>0</v>
      </c>
      <c r="DA93" s="2055">
        <v>0</v>
      </c>
      <c r="DB93" s="2055">
        <v>0</v>
      </c>
      <c r="DC93" s="2055">
        <v>0</v>
      </c>
      <c r="DD93" s="2055">
        <v>0</v>
      </c>
      <c r="DE93" s="2055">
        <v>0</v>
      </c>
      <c r="DF93" s="2055">
        <v>0</v>
      </c>
      <c r="DG93" s="2055">
        <v>0</v>
      </c>
      <c r="DH93" s="2055">
        <v>0</v>
      </c>
      <c r="DI93" s="2055">
        <v>0</v>
      </c>
      <c r="DJ93" s="2055">
        <v>0</v>
      </c>
      <c r="DK93" s="2055">
        <v>0</v>
      </c>
      <c r="DL93" s="2055">
        <v>0</v>
      </c>
      <c r="DM93" s="2055">
        <v>0</v>
      </c>
      <c r="DN93" s="2055">
        <v>0</v>
      </c>
      <c r="DO93" s="2055">
        <v>0</v>
      </c>
      <c r="DP93" s="2055">
        <v>0</v>
      </c>
      <c r="DQ93" s="2055">
        <v>0</v>
      </c>
      <c r="DR93" s="2055">
        <v>0</v>
      </c>
      <c r="DS93" s="2055">
        <v>0</v>
      </c>
      <c r="DT93" s="2055">
        <v>0</v>
      </c>
      <c r="DU93" s="2055">
        <v>0</v>
      </c>
      <c r="DV93" s="2055">
        <v>0</v>
      </c>
      <c r="DW93" s="2055">
        <v>0</v>
      </c>
      <c r="DX93" s="2055">
        <v>0</v>
      </c>
      <c r="DY93" s="2055">
        <v>0</v>
      </c>
      <c r="DZ93" s="2055">
        <v>0</v>
      </c>
      <c r="EA93" s="2055">
        <v>0</v>
      </c>
      <c r="EB93" s="2055">
        <v>0</v>
      </c>
      <c r="EC93" s="2055">
        <v>0</v>
      </c>
      <c r="ED93" s="2055">
        <v>0</v>
      </c>
      <c r="EE93" s="2055">
        <v>0</v>
      </c>
      <c r="EF93" s="2055">
        <v>0</v>
      </c>
      <c r="EG93" s="2055">
        <v>0</v>
      </c>
      <c r="EH93" s="2055">
        <v>0</v>
      </c>
      <c r="EI93" s="2055">
        <v>0</v>
      </c>
      <c r="EJ93" s="2055">
        <v>0</v>
      </c>
      <c r="EK93" s="2055">
        <v>0</v>
      </c>
      <c r="EL93" s="2055">
        <v>0</v>
      </c>
      <c r="EM93" s="2055">
        <v>0</v>
      </c>
      <c r="EN93" s="2055">
        <v>0</v>
      </c>
      <c r="EO93" s="2055">
        <v>0</v>
      </c>
      <c r="EP93" s="2055">
        <v>0</v>
      </c>
      <c r="EQ93" s="2055">
        <v>0</v>
      </c>
      <c r="ER93" s="2055">
        <v>0</v>
      </c>
      <c r="ES93" s="2055">
        <v>0</v>
      </c>
      <c r="ET93" s="2055">
        <v>0</v>
      </c>
      <c r="EU93" s="2055">
        <v>0</v>
      </c>
      <c r="EV93" s="2055">
        <v>0</v>
      </c>
      <c r="EW93" s="2055">
        <v>0</v>
      </c>
      <c r="EX93" s="2055">
        <v>0</v>
      </c>
      <c r="EY93" s="2055">
        <v>0</v>
      </c>
      <c r="EZ93" s="2055">
        <v>0</v>
      </c>
      <c r="FA93" s="2055">
        <v>0</v>
      </c>
      <c r="FB93" s="2055">
        <v>0</v>
      </c>
      <c r="FC93" s="2055">
        <v>0</v>
      </c>
      <c r="FD93" s="2055">
        <v>0</v>
      </c>
      <c r="FE93" s="2055">
        <v>0</v>
      </c>
      <c r="FF93" s="2055">
        <v>0</v>
      </c>
      <c r="FG93" s="2055">
        <v>0</v>
      </c>
      <c r="FH93" s="2055">
        <v>0</v>
      </c>
      <c r="FI93" s="2055">
        <v>0</v>
      </c>
      <c r="FJ93" s="2055">
        <v>0</v>
      </c>
      <c r="FK93" s="2055">
        <v>0</v>
      </c>
      <c r="FL93" s="2055">
        <v>0</v>
      </c>
      <c r="FM93" s="2055">
        <v>0</v>
      </c>
      <c r="FN93" s="2055">
        <v>0</v>
      </c>
      <c r="FO93" s="2055">
        <v>0</v>
      </c>
      <c r="FP93" s="2055">
        <v>0</v>
      </c>
      <c r="FQ93" s="2055">
        <v>0</v>
      </c>
      <c r="FR93" s="2055">
        <v>0</v>
      </c>
      <c r="FS93" s="2055">
        <v>0</v>
      </c>
      <c r="FT93" s="2055">
        <v>0</v>
      </c>
      <c r="FU93" s="2055">
        <v>0</v>
      </c>
      <c r="FV93" s="2055">
        <v>0</v>
      </c>
      <c r="FW93" s="2055">
        <v>0</v>
      </c>
      <c r="FX93" s="2055">
        <v>0</v>
      </c>
      <c r="FY93" s="2055">
        <v>0</v>
      </c>
      <c r="FZ93" s="2055">
        <v>0</v>
      </c>
      <c r="GA93" s="2055">
        <v>0</v>
      </c>
      <c r="GB93" s="2055">
        <v>0</v>
      </c>
      <c r="GC93" s="2055">
        <v>0</v>
      </c>
      <c r="GD93" s="2055">
        <v>0</v>
      </c>
      <c r="GE93" s="2055">
        <v>0</v>
      </c>
      <c r="GF93" s="2055">
        <v>0</v>
      </c>
      <c r="GG93" s="2055">
        <v>0</v>
      </c>
      <c r="GH93" s="1073">
        <v>4</v>
      </c>
      <c r="GI93" s="1073">
        <v>115</v>
      </c>
      <c r="GJ93" s="446">
        <v>10</v>
      </c>
      <c r="GK93" s="446">
        <v>10</v>
      </c>
      <c r="GL93" s="446">
        <v>10</v>
      </c>
      <c r="GM93" s="446">
        <v>10</v>
      </c>
      <c r="GN93" s="446">
        <v>10</v>
      </c>
      <c r="GO93" s="1073">
        <v>23</v>
      </c>
    </row>
  </sheetData>
  <sheetProtection formatColumns="0" formatRows="0" insertRows="0" deleteColumns="0" deleteRows="0" sort="0" autoFilter="0"/>
  <mergeCells count="761">
    <mergeCell ref="GD77:GD78"/>
    <mergeCell ref="GE77:GE78"/>
    <mergeCell ref="GF77:GF78"/>
    <mergeCell ref="GG77:GG78"/>
    <mergeCell ref="GE42:GF42"/>
    <mergeCell ref="GD49:GD50"/>
    <mergeCell ref="GE49:GE50"/>
    <mergeCell ref="GF49:GF50"/>
    <mergeCell ref="GG49:GG50"/>
    <mergeCell ref="GD63:GD64"/>
    <mergeCell ref="GE63:GE64"/>
    <mergeCell ref="GF63:GF64"/>
    <mergeCell ref="GG63:GG64"/>
    <mergeCell ref="FZ35:GF35"/>
    <mergeCell ref="FZ37:GG37"/>
    <mergeCell ref="FZ39:GF39"/>
    <mergeCell ref="GG39:GG41"/>
    <mergeCell ref="FZ40:FZ41"/>
    <mergeCell ref="GA40:GA41"/>
    <mergeCell ref="GB40:GC40"/>
    <mergeCell ref="GD40:GF40"/>
    <mergeCell ref="GE41:GF41"/>
    <mergeCell ref="GD8:GD9"/>
    <mergeCell ref="GE8:GE9"/>
    <mergeCell ref="GF8:GF9"/>
    <mergeCell ref="GG8:GG9"/>
    <mergeCell ref="FZ29:GF29"/>
    <mergeCell ref="FZ30:GF30"/>
    <mergeCell ref="FZ31:GF31"/>
    <mergeCell ref="FZ32:GF32"/>
    <mergeCell ref="FZ34:GF34"/>
    <mergeCell ref="FW49:FW50"/>
    <mergeCell ref="FX49:FX50"/>
    <mergeCell ref="FY49:FY50"/>
    <mergeCell ref="FV63:FV64"/>
    <mergeCell ref="FW63:FW64"/>
    <mergeCell ref="FX63:FX64"/>
    <mergeCell ref="FY63:FY64"/>
    <mergeCell ref="FV77:FV78"/>
    <mergeCell ref="FW77:FW78"/>
    <mergeCell ref="FX77:FX78"/>
    <mergeCell ref="FY77:FY78"/>
    <mergeCell ref="FN77:FN78"/>
    <mergeCell ref="FO77:FO78"/>
    <mergeCell ref="FP77:FP78"/>
    <mergeCell ref="FQ77:FQ78"/>
    <mergeCell ref="FV8:FV9"/>
    <mergeCell ref="FW8:FW9"/>
    <mergeCell ref="FX8:FX9"/>
    <mergeCell ref="FY8:FY9"/>
    <mergeCell ref="FR29:FX29"/>
    <mergeCell ref="FR30:FX30"/>
    <mergeCell ref="FR31:FX31"/>
    <mergeCell ref="FR32:FX32"/>
    <mergeCell ref="FR34:FX34"/>
    <mergeCell ref="FR35:FX35"/>
    <mergeCell ref="FR37:FY37"/>
    <mergeCell ref="FR39:FX39"/>
    <mergeCell ref="FY39:FY41"/>
    <mergeCell ref="FR40:FR41"/>
    <mergeCell ref="FS40:FS41"/>
    <mergeCell ref="FT40:FU40"/>
    <mergeCell ref="FV40:FX40"/>
    <mergeCell ref="FW41:FX41"/>
    <mergeCell ref="FW42:FX42"/>
    <mergeCell ref="FV49:FV50"/>
    <mergeCell ref="FO42:FP42"/>
    <mergeCell ref="FN49:FN50"/>
    <mergeCell ref="FO49:FO50"/>
    <mergeCell ref="FP49:FP50"/>
    <mergeCell ref="FQ49:FQ50"/>
    <mergeCell ref="FN63:FN64"/>
    <mergeCell ref="FO63:FO64"/>
    <mergeCell ref="FP63:FP64"/>
    <mergeCell ref="FQ63:FQ64"/>
    <mergeCell ref="FJ35:FP35"/>
    <mergeCell ref="FJ37:FQ37"/>
    <mergeCell ref="FJ39:FP39"/>
    <mergeCell ref="FQ39:FQ41"/>
    <mergeCell ref="FJ40:FJ41"/>
    <mergeCell ref="FK40:FK41"/>
    <mergeCell ref="FL40:FM40"/>
    <mergeCell ref="FN40:FP40"/>
    <mergeCell ref="FO41:FP41"/>
    <mergeCell ref="FN8:FN9"/>
    <mergeCell ref="FO8:FO9"/>
    <mergeCell ref="FP8:FP9"/>
    <mergeCell ref="FQ8:FQ9"/>
    <mergeCell ref="FJ29:FP29"/>
    <mergeCell ref="FJ30:FP30"/>
    <mergeCell ref="FJ31:FP31"/>
    <mergeCell ref="FJ32:FP32"/>
    <mergeCell ref="FJ34:FP34"/>
    <mergeCell ref="FG49:FG50"/>
    <mergeCell ref="FH49:FH50"/>
    <mergeCell ref="FI49:FI50"/>
    <mergeCell ref="FF63:FF64"/>
    <mergeCell ref="FG63:FG64"/>
    <mergeCell ref="FH63:FH64"/>
    <mergeCell ref="FI63:FI64"/>
    <mergeCell ref="FF77:FF78"/>
    <mergeCell ref="FG77:FG78"/>
    <mergeCell ref="FH77:FH78"/>
    <mergeCell ref="FI77:FI78"/>
    <mergeCell ref="EX77:EX78"/>
    <mergeCell ref="EY77:EY78"/>
    <mergeCell ref="EZ77:EZ78"/>
    <mergeCell ref="FA77:FA78"/>
    <mergeCell ref="FF8:FF9"/>
    <mergeCell ref="FG8:FG9"/>
    <mergeCell ref="FH8:FH9"/>
    <mergeCell ref="FI8:FI9"/>
    <mergeCell ref="FB29:FH29"/>
    <mergeCell ref="FB30:FH30"/>
    <mergeCell ref="FB31:FH31"/>
    <mergeCell ref="FB32:FH32"/>
    <mergeCell ref="FB34:FH34"/>
    <mergeCell ref="FB35:FH35"/>
    <mergeCell ref="FB37:FI37"/>
    <mergeCell ref="FB39:FH39"/>
    <mergeCell ref="FI39:FI41"/>
    <mergeCell ref="FB40:FB41"/>
    <mergeCell ref="FC40:FC41"/>
    <mergeCell ref="FD40:FE40"/>
    <mergeCell ref="FF40:FH40"/>
    <mergeCell ref="FG41:FH41"/>
    <mergeCell ref="FG42:FH42"/>
    <mergeCell ref="FF49:FF50"/>
    <mergeCell ref="EY42:EZ42"/>
    <mergeCell ref="EX49:EX50"/>
    <mergeCell ref="EY49:EY50"/>
    <mergeCell ref="EZ49:EZ50"/>
    <mergeCell ref="FA49:FA50"/>
    <mergeCell ref="EX63:EX64"/>
    <mergeCell ref="EY63:EY64"/>
    <mergeCell ref="EZ63:EZ64"/>
    <mergeCell ref="FA63:FA64"/>
    <mergeCell ref="ET35:EZ35"/>
    <mergeCell ref="ET37:FA37"/>
    <mergeCell ref="ET39:EZ39"/>
    <mergeCell ref="FA39:FA41"/>
    <mergeCell ref="ET40:ET41"/>
    <mergeCell ref="EU40:EU41"/>
    <mergeCell ref="EV40:EW40"/>
    <mergeCell ref="EX40:EZ40"/>
    <mergeCell ref="EY41:EZ41"/>
    <mergeCell ref="EX8:EX9"/>
    <mergeCell ref="EY8:EY9"/>
    <mergeCell ref="EZ8:EZ9"/>
    <mergeCell ref="FA8:FA9"/>
    <mergeCell ref="ET29:EZ29"/>
    <mergeCell ref="ET30:EZ30"/>
    <mergeCell ref="ET31:EZ31"/>
    <mergeCell ref="ET32:EZ32"/>
    <mergeCell ref="ET34:EZ34"/>
    <mergeCell ref="EQ49:EQ50"/>
    <mergeCell ref="ER49:ER50"/>
    <mergeCell ref="ES49:ES50"/>
    <mergeCell ref="EP63:EP64"/>
    <mergeCell ref="EQ63:EQ64"/>
    <mergeCell ref="ER63:ER64"/>
    <mergeCell ref="ES63:ES64"/>
    <mergeCell ref="EP77:EP78"/>
    <mergeCell ref="EQ77:EQ78"/>
    <mergeCell ref="ER77:ER78"/>
    <mergeCell ref="ES77:ES78"/>
    <mergeCell ref="EH77:EH78"/>
    <mergeCell ref="EI77:EI78"/>
    <mergeCell ref="EJ77:EJ78"/>
    <mergeCell ref="EK77:EK78"/>
    <mergeCell ref="EP8:EP9"/>
    <mergeCell ref="EQ8:EQ9"/>
    <mergeCell ref="ER8:ER9"/>
    <mergeCell ref="ES8:ES9"/>
    <mergeCell ref="EL29:ER29"/>
    <mergeCell ref="EL30:ER30"/>
    <mergeCell ref="EL31:ER31"/>
    <mergeCell ref="EL32:ER32"/>
    <mergeCell ref="EL34:ER34"/>
    <mergeCell ref="EL35:ER35"/>
    <mergeCell ref="EL37:ES37"/>
    <mergeCell ref="EL39:ER39"/>
    <mergeCell ref="ES39:ES41"/>
    <mergeCell ref="EL40:EL41"/>
    <mergeCell ref="EM40:EM41"/>
    <mergeCell ref="EN40:EO40"/>
    <mergeCell ref="EP40:ER40"/>
    <mergeCell ref="EQ41:ER41"/>
    <mergeCell ref="EQ42:ER42"/>
    <mergeCell ref="EP49:EP50"/>
    <mergeCell ref="EI42:EJ42"/>
    <mergeCell ref="EH49:EH50"/>
    <mergeCell ref="EI49:EI50"/>
    <mergeCell ref="EJ49:EJ50"/>
    <mergeCell ref="EK49:EK50"/>
    <mergeCell ref="EH63:EH64"/>
    <mergeCell ref="EI63:EI64"/>
    <mergeCell ref="EJ63:EJ64"/>
    <mergeCell ref="EK63:EK64"/>
    <mergeCell ref="ED35:EJ35"/>
    <mergeCell ref="ED37:EK37"/>
    <mergeCell ref="ED39:EJ39"/>
    <mergeCell ref="EK39:EK41"/>
    <mergeCell ref="ED40:ED41"/>
    <mergeCell ref="EE40:EE41"/>
    <mergeCell ref="EF40:EG40"/>
    <mergeCell ref="EH40:EJ40"/>
    <mergeCell ref="EI41:EJ41"/>
    <mergeCell ref="EH8:EH9"/>
    <mergeCell ref="EI8:EI9"/>
    <mergeCell ref="EJ8:EJ9"/>
    <mergeCell ref="EK8:EK9"/>
    <mergeCell ref="ED29:EJ29"/>
    <mergeCell ref="ED30:EJ30"/>
    <mergeCell ref="ED31:EJ31"/>
    <mergeCell ref="ED32:EJ32"/>
    <mergeCell ref="ED34:EJ34"/>
    <mergeCell ref="EA49:EA50"/>
    <mergeCell ref="EB49:EB50"/>
    <mergeCell ref="EC49:EC50"/>
    <mergeCell ref="DZ63:DZ64"/>
    <mergeCell ref="EA63:EA64"/>
    <mergeCell ref="EB63:EB64"/>
    <mergeCell ref="EC63:EC64"/>
    <mergeCell ref="DZ77:DZ78"/>
    <mergeCell ref="EA77:EA78"/>
    <mergeCell ref="EB77:EB78"/>
    <mergeCell ref="EC77:EC78"/>
    <mergeCell ref="DR77:DR78"/>
    <mergeCell ref="DS77:DS78"/>
    <mergeCell ref="DT77:DT78"/>
    <mergeCell ref="DU77:DU78"/>
    <mergeCell ref="DZ8:DZ9"/>
    <mergeCell ref="EA8:EA9"/>
    <mergeCell ref="EB8:EB9"/>
    <mergeCell ref="EC8:EC9"/>
    <mergeCell ref="DV29:EB29"/>
    <mergeCell ref="DV30:EB30"/>
    <mergeCell ref="DV31:EB31"/>
    <mergeCell ref="DV32:EB32"/>
    <mergeCell ref="DV34:EB34"/>
    <mergeCell ref="DV35:EB35"/>
    <mergeCell ref="DV37:EC37"/>
    <mergeCell ref="DV39:EB39"/>
    <mergeCell ref="EC39:EC41"/>
    <mergeCell ref="DV40:DV41"/>
    <mergeCell ref="DW40:DW41"/>
    <mergeCell ref="DX40:DY40"/>
    <mergeCell ref="DZ40:EB40"/>
    <mergeCell ref="EA41:EB41"/>
    <mergeCell ref="EA42:EB42"/>
    <mergeCell ref="DZ49:DZ50"/>
    <mergeCell ref="DS42:DT42"/>
    <mergeCell ref="DR49:DR50"/>
    <mergeCell ref="DS49:DS50"/>
    <mergeCell ref="DT49:DT50"/>
    <mergeCell ref="DU49:DU50"/>
    <mergeCell ref="DR63:DR64"/>
    <mergeCell ref="DS63:DS64"/>
    <mergeCell ref="DT63:DT64"/>
    <mergeCell ref="DU63:DU64"/>
    <mergeCell ref="DN35:DT35"/>
    <mergeCell ref="DN37:DU37"/>
    <mergeCell ref="DN39:DT39"/>
    <mergeCell ref="DU39:DU41"/>
    <mergeCell ref="DN40:DN41"/>
    <mergeCell ref="DO40:DO41"/>
    <mergeCell ref="DP40:DQ40"/>
    <mergeCell ref="DR40:DT40"/>
    <mergeCell ref="DS41:DT41"/>
    <mergeCell ref="DR8:DR9"/>
    <mergeCell ref="DS8:DS9"/>
    <mergeCell ref="DT8:DT9"/>
    <mergeCell ref="DU8:DU9"/>
    <mergeCell ref="DN29:DT29"/>
    <mergeCell ref="DN30:DT30"/>
    <mergeCell ref="DN31:DT31"/>
    <mergeCell ref="DN32:DT32"/>
    <mergeCell ref="DN34:DT34"/>
    <mergeCell ref="DK49:DK50"/>
    <mergeCell ref="DL49:DL50"/>
    <mergeCell ref="DM49:DM50"/>
    <mergeCell ref="DJ63:DJ64"/>
    <mergeCell ref="DK63:DK64"/>
    <mergeCell ref="DL63:DL64"/>
    <mergeCell ref="DM63:DM64"/>
    <mergeCell ref="DJ77:DJ78"/>
    <mergeCell ref="DK77:DK78"/>
    <mergeCell ref="DL77:DL78"/>
    <mergeCell ref="DM77:DM78"/>
    <mergeCell ref="DB77:DB78"/>
    <mergeCell ref="DC77:DC78"/>
    <mergeCell ref="DD77:DD78"/>
    <mergeCell ref="DE77:DE78"/>
    <mergeCell ref="DJ8:DJ9"/>
    <mergeCell ref="DK8:DK9"/>
    <mergeCell ref="DL8:DL9"/>
    <mergeCell ref="DM8:DM9"/>
    <mergeCell ref="DF29:DL29"/>
    <mergeCell ref="DF30:DL30"/>
    <mergeCell ref="DF31:DL31"/>
    <mergeCell ref="DF32:DL32"/>
    <mergeCell ref="DF34:DL34"/>
    <mergeCell ref="DF35:DL35"/>
    <mergeCell ref="DF37:DM37"/>
    <mergeCell ref="DF39:DL39"/>
    <mergeCell ref="DM39:DM41"/>
    <mergeCell ref="DF40:DF41"/>
    <mergeCell ref="DG40:DG41"/>
    <mergeCell ref="DH40:DI40"/>
    <mergeCell ref="DJ40:DL40"/>
    <mergeCell ref="DK41:DL41"/>
    <mergeCell ref="DK42:DL42"/>
    <mergeCell ref="DJ49:DJ50"/>
    <mergeCell ref="DC42:DD42"/>
    <mergeCell ref="DB49:DB50"/>
    <mergeCell ref="DC49:DC50"/>
    <mergeCell ref="DD49:DD50"/>
    <mergeCell ref="DE49:DE50"/>
    <mergeCell ref="DB63:DB64"/>
    <mergeCell ref="DC63:DC64"/>
    <mergeCell ref="DD63:DD64"/>
    <mergeCell ref="DE63:DE64"/>
    <mergeCell ref="CX35:DD35"/>
    <mergeCell ref="CX37:DE37"/>
    <mergeCell ref="CX39:DD39"/>
    <mergeCell ref="DE39:DE41"/>
    <mergeCell ref="CX40:CX41"/>
    <mergeCell ref="CY40:CY41"/>
    <mergeCell ref="CZ40:DA40"/>
    <mergeCell ref="DB40:DD40"/>
    <mergeCell ref="DC41:DD41"/>
    <mergeCell ref="DB8:DB9"/>
    <mergeCell ref="DC8:DC9"/>
    <mergeCell ref="DD8:DD9"/>
    <mergeCell ref="DE8:DE9"/>
    <mergeCell ref="CX29:DD29"/>
    <mergeCell ref="CX30:DD30"/>
    <mergeCell ref="CX31:DD31"/>
    <mergeCell ref="CX32:DD32"/>
    <mergeCell ref="CX34:DD34"/>
    <mergeCell ref="CU49:CU50"/>
    <mergeCell ref="CV49:CV50"/>
    <mergeCell ref="CW49:CW50"/>
    <mergeCell ref="CT63:CT64"/>
    <mergeCell ref="CU63:CU64"/>
    <mergeCell ref="CV63:CV64"/>
    <mergeCell ref="CW63:CW64"/>
    <mergeCell ref="CT77:CT78"/>
    <mergeCell ref="CU77:CU78"/>
    <mergeCell ref="CV77:CV78"/>
    <mergeCell ref="CW77:CW78"/>
    <mergeCell ref="CL77:CL78"/>
    <mergeCell ref="CM77:CM78"/>
    <mergeCell ref="CN77:CN78"/>
    <mergeCell ref="CO77:CO78"/>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M42:CN42"/>
    <mergeCell ref="CL49:CL50"/>
    <mergeCell ref="CM49:CM50"/>
    <mergeCell ref="CN49:CN50"/>
    <mergeCell ref="CO49:CO50"/>
    <mergeCell ref="CL63:CL64"/>
    <mergeCell ref="CM63:CM64"/>
    <mergeCell ref="CN63:CN64"/>
    <mergeCell ref="CO63:CO64"/>
    <mergeCell ref="CH35:CN35"/>
    <mergeCell ref="CH37:CO37"/>
    <mergeCell ref="CH39:CN39"/>
    <mergeCell ref="CO39:CO41"/>
    <mergeCell ref="CH40:CH41"/>
    <mergeCell ref="CI40:CI41"/>
    <mergeCell ref="CJ40:CK40"/>
    <mergeCell ref="CL40:CN40"/>
    <mergeCell ref="CM41:CN41"/>
    <mergeCell ref="CL8:CL9"/>
    <mergeCell ref="CM8:CM9"/>
    <mergeCell ref="CN8:CN9"/>
    <mergeCell ref="CO8:CO9"/>
    <mergeCell ref="CH29:CN29"/>
    <mergeCell ref="CH30:CN30"/>
    <mergeCell ref="CH31:CN31"/>
    <mergeCell ref="CH32:CN32"/>
    <mergeCell ref="CH34:CN34"/>
    <mergeCell ref="CG49:CG50"/>
    <mergeCell ref="CD63:CD64"/>
    <mergeCell ref="CE63:CE64"/>
    <mergeCell ref="CF63:CF64"/>
    <mergeCell ref="CG63:CG64"/>
    <mergeCell ref="CD77:CD78"/>
    <mergeCell ref="CE77:CE78"/>
    <mergeCell ref="CF77:CF78"/>
    <mergeCell ref="CG77:CG78"/>
    <mergeCell ref="BZ40:BZ41"/>
    <mergeCell ref="CA40:CA41"/>
    <mergeCell ref="CB40:CC40"/>
    <mergeCell ref="CD40:CF40"/>
    <mergeCell ref="CE41:CF41"/>
    <mergeCell ref="CE42:CF42"/>
    <mergeCell ref="CD49:CD50"/>
    <mergeCell ref="CE49:CE50"/>
    <mergeCell ref="CF49:CF50"/>
    <mergeCell ref="CF8:CF9"/>
    <mergeCell ref="CG8:CG9"/>
    <mergeCell ref="BZ29:CF29"/>
    <mergeCell ref="BZ30:CF30"/>
    <mergeCell ref="BZ31:CF31"/>
    <mergeCell ref="BZ32:CF32"/>
    <mergeCell ref="BZ34:CF34"/>
    <mergeCell ref="BZ35:CF35"/>
    <mergeCell ref="BZ37:CG37"/>
    <mergeCell ref="BV49:BV50"/>
    <mergeCell ref="BW49:BW50"/>
    <mergeCell ref="BX49:BX50"/>
    <mergeCell ref="BY49:BY50"/>
    <mergeCell ref="BV63:BV64"/>
    <mergeCell ref="BW63:BW64"/>
    <mergeCell ref="BX63:BX64"/>
    <mergeCell ref="BY63:BY64"/>
    <mergeCell ref="BV77:BV78"/>
    <mergeCell ref="BW77:BW78"/>
    <mergeCell ref="BX77:BX78"/>
    <mergeCell ref="BY77:BY78"/>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N49:BN50"/>
    <mergeCell ref="BO49:BO50"/>
    <mergeCell ref="BP49:BP50"/>
    <mergeCell ref="BQ49:BQ50"/>
    <mergeCell ref="BN63:BN64"/>
    <mergeCell ref="BO63:BO64"/>
    <mergeCell ref="BP63:BP64"/>
    <mergeCell ref="BQ63:BQ64"/>
    <mergeCell ref="BN77:BN78"/>
    <mergeCell ref="BO77:BO78"/>
    <mergeCell ref="BP77:BP78"/>
    <mergeCell ref="BQ77:BQ78"/>
    <mergeCell ref="BF63:BF64"/>
    <mergeCell ref="BG63:BG64"/>
    <mergeCell ref="BH63:BH64"/>
    <mergeCell ref="BI63:BI64"/>
    <mergeCell ref="BF77:BF78"/>
    <mergeCell ref="BG77:BG78"/>
    <mergeCell ref="BH77:BH78"/>
    <mergeCell ref="BI77:BI78"/>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X63:AX64"/>
    <mergeCell ref="AY63:AY64"/>
    <mergeCell ref="AZ63:AZ64"/>
    <mergeCell ref="BA63:BA64"/>
    <mergeCell ref="AX77:AX78"/>
    <mergeCell ref="AY77:AY78"/>
    <mergeCell ref="AZ77:AZ78"/>
    <mergeCell ref="BA77:BA78"/>
    <mergeCell ref="BF8:BF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63:AP64"/>
    <mergeCell ref="AQ63:AQ64"/>
    <mergeCell ref="AR63:AR64"/>
    <mergeCell ref="AS63:AS64"/>
    <mergeCell ref="AP77:AP78"/>
    <mergeCell ref="AQ77:AQ78"/>
    <mergeCell ref="AR77:AR78"/>
    <mergeCell ref="AS77:AS78"/>
    <mergeCell ref="AX8:AX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C77:AC7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E71:E84"/>
    <mergeCell ref="F72:F83"/>
    <mergeCell ref="G73:G82"/>
    <mergeCell ref="H74:H81"/>
    <mergeCell ref="I75:I80"/>
    <mergeCell ref="P75:P80"/>
    <mergeCell ref="J76:J79"/>
    <mergeCell ref="Q76:Q79"/>
    <mergeCell ref="K77:K78"/>
    <mergeCell ref="Z63:Z64"/>
    <mergeCell ref="AA63:AA64"/>
    <mergeCell ref="AB63:AB64"/>
    <mergeCell ref="AC63:AC64"/>
    <mergeCell ref="GI77:GI79"/>
    <mergeCell ref="AH77:AH78"/>
    <mergeCell ref="AI77:AI78"/>
    <mergeCell ref="AJ77:AJ78"/>
    <mergeCell ref="AK77:AK78"/>
    <mergeCell ref="V76:AC76"/>
    <mergeCell ref="AD76:GH76"/>
    <mergeCell ref="V71:AC71"/>
    <mergeCell ref="AD71:GH71"/>
    <mergeCell ref="V72:AC72"/>
    <mergeCell ref="AD72:GH72"/>
    <mergeCell ref="V73:AC73"/>
    <mergeCell ref="AD73:GH73"/>
    <mergeCell ref="V74:AC74"/>
    <mergeCell ref="AD74:GH74"/>
    <mergeCell ref="V75:AC75"/>
    <mergeCell ref="AD75:GH75"/>
    <mergeCell ref="Z77:Z78"/>
    <mergeCell ref="AA77:AA78"/>
    <mergeCell ref="AB77:AB78"/>
    <mergeCell ref="E57:E70"/>
    <mergeCell ref="F58:F69"/>
    <mergeCell ref="G59:G68"/>
    <mergeCell ref="H60:H67"/>
    <mergeCell ref="I61:I66"/>
    <mergeCell ref="P61:P66"/>
    <mergeCell ref="J62:J65"/>
    <mergeCell ref="Q62:Q65"/>
    <mergeCell ref="K63:K64"/>
    <mergeCell ref="V62:AC62"/>
    <mergeCell ref="AD62:GH62"/>
    <mergeCell ref="V57:AC57"/>
    <mergeCell ref="AD57:GH57"/>
    <mergeCell ref="V58:AC58"/>
    <mergeCell ref="AD58:GH58"/>
    <mergeCell ref="V59:AC59"/>
    <mergeCell ref="AD59:GH59"/>
    <mergeCell ref="V60:AC60"/>
    <mergeCell ref="AD60:GH60"/>
    <mergeCell ref="V61:AC61"/>
    <mergeCell ref="AD61:GH6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GH7"/>
    <mergeCell ref="V2:AC2"/>
    <mergeCell ref="AD2:GH2"/>
    <mergeCell ref="V3:AC3"/>
    <mergeCell ref="AD3:GH3"/>
    <mergeCell ref="V4:AC4"/>
    <mergeCell ref="AD4:GH4"/>
    <mergeCell ref="V5:AC5"/>
    <mergeCell ref="AD5:GH5"/>
    <mergeCell ref="V6:AC6"/>
    <mergeCell ref="AD6:GH6"/>
    <mergeCell ref="GI8:GI10"/>
    <mergeCell ref="AH17:AH18"/>
    <mergeCell ref="AI17:AI18"/>
    <mergeCell ref="AJ17:AJ18"/>
    <mergeCell ref="AK17:AK18"/>
    <mergeCell ref="AH8:AH9"/>
    <mergeCell ref="AI8:AI9"/>
    <mergeCell ref="AJ8:AJ9"/>
    <mergeCell ref="AK8:AK9"/>
    <mergeCell ref="AY8:AY9"/>
    <mergeCell ref="AZ8:AZ9"/>
    <mergeCell ref="BA8:BA9"/>
    <mergeCell ref="BG8:BG9"/>
    <mergeCell ref="BH8:BH9"/>
    <mergeCell ref="BI8:BI9"/>
    <mergeCell ref="BO8:BO9"/>
    <mergeCell ref="BP8:BP9"/>
    <mergeCell ref="BQ8:BQ9"/>
    <mergeCell ref="BV8:BV9"/>
    <mergeCell ref="BW8:BW9"/>
    <mergeCell ref="BX8:BX9"/>
    <mergeCell ref="BY8:BY9"/>
    <mergeCell ref="CD8:CD9"/>
    <mergeCell ref="CE8:CE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GH38"/>
    <mergeCell ref="GI38:GI41"/>
    <mergeCell ref="S39:S41"/>
    <mergeCell ref="T39:T41"/>
    <mergeCell ref="V39:AB39"/>
    <mergeCell ref="AC39:AC41"/>
    <mergeCell ref="AD39:AJ39"/>
    <mergeCell ref="AK39:AK41"/>
    <mergeCell ref="GH39:GH41"/>
    <mergeCell ref="V40:V41"/>
    <mergeCell ref="W40:W41"/>
    <mergeCell ref="X40:Y40"/>
    <mergeCell ref="Z40:AB40"/>
    <mergeCell ref="AD40:AD41"/>
    <mergeCell ref="AE40:AE41"/>
    <mergeCell ref="AF40:AG40"/>
    <mergeCell ref="BW42:BX42"/>
    <mergeCell ref="BZ39:CF39"/>
    <mergeCell ref="CG39:CG41"/>
    <mergeCell ref="E43:E56"/>
    <mergeCell ref="V43:AC43"/>
    <mergeCell ref="AD43:GH43"/>
    <mergeCell ref="F44:F55"/>
    <mergeCell ref="V44:AC44"/>
    <mergeCell ref="AD44:GH44"/>
    <mergeCell ref="G45:G54"/>
    <mergeCell ref="V45:AC45"/>
    <mergeCell ref="AD45:GH45"/>
    <mergeCell ref="H46:H53"/>
    <mergeCell ref="V46:AC46"/>
    <mergeCell ref="AD46:GH46"/>
    <mergeCell ref="I47:I52"/>
    <mergeCell ref="P47:P52"/>
    <mergeCell ref="V47:AC47"/>
    <mergeCell ref="AD47:GH47"/>
    <mergeCell ref="AX49:AX50"/>
    <mergeCell ref="AY49:AY50"/>
    <mergeCell ref="AZ49:AZ50"/>
    <mergeCell ref="BA49:BA50"/>
    <mergeCell ref="BF49:BF50"/>
    <mergeCell ref="BG49:BG50"/>
    <mergeCell ref="BH49:BH50"/>
    <mergeCell ref="BI49:BI50"/>
    <mergeCell ref="T91:GI91"/>
    <mergeCell ref="T92:GI92"/>
    <mergeCell ref="T90:GI90"/>
    <mergeCell ref="GI49:GI51"/>
    <mergeCell ref="T87:GI87"/>
    <mergeCell ref="T88:GI88"/>
    <mergeCell ref="J48:J51"/>
    <mergeCell ref="Q48:Q51"/>
    <mergeCell ref="V48:AC48"/>
    <mergeCell ref="AD48:GH48"/>
    <mergeCell ref="K49:K50"/>
    <mergeCell ref="Z49:Z50"/>
    <mergeCell ref="AA49:AA50"/>
    <mergeCell ref="AB49:AB50"/>
    <mergeCell ref="AC49:AC50"/>
    <mergeCell ref="AH49:AH50"/>
    <mergeCell ref="AI49:AI50"/>
    <mergeCell ref="AJ49:AJ50"/>
    <mergeCell ref="AK49:AK50"/>
    <mergeCell ref="GI63:GI65"/>
    <mergeCell ref="AH63:AH64"/>
    <mergeCell ref="AI63:AI64"/>
    <mergeCell ref="AJ63:AJ64"/>
    <mergeCell ref="AK63:AK64"/>
  </mergeCells>
  <dataValidations count="8">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AG50 AG18 Y50 Y64 AG64 Y78 AG78 AO9 AO50 AO64 AO78 AW9 AW50 AW64 AW78 BE9 BE50 BE64 BE78 BM9 BM50 BM64 BM78 BU9 BU50 BU64 BU78 CC9 CC50 CC64 CC78 CK9 CK50 CK64 CK78 CS9 CS50 CS64 CS78 DA9 DA50 DA64 DA78 DI9 DI50 DI64 DI78 DQ9 DQ50 DQ64 DQ78 DY9 DY50 DY64 DY78 EG9 EG50 EG64 EG78 EO9 EO50 EO64 EO78 EW9 EW50 EW64 EW78 FE9 FE50 FE64 FE78 FM9 FM50 FM64 FM78 FU9 FU50 FU64 FU78 GC9 GC50 GC64 GC78"/>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27757:GG327757 AK393293:GG393293 AK49 AQ49 AS49 AY49 BA49 BG49 BI49 BO49 BQ49 BW49 BY49 CE49 CG49 CM49 CO49 CU49 CW49 DC49 DE49 DK49 DM49 DS49 DU49 EA49 EC49 EI49 EK49 EQ49 ES49 EY49 FA49 FG49 FI49 FO49 FQ49 FW49 FY49 GE49 GG49 AK524365:GG524365 AK8 AQ8 AS8 AY8 BA8 BG8 BI8 BO8 BQ8 BW8 BY8 CE8 CG8 CM8 CO8 CU8 CW8 DC8 DE8 DK8 DM8 DS8 DU8 EA8 EC8 EI8 EK8 EQ8 ES8 EY8 FA8 FG8 FI8 FO8 FQ8 FW8 FY8 GE8 GG8 AK589901:GG589901 AK655437:GG655437 AK17 AK720973:GG720973 AK786509:GG786509 AK852045:GG852045 AK917581:GG917581 AK983117:GG983117 AK65613:GG65613 AK131149:GG131149 AI49 AK458829:GG458829 AI8 AC8 AA8 AI17 AK196685:GG196685 AA49 AC49 AK262221:GG262221 AA63 AC63 AI63 AK63 AQ63 AS63 AY63 BA63 BG63 BI63 BO63 BQ63 BW63 BY63 CE63 CG63 CM63 CO63 CU63 CW63 DC63 DE63 DK63 DM63 DS63 DU63 EA63 EC63 EI63 EK63 EQ63 ES63 EY63 FA63 FG63 FI63 FO63 FQ63 FW63 FY63 GE63 GG63 AA77 AC77 AI77 AK77 AQ77 AS77 AY77 BA77 BG77 BI77 BO77 BQ77 BW77 BY77 CE77 CG77 CM77 CO77 CU77 CW77 DC77 DE77 DK77 DM77 DS77 DU77 EA77 EC77 EI77 EK77 EQ77 ES77 EY77 FA77 FG77 FI77 FO77 FQ77 FW77 FY77 GE77 GG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BV8 BX8 BV49 BX49 BV63 BX63 BV77 BX77 CD8 CF8 CD49 CF49 CD63 CF63 CD77 CF77 CL8 CN8 CL49 CN49 CL63 CN63 CL77 CN77 CT8 CV8 CT49 CV49 CT63 CV63 CT77 CV77 DB8 DD8 DB49 DD49 DB63 DD63 DB77 DD77 DJ8 DL8 DJ49 DL49 DJ63 DL63 DJ77 DL77 DR8 DT8 DR49 DT49 DR63 DT63 DR77 DT77 DZ8 EB8 DZ49 EB49 DZ63 EB63 DZ77 EB77 EH8 EJ8 EH49 EJ49 EH63 EJ63 EH77 EJ77 EP8 ER8 EP49 ER49 EP63 ER63 EP77 ER77 EX8 EZ8 EX49 EZ49 EX63 EZ63 EX77 EZ77 FF8 FH8 FF49 FH49 FF63 FH63 FF77 FH77 FN8 FP8 FN49 FP49 FN63 FP63 FN77 FP77 FV8 FX8 FV49 FX49 FV63 FX63 FV77 FX77 GD8 GF8 GD49 GF49 GD63 GF63 GD77 GF77"/>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type="textLength" operator="lessThanOrEqual" allowBlank="1" showInputMessage="1" showErrorMessage="1" errorTitle="Ошибка" error="Допускается ввод не более 900 символов!" sqref="GI65607:GI65614 GI131143:GI131150 GI196679:GI196686 GI262215:GI262222 GI327751:GI327758 GI393287:GI393294 GI458823:GI458830 GI524359:GI524366 GI589895:GI589902 GI655431:GI655438 GI720967:GI720974 GI786503:GI786510 GI852039:GI852046 GI917575:GI917582 GI983111:GI983118">
      <formula1>900</formula1>
    </dataValidation>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allowBlank="1" sqref="S131151:GI131157 S196687:GI196693 S262223:GI262229 S327759:GI327765 S393295:GI393301 S458831:GI458837 S524367:GI524373 S589903:GI589909 S655439:GI655445 S720975:GI720981 S786511:GI786517 S852047:GI852053 S917583:GI917589 S983119:GI983125 S65615:GI65621"/>
    <dataValidation type="list" allowBlank="1" showInputMessage="1" errorTitle="Ошибка" error="Выберите значение из списка" prompt="Выберите значение из списка" sqref="V983116:GH983116 V65612:GH65612 V131148:GH131148 V196684:GH196684 V262220:GH262220 V327756:GH327756 V393292:GH393292 V458828:GH458828 V524364:GH524364 V589900:GH589900 V655436:GH655436 V720972:GH720972 V786508:GH786508 V852044:GH852044 V917580:GH91758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33" hidden="1"/>
    <col min="2" max="2" width="11" style="4133" hidden="1" customWidth="1"/>
    <col min="3" max="3" width="10.5703125" style="4133" hidden="1"/>
    <col min="4" max="4" width="11.85546875" style="4133" hidden="1" customWidth="1"/>
    <col min="5" max="5" width="10" style="4133" hidden="1" customWidth="1"/>
    <col min="6" max="6" width="8.7109375" style="4133" hidden="1" customWidth="1"/>
    <col min="7" max="7" width="7.5703125" style="4133" hidden="1" customWidth="1"/>
    <col min="8" max="8" width="11.42578125" style="4133" hidden="1" customWidth="1"/>
    <col min="9" max="9" width="12" style="4133" hidden="1" customWidth="1"/>
    <col min="10" max="10" width="9.85546875" style="4133" hidden="1" customWidth="1"/>
    <col min="11" max="11" width="11.42578125" style="4133" hidden="1" customWidth="1"/>
    <col min="12" max="12" width="19.140625" style="4137" hidden="1" customWidth="1"/>
    <col min="13" max="14" width="12.28515625" style="4167" hidden="1" customWidth="1"/>
    <col min="15" max="15" width="23.42578125" style="4167" hidden="1" customWidth="1"/>
    <col min="16" max="16" width="3" style="4167"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AS1" s="1549" t="s">
        <v>14</v>
      </c>
    </row>
    <row r="2" spans="1:45" ht="21" hidden="1" customHeight="1">
      <c r="A2" s="1185"/>
      <c r="B2" s="1185"/>
      <c r="C2" s="1185"/>
      <c r="D2" s="1185"/>
      <c r="E2" s="4438">
        <v>1</v>
      </c>
      <c r="F2" s="1185"/>
      <c r="G2" s="1185"/>
      <c r="H2" s="1185"/>
      <c r="I2" s="1185"/>
      <c r="J2" s="1185"/>
      <c r="K2" s="1185"/>
      <c r="L2" s="1228"/>
      <c r="M2" s="1528"/>
      <c r="N2" s="1528"/>
      <c r="O2" s="1528"/>
      <c r="P2" s="1508"/>
      <c r="Q2" s="295"/>
      <c r="R2" s="290"/>
      <c r="S2" s="1870" t="e">
        <f>INDEX(PT_DIFFERENTIATION_NUM_NTAR,MATCH(A2,PT_DIFFERENTIATION_NTAR_ID,0))</f>
        <v>#N/A</v>
      </c>
      <c r="T2" s="1443"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1542"/>
      <c r="AP2" s="1542" t="str">
        <f t="shared" ref="AP2:AP15" si="0">IF(T2="","",T2)</f>
        <v>Наименование тарифа</v>
      </c>
      <c r="AQ2" s="1542"/>
      <c r="AR2" s="1542"/>
      <c r="AS2" s="1549">
        <v>0</v>
      </c>
    </row>
    <row r="3" spans="1:45" ht="21" hidden="1" customHeight="1">
      <c r="A3" s="1185"/>
      <c r="B3" s="1185"/>
      <c r="C3" s="1185"/>
      <c r="D3" s="1185"/>
      <c r="E3" s="4439"/>
      <c r="F3" s="4438">
        <v>1</v>
      </c>
      <c r="G3" s="1185"/>
      <c r="H3" s="1185"/>
      <c r="I3" s="1185"/>
      <c r="J3" s="1185"/>
      <c r="K3" s="1185"/>
      <c r="L3" s="1228"/>
      <c r="M3" s="1528"/>
      <c r="N3" s="1528"/>
      <c r="O3" s="1528"/>
      <c r="P3" s="1852"/>
      <c r="Q3" s="287"/>
      <c r="R3" s="288"/>
      <c r="S3" s="1870" t="e">
        <f>INDEX(PT_DIFFERENTIATION_NUM_TER,MATCH(B3,PT_DIFFERENTIATION_TER_ID,0))</f>
        <v>#N/A</v>
      </c>
      <c r="T3" s="1440"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1542"/>
      <c r="AP3" s="1542" t="str">
        <f t="shared" si="0"/>
        <v>Территория действия тарифа</v>
      </c>
      <c r="AQ3" s="1542"/>
      <c r="AR3" s="1542"/>
      <c r="AS3" s="1549">
        <v>0</v>
      </c>
    </row>
    <row r="4" spans="1:45" ht="23.25" hidden="1" customHeight="1">
      <c r="A4" s="1185"/>
      <c r="B4" s="1185"/>
      <c r="C4" s="1185"/>
      <c r="D4" s="1185"/>
      <c r="E4" s="4439"/>
      <c r="F4" s="4439"/>
      <c r="G4" s="4438">
        <v>1</v>
      </c>
      <c r="H4" s="1185"/>
      <c r="I4" s="1185"/>
      <c r="J4" s="1185"/>
      <c r="K4" s="1185"/>
      <c r="L4" s="1228"/>
      <c r="M4" s="1528"/>
      <c r="N4" s="1528"/>
      <c r="O4" s="1528"/>
      <c r="P4" s="289"/>
      <c r="Q4" s="287"/>
      <c r="R4" s="288"/>
      <c r="S4" s="1870"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4439"/>
      <c r="F5" s="4439"/>
      <c r="G5" s="4439"/>
      <c r="H5" s="4438">
        <v>1</v>
      </c>
      <c r="I5" s="1185"/>
      <c r="J5" s="1185"/>
      <c r="K5" s="1185"/>
      <c r="L5" s="1228"/>
      <c r="M5" s="1528"/>
      <c r="N5" s="1528"/>
      <c r="O5" s="1528"/>
      <c r="P5" s="289"/>
      <c r="Q5" s="287"/>
      <c r="R5" s="288"/>
      <c r="S5" s="1870"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1542"/>
      <c r="AP5" s="1542" t="str">
        <f t="shared" si="0"/>
        <v xml:space="preserve">Источник тепловой энергии  </v>
      </c>
      <c r="AQ5" s="1542"/>
      <c r="AR5" s="1542"/>
      <c r="AS5" s="1549">
        <v>0</v>
      </c>
    </row>
    <row r="6" spans="1:45" ht="47.25" hidden="1" customHeight="1">
      <c r="A6" s="1185"/>
      <c r="B6" s="1185"/>
      <c r="C6" s="1185"/>
      <c r="D6" s="1185"/>
      <c r="E6" s="4439"/>
      <c r="F6" s="4439"/>
      <c r="G6" s="4439"/>
      <c r="H6" s="4439"/>
      <c r="I6" s="4274" t="e">
        <f>S5&amp;".1"</f>
        <v>#N/A</v>
      </c>
      <c r="J6" s="1185"/>
      <c r="K6" s="1185"/>
      <c r="L6" s="1228" t="s">
        <v>424</v>
      </c>
      <c r="M6" s="1553"/>
      <c r="P6" s="4416">
        <v>1</v>
      </c>
      <c r="Q6" s="1866"/>
      <c r="R6" s="291"/>
      <c r="S6" s="1870" t="e">
        <f>$I6</f>
        <v>#N/A</v>
      </c>
      <c r="T6" s="221" t="s">
        <v>425</v>
      </c>
      <c r="U6" s="236"/>
      <c r="V6" s="4400"/>
      <c r="W6" s="4401"/>
      <c r="X6" s="4401"/>
      <c r="Y6" s="4401"/>
      <c r="Z6" s="4401"/>
      <c r="AA6" s="4401"/>
      <c r="AB6" s="4401"/>
      <c r="AC6" s="4402"/>
      <c r="AD6" s="4400"/>
      <c r="AE6" s="4401"/>
      <c r="AF6" s="4401"/>
      <c r="AG6" s="4401"/>
      <c r="AH6" s="4401"/>
      <c r="AI6" s="4401"/>
      <c r="AJ6" s="4401"/>
      <c r="AK6" s="4401"/>
      <c r="AL6" s="4402"/>
      <c r="AM6" s="1176" t="s">
        <v>426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4439"/>
      <c r="F7" s="4439"/>
      <c r="G7" s="4439"/>
      <c r="H7" s="4439"/>
      <c r="I7" s="4256"/>
      <c r="J7" s="4274" t="e">
        <f>I6&amp;".1"</f>
        <v>#N/A</v>
      </c>
      <c r="K7" s="1185"/>
      <c r="L7" s="1228" t="s">
        <v>427</v>
      </c>
      <c r="M7" s="1553"/>
      <c r="N7" s="1549"/>
      <c r="P7" s="4416"/>
      <c r="Q7" s="4416">
        <v>1</v>
      </c>
      <c r="R7" s="292"/>
      <c r="S7" s="1870"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1542"/>
      <c r="AP7" s="1542" t="str">
        <f t="shared" si="0"/>
        <v>Группа потребителей</v>
      </c>
      <c r="AQ7" s="1542"/>
      <c r="AR7" s="1542"/>
      <c r="AS7" s="1549">
        <v>0</v>
      </c>
    </row>
    <row r="8" spans="1:45" ht="21" hidden="1" customHeight="1">
      <c r="A8" s="1185"/>
      <c r="B8" s="1185"/>
      <c r="C8" s="1185"/>
      <c r="D8" s="1185"/>
      <c r="E8" s="4439"/>
      <c r="F8" s="4439"/>
      <c r="G8" s="4439"/>
      <c r="H8" s="4439"/>
      <c r="I8" s="4256"/>
      <c r="J8" s="4256"/>
      <c r="K8" s="4274" t="e">
        <f>J7&amp;".1"</f>
        <v>#N/A</v>
      </c>
      <c r="L8" s="1228" t="s">
        <v>430</v>
      </c>
      <c r="M8" s="1553"/>
      <c r="N8" s="1549"/>
      <c r="O8" s="1549"/>
      <c r="P8" s="4416"/>
      <c r="Q8" s="4416"/>
      <c r="R8" s="292">
        <v>1</v>
      </c>
      <c r="S8" s="1870"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61"/>
      <c r="AM8" s="4435" t="s">
        <v>431</v>
      </c>
      <c r="AN8" s="1554" t="e">
        <f ca="1">STRCHECKDATE(V9:AL9)</f>
        <v>#NAME?</v>
      </c>
      <c r="AO8" s="1542"/>
      <c r="AP8" s="1542" t="str">
        <f t="shared" si="0"/>
        <v/>
      </c>
      <c r="AQ8" s="1542"/>
      <c r="AR8" s="1542"/>
      <c r="AS8" s="1549">
        <v>0</v>
      </c>
    </row>
    <row r="9" spans="1:45" ht="0.75" hidden="1" customHeight="1">
      <c r="A9" s="1185"/>
      <c r="B9" s="1185"/>
      <c r="C9" s="1185"/>
      <c r="D9" s="1185"/>
      <c r="E9" s="4439"/>
      <c r="F9" s="4439"/>
      <c r="G9" s="4439"/>
      <c r="H9" s="4439"/>
      <c r="I9" s="4256"/>
      <c r="J9" s="4256"/>
      <c r="K9" s="4274"/>
      <c r="L9" s="1228"/>
      <c r="M9" s="1553"/>
      <c r="N9" s="1549"/>
      <c r="O9" s="1549"/>
      <c r="P9" s="4416"/>
      <c r="Q9" s="4416"/>
      <c r="R9" s="292"/>
      <c r="S9" s="1879"/>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1542"/>
      <c r="AP9" s="1542" t="str">
        <f t="shared" si="0"/>
        <v/>
      </c>
      <c r="AQ9" s="1542"/>
      <c r="AR9" s="1542"/>
      <c r="AS9" s="1549">
        <v>0</v>
      </c>
    </row>
    <row r="10" spans="1:45" ht="15" hidden="1" customHeight="1">
      <c r="A10" s="1185"/>
      <c r="B10" s="1185"/>
      <c r="C10" s="1185"/>
      <c r="D10" s="1185"/>
      <c r="E10" s="4439"/>
      <c r="F10" s="4439"/>
      <c r="G10" s="4439"/>
      <c r="H10" s="4439"/>
      <c r="I10" s="4256"/>
      <c r="J10" s="4274"/>
      <c r="K10" s="1185"/>
      <c r="L10" s="1228"/>
      <c r="M10" s="1553"/>
      <c r="N10" s="1549"/>
      <c r="P10" s="4416"/>
      <c r="Q10" s="4416"/>
      <c r="R10" s="291"/>
      <c r="S10" s="1196"/>
      <c r="T10" s="224" t="s">
        <v>432</v>
      </c>
      <c r="U10" s="535"/>
      <c r="V10" s="535"/>
      <c r="W10" s="535"/>
      <c r="X10" s="535"/>
      <c r="Y10" s="535"/>
      <c r="Z10" s="535"/>
      <c r="AA10" s="535"/>
      <c r="AB10" s="535"/>
      <c r="AC10" s="535"/>
      <c r="AD10" s="535"/>
      <c r="AE10" s="535"/>
      <c r="AF10" s="535"/>
      <c r="AG10" s="535"/>
      <c r="AH10" s="535"/>
      <c r="AI10" s="535"/>
      <c r="AJ10" s="535"/>
      <c r="AK10" s="535"/>
      <c r="AL10" s="260"/>
      <c r="AM10" s="443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4439"/>
      <c r="F11" s="4439"/>
      <c r="G11" s="4439"/>
      <c r="H11" s="4439"/>
      <c r="I11" s="4274"/>
      <c r="J11" s="1185"/>
      <c r="K11" s="1185"/>
      <c r="L11" s="1228"/>
      <c r="M11" s="1553"/>
      <c r="P11" s="4416"/>
      <c r="Q11" s="1866"/>
      <c r="R11" s="291"/>
      <c r="S11" s="1196"/>
      <c r="T11" s="223" t="s">
        <v>433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4439"/>
      <c r="F12" s="4439"/>
      <c r="G12" s="4439"/>
      <c r="H12" s="4438"/>
      <c r="I12" s="1185"/>
      <c r="J12" s="1185"/>
      <c r="K12" s="1185"/>
      <c r="L12" s="1228"/>
      <c r="M12" s="1528"/>
      <c r="N12" s="1528"/>
      <c r="O12" s="1553"/>
      <c r="P12" s="295"/>
      <c r="Q12" s="310"/>
      <c r="R12" s="290"/>
      <c r="S12" s="1196"/>
      <c r="T12" s="300" t="s">
        <v>434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140" customFormat="1" ht="0.75" hidden="1" customHeight="1">
      <c r="A13" s="1292"/>
      <c r="B13" s="1292"/>
      <c r="C13" s="1292"/>
      <c r="D13" s="1292"/>
      <c r="E13" s="4439"/>
      <c r="F13" s="4439"/>
      <c r="G13" s="4438"/>
      <c r="H13" s="1292"/>
      <c r="I13" s="1292"/>
      <c r="J13" s="1292"/>
      <c r="K13" s="1292"/>
      <c r="L13" s="1295"/>
      <c r="M13" s="1296"/>
      <c r="N13" s="1296"/>
      <c r="O13" s="286"/>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140" customFormat="1" ht="0.75" hidden="1" customHeight="1">
      <c r="A14" s="1292"/>
      <c r="B14" s="1292"/>
      <c r="C14" s="1292"/>
      <c r="D14" s="1292"/>
      <c r="E14" s="4439"/>
      <c r="F14" s="4438"/>
      <c r="G14" s="1292"/>
      <c r="H14" s="1292"/>
      <c r="I14" s="1292"/>
      <c r="J14" s="1292"/>
      <c r="K14" s="1292"/>
      <c r="L14" s="1295"/>
      <c r="M14" s="1297"/>
      <c r="N14" s="1297"/>
      <c r="O14" s="286"/>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140" customFormat="1" ht="0.75" hidden="1" customHeight="1">
      <c r="A15" s="1292"/>
      <c r="B15" s="1292"/>
      <c r="C15" s="1292"/>
      <c r="D15" s="1292"/>
      <c r="E15" s="4438"/>
      <c r="F15" s="1292"/>
      <c r="G15" s="1292"/>
      <c r="H15" s="1292"/>
      <c r="I15" s="1292"/>
      <c r="J15" s="1292"/>
      <c r="K15" s="1292"/>
      <c r="L15" s="1295"/>
      <c r="M15" s="1297"/>
      <c r="N15" s="1297"/>
      <c r="O15" s="286"/>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4410"/>
      <c r="AI17" s="4409" t="s">
        <v>65</v>
      </c>
      <c r="AJ17" s="4410"/>
      <c r="AK17" s="4409" t="s">
        <v>65</v>
      </c>
      <c r="AS17" s="1549">
        <v>0</v>
      </c>
    </row>
    <row r="18" spans="1:45" ht="14.25" hidden="1" customHeight="1">
      <c r="AD18" s="1278"/>
      <c r="AE18" s="1278"/>
      <c r="AF18" s="1278"/>
      <c r="AG18" s="264" t="str">
        <f>AH17&amp;"-"&amp;AJ17</f>
        <v>-</v>
      </c>
      <c r="AH18" s="4409"/>
      <c r="AI18" s="4409"/>
      <c r="AJ18" s="4409"/>
      <c r="AK18" s="4409"/>
      <c r="AS18" s="1549">
        <v>0</v>
      </c>
    </row>
    <row r="19" spans="1:45" ht="14.25" hidden="1" customHeight="1">
      <c r="AS19" s="1549">
        <v>0</v>
      </c>
    </row>
    <row r="20" spans="1:45" s="4139" customFormat="1" ht="14.25" hidden="1" customHeight="1">
      <c r="A20" s="1549"/>
      <c r="B20" s="1549"/>
      <c r="C20" s="1549"/>
      <c r="D20" s="1549"/>
      <c r="E20" s="1549"/>
      <c r="F20" s="1549"/>
      <c r="G20" s="1549"/>
      <c r="H20" s="1549"/>
      <c r="I20" s="1549"/>
      <c r="J20" s="1549"/>
      <c r="K20" s="1549"/>
      <c r="L20" s="1851"/>
      <c r="M20" s="1877"/>
      <c r="N20" s="1877"/>
      <c r="O20" s="1263" t="s">
        <v>435</v>
      </c>
      <c r="P20" s="1280"/>
      <c r="Q20" s="1289"/>
      <c r="R20" s="1289"/>
      <c r="S20" s="664"/>
      <c r="Z20" s="1285"/>
      <c r="AB20" s="1285"/>
      <c r="AH20" s="1285"/>
      <c r="AJ20" s="1285"/>
      <c r="AN20" s="1554"/>
      <c r="AO20" s="1554"/>
      <c r="AP20" s="1554"/>
      <c r="AQ20" s="1554"/>
      <c r="AR20" s="1554"/>
      <c r="AS20" s="1284">
        <v>0</v>
      </c>
    </row>
    <row r="21" spans="1:45" s="413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4139" customFormat="1" ht="14.25" hidden="1" customHeight="1">
      <c r="A22" s="1549"/>
      <c r="B22" s="1549"/>
      <c r="C22" s="1549"/>
      <c r="D22" s="1549"/>
      <c r="E22" s="1549"/>
      <c r="F22" s="1549"/>
      <c r="G22" s="1549"/>
      <c r="H22" s="1549"/>
      <c r="I22" s="1549"/>
      <c r="J22" s="1549"/>
      <c r="K22" s="1549"/>
      <c r="L22" s="1851"/>
      <c r="M22" s="1877"/>
      <c r="N22" s="1877"/>
      <c r="O22" s="1228" t="s">
        <v>436</v>
      </c>
      <c r="P22" s="1280"/>
      <c r="Q22" s="1289"/>
      <c r="R22" s="1289"/>
      <c r="S22" s="664"/>
      <c r="T22" s="1284" t="s">
        <v>437</v>
      </c>
      <c r="AA22" s="530" t="s">
        <v>438</v>
      </c>
      <c r="AC22" s="530" t="s">
        <v>439</v>
      </c>
      <c r="AD22" s="1284" t="s">
        <v>437</v>
      </c>
      <c r="AI22" s="530" t="s">
        <v>440</v>
      </c>
      <c r="AK22" s="530" t="s">
        <v>439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43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393"/>
      <c r="U26" s="4393"/>
      <c r="V26" s="4393"/>
      <c r="W26" s="4393"/>
      <c r="X26" s="4393"/>
      <c r="Y26" s="4393"/>
      <c r="Z26" s="4393"/>
      <c r="AA26" s="4393"/>
      <c r="AB26" s="4393"/>
      <c r="AC26" s="4393"/>
      <c r="AD26" s="4393"/>
      <c r="AE26" s="4393"/>
      <c r="AF26" s="4393"/>
      <c r="AG26" s="4393"/>
      <c r="AH26" s="4393"/>
      <c r="AI26" s="4393"/>
      <c r="AJ26" s="4393"/>
      <c r="AK26" s="1161"/>
      <c r="AS26" s="1549">
        <v>14</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149" customFormat="1" ht="25.5" hidden="1" customHeight="1">
      <c r="A29" s="1166"/>
      <c r="B29" s="1166"/>
      <c r="C29" s="1166"/>
      <c r="D29" s="1166"/>
      <c r="E29" s="1166"/>
      <c r="F29" s="1166"/>
      <c r="G29" s="1166"/>
      <c r="H29" s="1166"/>
      <c r="I29" s="1166"/>
      <c r="J29" s="1166"/>
      <c r="K29" s="1166"/>
      <c r="L29" s="1298"/>
      <c r="M29" s="1166"/>
      <c r="N29" s="1166"/>
      <c r="O29" s="116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1553"/>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1553"/>
      <c r="AL29" s="1553"/>
      <c r="AM29" s="216"/>
      <c r="AN29" s="303"/>
      <c r="AO29" s="303"/>
      <c r="AP29" s="303"/>
      <c r="AQ29" s="303"/>
      <c r="AR29" s="303"/>
      <c r="AS29" s="353">
        <v>0</v>
      </c>
    </row>
    <row r="30" spans="1:45" s="4149" customFormat="1" ht="18.75" hidden="1" customHeight="1">
      <c r="A30" s="1166"/>
      <c r="B30" s="1166"/>
      <c r="C30" s="1166"/>
      <c r="D30" s="1166"/>
      <c r="E30" s="1166"/>
      <c r="F30" s="1166"/>
      <c r="G30" s="1166"/>
      <c r="H30" s="1166"/>
      <c r="I30" s="1166"/>
      <c r="J30" s="1166"/>
      <c r="K30" s="1166"/>
      <c r="L30" s="1298"/>
      <c r="M30" s="1166"/>
      <c r="N30" s="1166"/>
      <c r="O30" s="1166"/>
      <c r="S30" s="4403" t="s">
        <v>441</v>
      </c>
      <c r="T30" s="4403"/>
      <c r="U30" s="1290"/>
      <c r="V30" s="4404">
        <f>IF(TITLE_DATE_PR_CHANGE="",IF(TITLE_DATE_PR="","",TITLE_DATE_PR),TITLE_DATE_PR_CHANGE)</f>
        <v>45646</v>
      </c>
      <c r="W30" s="4404"/>
      <c r="X30" s="4404"/>
      <c r="Y30" s="4404"/>
      <c r="Z30" s="4404"/>
      <c r="AA30" s="4404"/>
      <c r="AB30" s="4404"/>
      <c r="AC30" s="1553"/>
      <c r="AD30" s="4404">
        <f>IF(TITLE_DATE_PR_CHANGE="",IF(TITLE_DATE_PR="","",TITLE_DATE_PR),TITLE_DATE_PR_CHANGE)</f>
        <v>45646</v>
      </c>
      <c r="AE30" s="4404"/>
      <c r="AF30" s="4404"/>
      <c r="AG30" s="4404"/>
      <c r="AH30" s="4404"/>
      <c r="AI30" s="4404"/>
      <c r="AJ30" s="4404"/>
      <c r="AK30" s="1553"/>
      <c r="AL30" s="1553"/>
      <c r="AM30" s="216"/>
      <c r="AN30" s="303"/>
      <c r="AO30" s="303"/>
      <c r="AP30" s="303"/>
      <c r="AQ30" s="303"/>
      <c r="AR30" s="303"/>
      <c r="AS30" s="353">
        <v>0</v>
      </c>
    </row>
    <row r="31" spans="1:45" s="4149" customFormat="1" ht="18.75" hidden="1" customHeight="1">
      <c r="A31" s="1166"/>
      <c r="B31" s="1166"/>
      <c r="C31" s="1166"/>
      <c r="D31" s="1166"/>
      <c r="E31" s="1166"/>
      <c r="F31" s="1166"/>
      <c r="G31" s="1166"/>
      <c r="H31" s="1166"/>
      <c r="I31" s="1166"/>
      <c r="J31" s="1166"/>
      <c r="K31" s="1166"/>
      <c r="L31" s="1298"/>
      <c r="M31" s="1166"/>
      <c r="N31" s="1166"/>
      <c r="O31" s="1166"/>
      <c r="S31" s="4403" t="s">
        <v>442</v>
      </c>
      <c r="T31" s="4403"/>
      <c r="U31" s="1290"/>
      <c r="V31" s="4405" t="str">
        <f>IF(TITLE_NUMBER_PR_CHANGE="",IF(TITLE_NUMBER_PR="","",TITLE_NUMBER_PR),TITLE_NUMBER_PR_CHANGE)</f>
        <v>51/110</v>
      </c>
      <c r="W31" s="4405"/>
      <c r="X31" s="4405"/>
      <c r="Y31" s="4405"/>
      <c r="Z31" s="4405"/>
      <c r="AA31" s="4405"/>
      <c r="AB31" s="4405"/>
      <c r="AC31" s="1553"/>
      <c r="AD31" s="4405" t="str">
        <f>IF(TITLE_NUMBER_PR_CHANGE="",IF(TITLE_NUMBER_PR="","",TITLE_NUMBER_PR),TITLE_NUMBER_PR_CHANGE)</f>
        <v>51/110</v>
      </c>
      <c r="AE31" s="4405"/>
      <c r="AF31" s="4405"/>
      <c r="AG31" s="4405"/>
      <c r="AH31" s="4405"/>
      <c r="AI31" s="4405"/>
      <c r="AJ31" s="4405"/>
      <c r="AK31" s="1553"/>
      <c r="AL31" s="1553"/>
      <c r="AM31" s="216"/>
      <c r="AN31" s="303"/>
      <c r="AO31" s="303"/>
      <c r="AP31" s="303"/>
      <c r="AQ31" s="303"/>
      <c r="AR31" s="303"/>
      <c r="AS31" s="353">
        <v>0</v>
      </c>
    </row>
    <row r="32" spans="1:45" s="4149" customFormat="1" ht="18.75" hidden="1" customHeight="1">
      <c r="A32" s="1166"/>
      <c r="B32" s="1166"/>
      <c r="C32" s="1166"/>
      <c r="D32" s="1166"/>
      <c r="E32" s="1166"/>
      <c r="F32" s="1166"/>
      <c r="G32" s="1166"/>
      <c r="H32" s="1166"/>
      <c r="I32" s="1166"/>
      <c r="J32" s="1166"/>
      <c r="K32" s="1166"/>
      <c r="L32" s="1298"/>
      <c r="M32" s="1166"/>
      <c r="N32" s="1166"/>
      <c r="O32" s="116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1553"/>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149" customFormat="1" ht="18.75" hidden="1" customHeight="1">
      <c r="A34" s="1166"/>
      <c r="B34" s="1166"/>
      <c r="C34" s="1166"/>
      <c r="D34" s="1166"/>
      <c r="E34" s="1166"/>
      <c r="F34" s="1166"/>
      <c r="G34" s="1166"/>
      <c r="H34" s="1166"/>
      <c r="I34" s="1166"/>
      <c r="J34" s="1166"/>
      <c r="K34" s="1166"/>
      <c r="L34" s="1298"/>
      <c r="M34" s="1166"/>
      <c r="N34" s="1166"/>
      <c r="O34" s="1166"/>
      <c r="S34" s="4403" t="s">
        <v>443</v>
      </c>
      <c r="T34" s="4403"/>
      <c r="U34" s="1290"/>
      <c r="V34" s="4404">
        <f>IF(TITLE_DATE_PR_CHANGE="",IF(TITLE_DATE_PR="","",TITLE_DATE_PR),TITLE_DATE_PR_CHANGE)</f>
        <v>45646</v>
      </c>
      <c r="W34" s="4404"/>
      <c r="X34" s="4404"/>
      <c r="Y34" s="4404"/>
      <c r="Z34" s="4404"/>
      <c r="AA34" s="4404"/>
      <c r="AB34" s="4404"/>
      <c r="AC34" s="1553"/>
      <c r="AD34" s="4404">
        <f>IF(TITLE_DATE_PR_CHANGE="",IF(TITLE_DATE_PR="","",TITLE_DATE_PR),TITLE_DATE_PR_CHANGE)</f>
        <v>45646</v>
      </c>
      <c r="AE34" s="4404"/>
      <c r="AF34" s="4404"/>
      <c r="AG34" s="4404"/>
      <c r="AH34" s="4404"/>
      <c r="AI34" s="4404"/>
      <c r="AJ34" s="4404"/>
      <c r="AK34" s="1553"/>
      <c r="AL34" s="1553"/>
      <c r="AM34" s="216"/>
      <c r="AN34" s="303"/>
      <c r="AO34" s="303"/>
      <c r="AP34" s="303"/>
      <c r="AQ34" s="303"/>
      <c r="AR34" s="303"/>
      <c r="AS34" s="353">
        <v>0</v>
      </c>
    </row>
    <row r="35" spans="1:45" s="4149" customFormat="1" ht="18.75" hidden="1" customHeight="1">
      <c r="A35" s="1166"/>
      <c r="B35" s="1166"/>
      <c r="C35" s="1166"/>
      <c r="D35" s="1166"/>
      <c r="E35" s="1166"/>
      <c r="F35" s="1166"/>
      <c r="G35" s="1166"/>
      <c r="H35" s="1166"/>
      <c r="I35" s="1166"/>
      <c r="J35" s="1166"/>
      <c r="K35" s="1166"/>
      <c r="L35" s="1298"/>
      <c r="M35" s="1166"/>
      <c r="N35" s="1166"/>
      <c r="O35" s="1166"/>
      <c r="S35" s="4403" t="s">
        <v>444</v>
      </c>
      <c r="T35" s="4403"/>
      <c r="U35" s="1290"/>
      <c r="V35" s="4405" t="str">
        <f>IF(TITLE_NUMBER_PR_CHANGE="",IF(TITLE_NUMBER_PR="","",TITLE_NUMBER_PR),TITLE_NUMBER_PR_CHANGE)</f>
        <v>51/110</v>
      </c>
      <c r="W35" s="4405"/>
      <c r="X35" s="4405"/>
      <c r="Y35" s="4405"/>
      <c r="Z35" s="4405"/>
      <c r="AA35" s="4405"/>
      <c r="AB35" s="4405"/>
      <c r="AC35" s="1553"/>
      <c r="AD35" s="4405" t="str">
        <f>IF(TITLE_NUMBER_PR_CHANGE="",IF(TITLE_NUMBER_PR="","",TITLE_NUMBER_PR),TITLE_NUMBER_PR_CHANGE)</f>
        <v>51/110</v>
      </c>
      <c r="AE35" s="4405"/>
      <c r="AF35" s="4405"/>
      <c r="AG35" s="4405"/>
      <c r="AH35" s="4405"/>
      <c r="AI35" s="4405"/>
      <c r="AJ35" s="4405"/>
      <c r="AK35" s="1553"/>
      <c r="AL35" s="1553"/>
      <c r="AM35" s="216"/>
      <c r="AN35" s="303"/>
      <c r="AO35" s="303"/>
      <c r="AP35" s="303"/>
      <c r="AQ35" s="303"/>
      <c r="AR35" s="303"/>
      <c r="AS35" s="353">
        <v>0</v>
      </c>
    </row>
    <row r="36" spans="1:45" s="414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445</v>
      </c>
      <c r="AD36" s="1553"/>
      <c r="AE36" s="1553"/>
      <c r="AF36" s="1553"/>
      <c r="AG36" s="1553"/>
      <c r="AH36" s="1553"/>
      <c r="AI36" s="1553"/>
      <c r="AJ36" s="1553"/>
      <c r="AK36" s="1560" t="s">
        <v>445</v>
      </c>
      <c r="AN36" s="303"/>
      <c r="AO36" s="303"/>
      <c r="AP36" s="303"/>
      <c r="AQ36" s="303"/>
      <c r="AR36" s="303"/>
      <c r="AS36" s="353">
        <v>0</v>
      </c>
    </row>
    <row r="37" spans="1:45" ht="14.65" customHeight="1">
      <c r="Q37" s="311"/>
      <c r="R37" s="311"/>
      <c r="S37" s="1193"/>
      <c r="T37" s="392"/>
      <c r="U37" s="1162"/>
      <c r="V37" s="4424"/>
      <c r="W37" s="4424"/>
      <c r="X37" s="4424"/>
      <c r="Y37" s="4424"/>
      <c r="Z37" s="4424"/>
      <c r="AA37" s="4424"/>
      <c r="AB37" s="4424"/>
      <c r="AC37" s="4424"/>
      <c r="AD37" s="4424"/>
      <c r="AE37" s="4424"/>
      <c r="AF37" s="4424"/>
      <c r="AG37" s="4424"/>
      <c r="AH37" s="4424"/>
      <c r="AI37" s="4424"/>
      <c r="AJ37" s="4424"/>
      <c r="AK37" s="4424"/>
      <c r="AS37" s="1549">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549">
        <v>14</v>
      </c>
    </row>
    <row r="39" spans="1:45" ht="14.65" customHeight="1">
      <c r="Q39" s="311"/>
      <c r="R39" s="311"/>
      <c r="S39" s="4425" t="s">
        <v>92</v>
      </c>
      <c r="T39" s="4373" t="s">
        <v>446</v>
      </c>
      <c r="U39" s="273"/>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549">
        <v>14</v>
      </c>
    </row>
    <row r="40" spans="1:45" ht="35.65" customHeight="1">
      <c r="Q40" s="311"/>
      <c r="R40" s="311"/>
      <c r="S40" s="4425"/>
      <c r="T40" s="4373"/>
      <c r="U40" s="953"/>
      <c r="V40" s="4345" t="s">
        <v>451</v>
      </c>
      <c r="W40" s="4421" t="s">
        <v>452</v>
      </c>
      <c r="X40" s="4256" t="s">
        <v>453</v>
      </c>
      <c r="Y40" s="4255"/>
      <c r="Z40" s="4256" t="s">
        <v>466</v>
      </c>
      <c r="AA40" s="4261"/>
      <c r="AB40" s="4255"/>
      <c r="AC40" s="4430"/>
      <c r="AD40" s="4345" t="s">
        <v>451</v>
      </c>
      <c r="AE40" s="4421" t="s">
        <v>452</v>
      </c>
      <c r="AF40" s="4256" t="s">
        <v>453</v>
      </c>
      <c r="AG40" s="4255"/>
      <c r="AH40" s="4256" t="s">
        <v>454</v>
      </c>
      <c r="AI40" s="4261"/>
      <c r="AJ40" s="4255"/>
      <c r="AK40" s="4430"/>
      <c r="AL40" s="4433"/>
      <c r="AM40" s="4274"/>
      <c r="AS40" s="1549">
        <v>34</v>
      </c>
    </row>
    <row r="41" spans="1:45" ht="35.65" customHeight="1">
      <c r="A41" s="1184"/>
      <c r="B41" s="1184" t="s">
        <v>138</v>
      </c>
      <c r="C41" s="1184" t="s">
        <v>139</v>
      </c>
      <c r="D41" s="1184" t="s">
        <v>140</v>
      </c>
      <c r="E41" s="1228" t="s">
        <v>455</v>
      </c>
      <c r="F41" s="1228" t="s">
        <v>456</v>
      </c>
      <c r="G41" s="1228" t="s">
        <v>457</v>
      </c>
      <c r="H41" s="1228" t="s">
        <v>458</v>
      </c>
      <c r="I41" s="1228" t="s">
        <v>459</v>
      </c>
      <c r="J41" s="1228" t="s">
        <v>460</v>
      </c>
      <c r="K41" s="1228" t="s">
        <v>461</v>
      </c>
      <c r="L41" s="1228" t="s">
        <v>436</v>
      </c>
      <c r="Q41" s="311"/>
      <c r="R41" s="311"/>
      <c r="S41" s="4425"/>
      <c r="T41" s="4373"/>
      <c r="U41" s="238"/>
      <c r="V41" s="4398"/>
      <c r="W41" s="4422"/>
      <c r="X41" s="1850" t="s">
        <v>462</v>
      </c>
      <c r="Y41" s="1850" t="s">
        <v>463</v>
      </c>
      <c r="Z41" s="1850" t="s">
        <v>464</v>
      </c>
      <c r="AA41" s="4378" t="s">
        <v>465</v>
      </c>
      <c r="AB41" s="4392"/>
      <c r="AC41" s="4431"/>
      <c r="AD41" s="4398"/>
      <c r="AE41" s="4422"/>
      <c r="AF41" s="1850" t="s">
        <v>462</v>
      </c>
      <c r="AG41" s="1850" t="s">
        <v>463</v>
      </c>
      <c r="AH41" s="1850" t="s">
        <v>464</v>
      </c>
      <c r="AI41" s="4378" t="s">
        <v>465</v>
      </c>
      <c r="AJ41" s="4392"/>
      <c r="AK41" s="4431"/>
      <c r="AL41" s="4434"/>
      <c r="AM41" s="4274"/>
      <c r="AS41" s="1549">
        <v>34</v>
      </c>
    </row>
    <row r="42" spans="1:45" s="416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113</v>
      </c>
      <c r="T42" s="1173" t="s">
        <v>114</v>
      </c>
      <c r="U42" s="1163" t="str">
        <f ca="1">OFFSET(U42,0,-1)</f>
        <v>2</v>
      </c>
      <c r="V42" s="1868">
        <f ca="1">OFFSET(V42,0,-1)+1</f>
        <v>3</v>
      </c>
      <c r="W42" s="1868"/>
      <c r="X42" s="1868">
        <f ca="1">OFFSET(X42,0,-1)+1</f>
        <v>1</v>
      </c>
      <c r="Y42" s="1868">
        <f ca="1">OFFSET(Y42,0,-1)+1</f>
        <v>2</v>
      </c>
      <c r="Z42" s="1868">
        <f ca="1">OFFSET(Z42,0,-1)+1</f>
        <v>3</v>
      </c>
      <c r="AA42" s="4423">
        <f ca="1">OFFSET(AA42,0,-1)+1</f>
        <v>4</v>
      </c>
      <c r="AB42" s="4423"/>
      <c r="AC42" s="1868">
        <f ca="1">OFFSET(AC42,0,-2)+1</f>
        <v>5</v>
      </c>
      <c r="AD42" s="1868">
        <f ca="1">OFFSET(AD42,0,-1)+1</f>
        <v>6</v>
      </c>
      <c r="AE42" s="1868"/>
      <c r="AF42" s="1868">
        <f ca="1">OFFSET(AF42,0,-1)+1</f>
        <v>1</v>
      </c>
      <c r="AG42" s="1868">
        <f ca="1">OFFSET(AG42,0,-1)+1</f>
        <v>2</v>
      </c>
      <c r="AH42" s="1868">
        <f ca="1">OFFSET(AH42,0,-1)+1</f>
        <v>3</v>
      </c>
      <c r="AI42" s="4423">
        <f ca="1">OFFSET(AI42,0,-1)+1</f>
        <v>4</v>
      </c>
      <c r="AJ42" s="4423"/>
      <c r="AK42" s="1868">
        <f ca="1">OFFSET(AK42,0,-2)+1</f>
        <v>5</v>
      </c>
      <c r="AL42" s="1163">
        <f ca="1">OFFSET(AL42,0,-1)</f>
        <v>5</v>
      </c>
      <c r="AM42" s="1868">
        <f ca="1">OFFSET(AM42,0,-1)+1</f>
        <v>6</v>
      </c>
      <c r="AN42" s="1554"/>
      <c r="AO42" s="1554"/>
      <c r="AP42" s="1554"/>
      <c r="AQ42" s="1554"/>
      <c r="AR42" s="1554"/>
      <c r="AS42" s="1559">
        <v>0</v>
      </c>
    </row>
    <row r="43" spans="1:45" ht="21.95" customHeight="1">
      <c r="A43" s="1185" t="s">
        <v>233</v>
      </c>
      <c r="B43" s="1185"/>
      <c r="C43" s="1185"/>
      <c r="D43" s="1185"/>
      <c r="E43" s="443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233</v>
      </c>
      <c r="B44" s="1185" t="s">
        <v>234</v>
      </c>
      <c r="C44" s="1185"/>
      <c r="D44" s="1185"/>
      <c r="E44" s="4439"/>
      <c r="F44" s="4438">
        <v>1</v>
      </c>
      <c r="G44" s="1185"/>
      <c r="H44" s="1185"/>
      <c r="I44" s="1185"/>
      <c r="J44" s="1185"/>
      <c r="K44" s="1185"/>
      <c r="L44" s="1228"/>
      <c r="M44" s="1528"/>
      <c r="N44" s="1528"/>
      <c r="O44" s="1528"/>
      <c r="P44" s="1852"/>
      <c r="Q44" s="287"/>
      <c r="R44" s="288"/>
      <c r="S44" s="1870" t="str">
        <f>INDEX(PT_DIFFERENTIATION_NUM_TER,MATCH(B44,PT_DIFFERENTIATION_TER_ID,0))</f>
        <v>.</v>
      </c>
      <c r="T44" s="1440"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1542"/>
      <c r="AP44" s="1542" t="str">
        <f t="shared" si="1"/>
        <v>Территория действия тарифа</v>
      </c>
      <c r="AQ44" s="1542"/>
      <c r="AR44" s="1542"/>
      <c r="AS44" s="1549">
        <v>21</v>
      </c>
    </row>
    <row r="45" spans="1:45" ht="24" customHeight="1">
      <c r="A45" s="1185" t="s">
        <v>233</v>
      </c>
      <c r="B45" s="1185" t="s">
        <v>234</v>
      </c>
      <c r="C45" s="1185" t="s">
        <v>235</v>
      </c>
      <c r="D45" s="1185"/>
      <c r="E45" s="4439"/>
      <c r="F45" s="4439"/>
      <c r="G45" s="4438">
        <v>1</v>
      </c>
      <c r="H45" s="1185"/>
      <c r="I45" s="1185"/>
      <c r="J45" s="1185"/>
      <c r="K45" s="1185"/>
      <c r="L45" s="1228"/>
      <c r="M45" s="1528"/>
      <c r="N45" s="1528"/>
      <c r="O45" s="1528"/>
      <c r="P45" s="289"/>
      <c r="Q45" s="287"/>
      <c r="R45" s="288"/>
      <c r="S45" s="1870"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1542"/>
      <c r="AP45" s="1542" t="str">
        <f t="shared" si="1"/>
        <v xml:space="preserve">Наименование системы теплоснабжения </v>
      </c>
      <c r="AQ45" s="1542"/>
      <c r="AR45" s="1542"/>
      <c r="AS45" s="1549">
        <v>23</v>
      </c>
    </row>
    <row r="46" spans="1:45" ht="21.95" customHeight="1">
      <c r="A46" s="1185" t="s">
        <v>233</v>
      </c>
      <c r="B46" s="1185" t="s">
        <v>234</v>
      </c>
      <c r="C46" s="1185" t="s">
        <v>235</v>
      </c>
      <c r="D46" s="1185" t="s">
        <v>236</v>
      </c>
      <c r="E46" s="4439"/>
      <c r="F46" s="4439"/>
      <c r="G46" s="4439"/>
      <c r="H46" s="4438">
        <v>1</v>
      </c>
      <c r="I46" s="1185"/>
      <c r="J46" s="1185"/>
      <c r="K46" s="1185"/>
      <c r="L46" s="1228"/>
      <c r="M46" s="1528"/>
      <c r="N46" s="1528"/>
      <c r="O46" s="1528"/>
      <c r="P46" s="289"/>
      <c r="Q46" s="287"/>
      <c r="R46" s="288"/>
      <c r="S46" s="1870"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1542"/>
      <c r="AP46" s="1542" t="str">
        <f t="shared" si="1"/>
        <v xml:space="preserve">Источник тепловой энергии  </v>
      </c>
      <c r="AQ46" s="1542"/>
      <c r="AR46" s="1542"/>
      <c r="AS46" s="1549">
        <v>21</v>
      </c>
    </row>
    <row r="47" spans="1:45" ht="49.5" customHeight="1">
      <c r="A47" s="1185" t="s">
        <v>233</v>
      </c>
      <c r="B47" s="1185" t="s">
        <v>234</v>
      </c>
      <c r="C47" s="1185" t="s">
        <v>235</v>
      </c>
      <c r="D47" s="1185" t="s">
        <v>236</v>
      </c>
      <c r="E47" s="4439"/>
      <c r="F47" s="4439"/>
      <c r="G47" s="4439"/>
      <c r="H47" s="4439"/>
      <c r="I47" s="4274" t="str">
        <f>S46&amp;".1"</f>
        <v>....1</v>
      </c>
      <c r="J47" s="1185"/>
      <c r="K47" s="1185"/>
      <c r="L47" s="1228" t="s">
        <v>424</v>
      </c>
      <c r="P47" s="4416">
        <v>1</v>
      </c>
      <c r="Q47" s="1866"/>
      <c r="R47" s="291"/>
      <c r="S47" s="1870" t="str">
        <f>$I47</f>
        <v>....1</v>
      </c>
      <c r="T47" s="221" t="s">
        <v>425</v>
      </c>
      <c r="U47" s="236"/>
      <c r="V47" s="4400"/>
      <c r="W47" s="4401"/>
      <c r="X47" s="4401"/>
      <c r="Y47" s="4401"/>
      <c r="Z47" s="4401"/>
      <c r="AA47" s="4401"/>
      <c r="AB47" s="4401"/>
      <c r="AC47" s="4402"/>
      <c r="AD47" s="4400"/>
      <c r="AE47" s="4401"/>
      <c r="AF47" s="4401"/>
      <c r="AG47" s="4401"/>
      <c r="AH47" s="4401"/>
      <c r="AI47" s="4401"/>
      <c r="AJ47" s="4401"/>
      <c r="AK47" s="4401"/>
      <c r="AL47" s="4402"/>
      <c r="AM47" s="1176" t="s">
        <v>426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233</v>
      </c>
      <c r="B48" s="1185" t="s">
        <v>234</v>
      </c>
      <c r="C48" s="1185" t="s">
        <v>235</v>
      </c>
      <c r="D48" s="1185" t="s">
        <v>236</v>
      </c>
      <c r="E48" s="4439"/>
      <c r="F48" s="4439"/>
      <c r="G48" s="4439"/>
      <c r="H48" s="4439"/>
      <c r="I48" s="4256"/>
      <c r="J48" s="4274" t="str">
        <f>I47&amp;".1"</f>
        <v>....1.1</v>
      </c>
      <c r="K48" s="1185"/>
      <c r="L48" s="1228" t="s">
        <v>427</v>
      </c>
      <c r="P48" s="4416"/>
      <c r="Q48" s="4416">
        <v>1</v>
      </c>
      <c r="R48" s="292"/>
      <c r="S48" s="1870" t="str">
        <f>$J48</f>
        <v>....1.1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1542"/>
      <c r="AP48" s="1542" t="str">
        <f t="shared" si="1"/>
        <v>Группа потребителей</v>
      </c>
      <c r="AQ48" s="1542"/>
      <c r="AR48" s="1542"/>
      <c r="AS48" s="1549">
        <v>21</v>
      </c>
    </row>
    <row r="49" spans="1:45" ht="21.95" customHeight="1">
      <c r="A49" s="1185" t="s">
        <v>233</v>
      </c>
      <c r="B49" s="1185" t="s">
        <v>234</v>
      </c>
      <c r="C49" s="1185" t="s">
        <v>235</v>
      </c>
      <c r="D49" s="1185" t="s">
        <v>236</v>
      </c>
      <c r="E49" s="4439"/>
      <c r="F49" s="4439"/>
      <c r="G49" s="4439"/>
      <c r="H49" s="4439"/>
      <c r="I49" s="4256"/>
      <c r="J49" s="4256"/>
      <c r="K49" s="4274" t="str">
        <f>J48&amp;".1"</f>
        <v>....1.1.1</v>
      </c>
      <c r="L49" s="1228" t="s">
        <v>430</v>
      </c>
      <c r="P49" s="4416"/>
      <c r="Q49" s="4416"/>
      <c r="R49" s="292">
        <v>1</v>
      </c>
      <c r="S49" s="1870" t="str">
        <f>$K49</f>
        <v>....1.1.1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431</v>
      </c>
      <c r="AN49" s="1554" t="e">
        <f ca="1">STRCHECKDATE(V50:AL50)</f>
        <v>#NAME?</v>
      </c>
      <c r="AO49" s="1542"/>
      <c r="AP49" s="1542" t="str">
        <f t="shared" si="1"/>
        <v/>
      </c>
      <c r="AQ49" s="1542"/>
      <c r="AR49" s="1542"/>
      <c r="AS49" s="1549">
        <v>21</v>
      </c>
    </row>
    <row r="50" spans="1:45" ht="1.1499999999999999" customHeight="1">
      <c r="A50" s="1185" t="s">
        <v>233</v>
      </c>
      <c r="B50" s="1185" t="s">
        <v>234</v>
      </c>
      <c r="C50" s="1185" t="s">
        <v>235</v>
      </c>
      <c r="D50" s="1185" t="s">
        <v>236</v>
      </c>
      <c r="E50" s="4439"/>
      <c r="F50" s="4439"/>
      <c r="G50" s="4439"/>
      <c r="H50" s="4439"/>
      <c r="I50" s="4256"/>
      <c r="J50" s="4256"/>
      <c r="K50" s="4274"/>
      <c r="L50" s="1228"/>
      <c r="P50" s="4416"/>
      <c r="Q50" s="4416"/>
      <c r="R50" s="292"/>
      <c r="S50" s="1879"/>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1542"/>
      <c r="AP50" s="1542" t="str">
        <f t="shared" si="1"/>
        <v/>
      </c>
      <c r="AQ50" s="1542"/>
      <c r="AR50" s="1542"/>
      <c r="AS50" s="1549">
        <v>1</v>
      </c>
    </row>
    <row r="51" spans="1:45" ht="11.45" customHeight="1">
      <c r="A51" s="1185" t="s">
        <v>233</v>
      </c>
      <c r="B51" s="1185" t="s">
        <v>234</v>
      </c>
      <c r="C51" s="1185" t="s">
        <v>235</v>
      </c>
      <c r="D51" s="1185" t="s">
        <v>236</v>
      </c>
      <c r="E51" s="4439"/>
      <c r="F51" s="4439"/>
      <c r="G51" s="4439"/>
      <c r="H51" s="4439"/>
      <c r="I51" s="4256"/>
      <c r="J51" s="4274"/>
      <c r="K51" s="1185"/>
      <c r="L51" s="1228"/>
      <c r="P51" s="4416"/>
      <c r="Q51" s="4416"/>
      <c r="R51" s="291"/>
      <c r="S51" s="1196"/>
      <c r="T51" s="224" t="s">
        <v>432</v>
      </c>
      <c r="U51" s="535"/>
      <c r="V51" s="535"/>
      <c r="W51" s="535"/>
      <c r="X51" s="535"/>
      <c r="Y51" s="535"/>
      <c r="Z51" s="535"/>
      <c r="AA51" s="535"/>
      <c r="AB51" s="535"/>
      <c r="AC51" s="535"/>
      <c r="AD51" s="535"/>
      <c r="AE51" s="535"/>
      <c r="AF51" s="535"/>
      <c r="AG51" s="535"/>
      <c r="AH51" s="535"/>
      <c r="AI51" s="535"/>
      <c r="AJ51" s="535"/>
      <c r="AK51" s="535"/>
      <c r="AL51" s="260"/>
      <c r="AM51" s="4437"/>
      <c r="AO51" s="1542"/>
      <c r="AP51" s="1542" t="str">
        <f t="shared" si="1"/>
        <v>Добавить вид теплоносителя (параметры теплоносителя)</v>
      </c>
      <c r="AQ51" s="1542"/>
      <c r="AR51" s="1542"/>
      <c r="AS51" s="1549">
        <v>11</v>
      </c>
    </row>
    <row r="52" spans="1:45" ht="11.45" customHeight="1">
      <c r="A52" s="1185" t="s">
        <v>233</v>
      </c>
      <c r="B52" s="1185" t="s">
        <v>234</v>
      </c>
      <c r="C52" s="1185" t="s">
        <v>235</v>
      </c>
      <c r="D52" s="1185" t="s">
        <v>236</v>
      </c>
      <c r="E52" s="4439"/>
      <c r="F52" s="4439"/>
      <c r="G52" s="4439"/>
      <c r="H52" s="4439"/>
      <c r="I52" s="4274"/>
      <c r="J52" s="1185"/>
      <c r="K52" s="1185"/>
      <c r="L52" s="1228"/>
      <c r="P52" s="4416"/>
      <c r="Q52" s="1866"/>
      <c r="R52" s="291"/>
      <c r="S52" s="1196"/>
      <c r="T52" s="223" t="s">
        <v>433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233</v>
      </c>
      <c r="B53" s="1185" t="s">
        <v>234</v>
      </c>
      <c r="C53" s="1185" t="s">
        <v>235</v>
      </c>
      <c r="D53" s="1185" t="s">
        <v>236</v>
      </c>
      <c r="E53" s="4439"/>
      <c r="F53" s="4439"/>
      <c r="G53" s="4439"/>
      <c r="H53" s="4438"/>
      <c r="I53" s="1185"/>
      <c r="J53" s="1185"/>
      <c r="K53" s="1185"/>
      <c r="L53" s="1228"/>
      <c r="M53" s="1528"/>
      <c r="N53" s="1528"/>
      <c r="O53" s="1553"/>
      <c r="P53" s="295"/>
      <c r="Q53" s="310"/>
      <c r="R53" s="290"/>
      <c r="S53" s="1196"/>
      <c r="T53" s="300" t="s">
        <v>434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140" customFormat="1" ht="4.1500000000000004" customHeight="1">
      <c r="A54" s="1293" t="s">
        <v>233</v>
      </c>
      <c r="B54" s="1293" t="s">
        <v>234</v>
      </c>
      <c r="C54" s="1293" t="s">
        <v>235</v>
      </c>
      <c r="D54" s="1292"/>
      <c r="E54" s="4439"/>
      <c r="F54" s="4439"/>
      <c r="G54" s="4438"/>
      <c r="H54" s="1292"/>
      <c r="I54" s="1292"/>
      <c r="J54" s="1292"/>
      <c r="K54" s="1292"/>
      <c r="L54" s="1295"/>
      <c r="M54" s="1296"/>
      <c r="N54" s="1296"/>
      <c r="O54" s="286"/>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4140" customFormat="1" ht="4.1500000000000004" customHeight="1">
      <c r="A55" s="1293" t="s">
        <v>233</v>
      </c>
      <c r="B55" s="1293" t="s">
        <v>234</v>
      </c>
      <c r="C55" s="1292"/>
      <c r="D55" s="1292"/>
      <c r="E55" s="4439"/>
      <c r="F55" s="4438"/>
      <c r="G55" s="1292"/>
      <c r="H55" s="1292"/>
      <c r="I55" s="1292"/>
      <c r="J55" s="1292"/>
      <c r="K55" s="1292"/>
      <c r="L55" s="1295"/>
      <c r="M55" s="1297"/>
      <c r="N55" s="1297"/>
      <c r="O55" s="286"/>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4140" customFormat="1" ht="4.1500000000000004" customHeight="1">
      <c r="A56" s="1293" t="s">
        <v>233</v>
      </c>
      <c r="B56" s="1293"/>
      <c r="C56" s="1293"/>
      <c r="D56" s="1293"/>
      <c r="E56" s="4438"/>
      <c r="F56" s="1293"/>
      <c r="G56" s="1293"/>
      <c r="H56" s="1293"/>
      <c r="I56" s="1293"/>
      <c r="J56" s="1293"/>
      <c r="K56" s="1293"/>
      <c r="L56" s="1299"/>
      <c r="M56" s="1297"/>
      <c r="N56" s="1297"/>
      <c r="O56" s="286"/>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4140"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549">
        <v>27</v>
      </c>
    </row>
    <row r="60" spans="1:45" ht="65.25" customHeight="1">
      <c r="O60" s="1553"/>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549">
        <v>62</v>
      </c>
    </row>
    <row r="61" spans="1:45" ht="14.65" customHeight="1">
      <c r="O61" s="1553"/>
      <c r="AS61" s="1549">
        <v>14</v>
      </c>
    </row>
    <row r="62" spans="1:45" ht="18.75" customHeight="1">
      <c r="O62" s="1553"/>
      <c r="S62" s="1171"/>
      <c r="T62" s="4411"/>
      <c r="U62" s="4411"/>
      <c r="V62" s="4411"/>
      <c r="W62" s="4411"/>
      <c r="X62" s="4411"/>
      <c r="Y62" s="4411"/>
      <c r="Z62" s="4411"/>
      <c r="AA62" s="4411"/>
      <c r="AB62" s="4411"/>
      <c r="AC62" s="4411"/>
      <c r="AD62" s="4411"/>
      <c r="AE62" s="4411"/>
      <c r="AF62" s="4411"/>
      <c r="AG62" s="4411"/>
      <c r="AH62" s="4411"/>
      <c r="AI62" s="4411"/>
      <c r="AJ62" s="4411"/>
      <c r="AK62" s="4411"/>
      <c r="AL62" s="4411"/>
      <c r="AM62" s="4411"/>
      <c r="AS62" s="1549">
        <v>18</v>
      </c>
    </row>
    <row r="63" spans="1:45" ht="18.75" customHeight="1">
      <c r="O63" s="1553"/>
      <c r="T63" s="4411"/>
      <c r="U63" s="4411"/>
      <c r="V63" s="4411"/>
      <c r="W63" s="4411"/>
      <c r="X63" s="4411"/>
      <c r="Y63" s="4411"/>
      <c r="Z63" s="4411"/>
      <c r="AA63" s="4411"/>
      <c r="AB63" s="4411"/>
      <c r="AC63" s="4411"/>
      <c r="AD63" s="4411"/>
      <c r="AE63" s="4411"/>
      <c r="AF63" s="4411"/>
      <c r="AG63" s="4411"/>
      <c r="AH63" s="4411"/>
      <c r="AI63" s="4411"/>
      <c r="AJ63" s="4411"/>
      <c r="AK63" s="4411"/>
      <c r="AL63" s="4411"/>
      <c r="AM63" s="4411"/>
      <c r="AS63" s="1549">
        <v>18</v>
      </c>
    </row>
    <row r="64" spans="1:45" ht="29.25" customHeight="1">
      <c r="O64" s="1553"/>
      <c r="S64" s="1171"/>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549">
        <v>28</v>
      </c>
    </row>
    <row r="65" spans="1:45" ht="22.5" hidden="1" customHeight="1">
      <c r="A65" s="1549" t="s">
        <v>86</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33" hidden="1"/>
    <col min="2" max="2" width="11" style="4133" hidden="1" customWidth="1"/>
    <col min="3" max="3" width="10.5703125" style="4133" hidden="1"/>
    <col min="4" max="4" width="11.85546875" style="4133" hidden="1" customWidth="1"/>
    <col min="5" max="5" width="10" style="4133" hidden="1" customWidth="1"/>
    <col min="6" max="6" width="8.7109375" style="4133" hidden="1" customWidth="1"/>
    <col min="7" max="7" width="7.5703125" style="4133" hidden="1" customWidth="1"/>
    <col min="8" max="8" width="11.42578125" style="4133" hidden="1" customWidth="1"/>
    <col min="9" max="9" width="12" style="4133" hidden="1" customWidth="1"/>
    <col min="10" max="10" width="9.85546875" style="4133" hidden="1" customWidth="1"/>
    <col min="11" max="11" width="11.42578125" style="4133" hidden="1" customWidth="1"/>
    <col min="12" max="12" width="19.140625" style="4137" hidden="1" customWidth="1"/>
    <col min="13" max="14" width="12.28515625" style="4167" hidden="1" customWidth="1"/>
    <col min="15" max="15" width="23.42578125" style="4167" hidden="1" customWidth="1"/>
    <col min="16" max="16" width="3" style="4167"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AS1" s="1549" t="s">
        <v>14</v>
      </c>
    </row>
    <row r="2" spans="1:45" ht="21" hidden="1" customHeight="1">
      <c r="A2" s="1185"/>
      <c r="B2" s="1185"/>
      <c r="C2" s="1185"/>
      <c r="D2" s="1185"/>
      <c r="E2" s="4438">
        <v>1</v>
      </c>
      <c r="F2" s="1185"/>
      <c r="G2" s="1185"/>
      <c r="H2" s="1185"/>
      <c r="I2" s="1185"/>
      <c r="J2" s="1185"/>
      <c r="K2" s="1185"/>
      <c r="L2" s="1228"/>
      <c r="M2" s="1528"/>
      <c r="N2" s="1528"/>
      <c r="O2" s="1528"/>
      <c r="P2" s="1508"/>
      <c r="Q2" s="295"/>
      <c r="R2" s="290"/>
      <c r="S2" s="1870" t="e">
        <f>INDEX(PT_DIFFERENTIATION_NUM_NTAR,MATCH(A2,PT_DIFFERENTIATION_NTAR_ID,0))</f>
        <v>#N/A</v>
      </c>
      <c r="T2" s="1443"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1542"/>
      <c r="AP2" s="1542" t="str">
        <f t="shared" ref="AP2:AP15" si="0">IF(T2="","",T2)</f>
        <v>Наименование тарифа</v>
      </c>
      <c r="AQ2" s="1542"/>
      <c r="AR2" s="1542"/>
      <c r="AS2" s="1549">
        <v>0</v>
      </c>
    </row>
    <row r="3" spans="1:45" ht="21" hidden="1" customHeight="1">
      <c r="A3" s="1185"/>
      <c r="B3" s="1185"/>
      <c r="C3" s="1185"/>
      <c r="D3" s="1185"/>
      <c r="E3" s="4439"/>
      <c r="F3" s="4438">
        <v>1</v>
      </c>
      <c r="G3" s="1185"/>
      <c r="H3" s="1185"/>
      <c r="I3" s="1185"/>
      <c r="J3" s="1185"/>
      <c r="K3" s="1185"/>
      <c r="L3" s="1228"/>
      <c r="M3" s="1528"/>
      <c r="N3" s="1528"/>
      <c r="O3" s="1528"/>
      <c r="P3" s="1852"/>
      <c r="Q3" s="287"/>
      <c r="R3" s="288"/>
      <c r="S3" s="1870" t="e">
        <f>INDEX(PT_DIFFERENTIATION_NUM_TER,MATCH(B3,PT_DIFFERENTIATION_TER_ID,0))</f>
        <v>#N/A</v>
      </c>
      <c r="T3" s="1440"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1542"/>
      <c r="AP3" s="1542" t="str">
        <f t="shared" si="0"/>
        <v>Территория действия тарифа</v>
      </c>
      <c r="AQ3" s="1542"/>
      <c r="AR3" s="1542"/>
      <c r="AS3" s="1549">
        <v>0</v>
      </c>
    </row>
    <row r="4" spans="1:45" ht="23.25" hidden="1" customHeight="1">
      <c r="A4" s="1185"/>
      <c r="B4" s="1185"/>
      <c r="C4" s="1185"/>
      <c r="D4" s="1185"/>
      <c r="E4" s="4439"/>
      <c r="F4" s="4439"/>
      <c r="G4" s="4438">
        <v>1</v>
      </c>
      <c r="H4" s="1185"/>
      <c r="I4" s="1185"/>
      <c r="J4" s="1185"/>
      <c r="K4" s="1185"/>
      <c r="L4" s="1228"/>
      <c r="M4" s="1528"/>
      <c r="N4" s="1528"/>
      <c r="O4" s="1528"/>
      <c r="P4" s="289"/>
      <c r="Q4" s="287"/>
      <c r="R4" s="288"/>
      <c r="S4" s="1870"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4439"/>
      <c r="F5" s="4439"/>
      <c r="G5" s="4439"/>
      <c r="H5" s="4438">
        <v>1</v>
      </c>
      <c r="I5" s="1185"/>
      <c r="J5" s="1185"/>
      <c r="K5" s="1185"/>
      <c r="L5" s="1228"/>
      <c r="M5" s="1528"/>
      <c r="N5" s="1528"/>
      <c r="O5" s="1528"/>
      <c r="P5" s="289"/>
      <c r="Q5" s="287"/>
      <c r="R5" s="288"/>
      <c r="S5" s="1870"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1542"/>
      <c r="AP5" s="1542" t="str">
        <f t="shared" si="0"/>
        <v xml:space="preserve">Источник тепловой энергии  </v>
      </c>
      <c r="AQ5" s="1542"/>
      <c r="AR5" s="1542"/>
      <c r="AS5" s="1549">
        <v>0</v>
      </c>
    </row>
    <row r="6" spans="1:45" ht="47.25" hidden="1" customHeight="1">
      <c r="A6" s="1185"/>
      <c r="B6" s="1185"/>
      <c r="C6" s="1185"/>
      <c r="D6" s="1185"/>
      <c r="E6" s="4439"/>
      <c r="F6" s="4439"/>
      <c r="G6" s="4439"/>
      <c r="H6" s="4439"/>
      <c r="I6" s="4274" t="e">
        <f>S5&amp;".1"</f>
        <v>#N/A</v>
      </c>
      <c r="J6" s="1185"/>
      <c r="K6" s="1185"/>
      <c r="L6" s="1228" t="s">
        <v>424</v>
      </c>
      <c r="M6" s="1553"/>
      <c r="P6" s="4416">
        <v>1</v>
      </c>
      <c r="Q6" s="1866"/>
      <c r="R6" s="291"/>
      <c r="S6" s="1870" t="e">
        <f>$I6</f>
        <v>#N/A</v>
      </c>
      <c r="T6" s="221" t="s">
        <v>425</v>
      </c>
      <c r="U6" s="236"/>
      <c r="V6" s="4400"/>
      <c r="W6" s="4401"/>
      <c r="X6" s="4401"/>
      <c r="Y6" s="4401"/>
      <c r="Z6" s="4401"/>
      <c r="AA6" s="4401"/>
      <c r="AB6" s="4401"/>
      <c r="AC6" s="4402"/>
      <c r="AD6" s="4400"/>
      <c r="AE6" s="4401"/>
      <c r="AF6" s="4401"/>
      <c r="AG6" s="4401"/>
      <c r="AH6" s="4401"/>
      <c r="AI6" s="4401"/>
      <c r="AJ6" s="4401"/>
      <c r="AK6" s="4401"/>
      <c r="AL6" s="4402"/>
      <c r="AM6" s="1176" t="s">
        <v>426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4439"/>
      <c r="F7" s="4439"/>
      <c r="G7" s="4439"/>
      <c r="H7" s="4439"/>
      <c r="I7" s="4256"/>
      <c r="J7" s="4274" t="e">
        <f>I6&amp;".1"</f>
        <v>#N/A</v>
      </c>
      <c r="K7" s="1185"/>
      <c r="L7" s="1228" t="s">
        <v>427</v>
      </c>
      <c r="M7" s="1553"/>
      <c r="N7" s="1549"/>
      <c r="P7" s="4416"/>
      <c r="Q7" s="4416">
        <v>1</v>
      </c>
      <c r="R7" s="292"/>
      <c r="S7" s="1870"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1542"/>
      <c r="AP7" s="1542" t="str">
        <f t="shared" si="0"/>
        <v>Группа потребителей</v>
      </c>
      <c r="AQ7" s="1542"/>
      <c r="AR7" s="1542"/>
      <c r="AS7" s="1549">
        <v>0</v>
      </c>
    </row>
    <row r="8" spans="1:45" ht="21" hidden="1" customHeight="1">
      <c r="A8" s="1185"/>
      <c r="B8" s="1185"/>
      <c r="C8" s="1185"/>
      <c r="D8" s="1185"/>
      <c r="E8" s="4439"/>
      <c r="F8" s="4439"/>
      <c r="G8" s="4439"/>
      <c r="H8" s="4439"/>
      <c r="I8" s="4256"/>
      <c r="J8" s="4256"/>
      <c r="K8" s="4274" t="e">
        <f>J7&amp;".1"</f>
        <v>#N/A</v>
      </c>
      <c r="L8" s="1228" t="s">
        <v>430</v>
      </c>
      <c r="M8" s="1553"/>
      <c r="N8" s="1549"/>
      <c r="O8" s="1549"/>
      <c r="P8" s="4416"/>
      <c r="Q8" s="4416"/>
      <c r="R8" s="292">
        <v>1</v>
      </c>
      <c r="S8" s="1870"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61"/>
      <c r="AM8" s="4435" t="s">
        <v>431</v>
      </c>
      <c r="AN8" s="1554" t="e">
        <f ca="1">STRCHECKDATE(V9:AL9)</f>
        <v>#NAME?</v>
      </c>
      <c r="AO8" s="1542"/>
      <c r="AP8" s="1542" t="str">
        <f t="shared" si="0"/>
        <v/>
      </c>
      <c r="AQ8" s="1542"/>
      <c r="AR8" s="1542"/>
      <c r="AS8" s="1549">
        <v>0</v>
      </c>
    </row>
    <row r="9" spans="1:45" ht="0.75" hidden="1" customHeight="1">
      <c r="A9" s="1185"/>
      <c r="B9" s="1185"/>
      <c r="C9" s="1185"/>
      <c r="D9" s="1185"/>
      <c r="E9" s="4439"/>
      <c r="F9" s="4439"/>
      <c r="G9" s="4439"/>
      <c r="H9" s="4439"/>
      <c r="I9" s="4256"/>
      <c r="J9" s="4256"/>
      <c r="K9" s="4274"/>
      <c r="L9" s="1228"/>
      <c r="M9" s="1553"/>
      <c r="N9" s="1549"/>
      <c r="O9" s="1549"/>
      <c r="P9" s="4416"/>
      <c r="Q9" s="4416"/>
      <c r="R9" s="292"/>
      <c r="S9" s="1879"/>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1542"/>
      <c r="AP9" s="1542" t="str">
        <f t="shared" si="0"/>
        <v/>
      </c>
      <c r="AQ9" s="1542"/>
      <c r="AR9" s="1542"/>
      <c r="AS9" s="1549">
        <v>0</v>
      </c>
    </row>
    <row r="10" spans="1:45" ht="15" hidden="1" customHeight="1">
      <c r="A10" s="1185"/>
      <c r="B10" s="1185"/>
      <c r="C10" s="1185"/>
      <c r="D10" s="1185"/>
      <c r="E10" s="4439"/>
      <c r="F10" s="4439"/>
      <c r="G10" s="4439"/>
      <c r="H10" s="4439"/>
      <c r="I10" s="4256"/>
      <c r="J10" s="4274"/>
      <c r="K10" s="1185"/>
      <c r="L10" s="1228"/>
      <c r="M10" s="1553"/>
      <c r="N10" s="1549"/>
      <c r="P10" s="4416"/>
      <c r="Q10" s="4416"/>
      <c r="R10" s="291"/>
      <c r="S10" s="1196"/>
      <c r="T10" s="224" t="s">
        <v>432</v>
      </c>
      <c r="U10" s="535"/>
      <c r="V10" s="535"/>
      <c r="W10" s="535"/>
      <c r="X10" s="535"/>
      <c r="Y10" s="535"/>
      <c r="Z10" s="535"/>
      <c r="AA10" s="535"/>
      <c r="AB10" s="535"/>
      <c r="AC10" s="535"/>
      <c r="AD10" s="535"/>
      <c r="AE10" s="535"/>
      <c r="AF10" s="535"/>
      <c r="AG10" s="535"/>
      <c r="AH10" s="535"/>
      <c r="AI10" s="535"/>
      <c r="AJ10" s="535"/>
      <c r="AK10" s="535"/>
      <c r="AL10" s="260"/>
      <c r="AM10" s="443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4439"/>
      <c r="F11" s="4439"/>
      <c r="G11" s="4439"/>
      <c r="H11" s="4439"/>
      <c r="I11" s="4274"/>
      <c r="J11" s="1185"/>
      <c r="K11" s="1185"/>
      <c r="L11" s="1228"/>
      <c r="M11" s="1553"/>
      <c r="P11" s="4416"/>
      <c r="Q11" s="1866"/>
      <c r="R11" s="291"/>
      <c r="S11" s="1196"/>
      <c r="T11" s="223" t="s">
        <v>433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4439"/>
      <c r="F12" s="4439"/>
      <c r="G12" s="4439"/>
      <c r="H12" s="4438"/>
      <c r="I12" s="1185"/>
      <c r="J12" s="1185"/>
      <c r="K12" s="1185"/>
      <c r="L12" s="1228"/>
      <c r="M12" s="1528"/>
      <c r="N12" s="1528"/>
      <c r="O12" s="1553"/>
      <c r="P12" s="295"/>
      <c r="Q12" s="310"/>
      <c r="R12" s="290"/>
      <c r="S12" s="1196"/>
      <c r="T12" s="300" t="s">
        <v>434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4140" customFormat="1" ht="0.75" hidden="1" customHeight="1">
      <c r="A13" s="1886"/>
      <c r="B13" s="1886"/>
      <c r="C13" s="1886"/>
      <c r="D13" s="1886"/>
      <c r="E13" s="4439"/>
      <c r="F13" s="4439"/>
      <c r="G13" s="4438"/>
      <c r="H13" s="1886"/>
      <c r="I13" s="1886"/>
      <c r="J13" s="1886"/>
      <c r="K13" s="1886"/>
      <c r="L13" s="1298"/>
      <c r="M13" s="1528"/>
      <c r="N13" s="1528"/>
      <c r="O13" s="155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4140" customFormat="1" ht="0.75" hidden="1" customHeight="1">
      <c r="A14" s="1886"/>
      <c r="B14" s="1886"/>
      <c r="C14" s="1886"/>
      <c r="D14" s="1886"/>
      <c r="E14" s="4439"/>
      <c r="F14" s="4438"/>
      <c r="G14" s="1886"/>
      <c r="H14" s="1886"/>
      <c r="I14" s="1886"/>
      <c r="J14" s="1886"/>
      <c r="K14" s="1886"/>
      <c r="L14" s="1298"/>
      <c r="M14" s="1887"/>
      <c r="N14" s="1887"/>
      <c r="O14" s="1553"/>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4140" customFormat="1" ht="0.75" hidden="1" customHeight="1">
      <c r="A15" s="1886"/>
      <c r="B15" s="1886"/>
      <c r="C15" s="1886"/>
      <c r="D15" s="1886"/>
      <c r="E15" s="4438"/>
      <c r="F15" s="1886"/>
      <c r="G15" s="1886"/>
      <c r="H15" s="1886"/>
      <c r="I15" s="1886"/>
      <c r="J15" s="1886"/>
      <c r="K15" s="1886"/>
      <c r="L15" s="1298"/>
      <c r="M15" s="1887"/>
      <c r="N15" s="1887"/>
      <c r="O15" s="1553"/>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4410"/>
      <c r="AI17" s="4409" t="s">
        <v>65</v>
      </c>
      <c r="AJ17" s="4410"/>
      <c r="AK17" s="4409" t="s">
        <v>65</v>
      </c>
      <c r="AS17" s="1549">
        <v>0</v>
      </c>
    </row>
    <row r="18" spans="1:45" ht="14.25" hidden="1" customHeight="1">
      <c r="AD18" s="1278"/>
      <c r="AE18" s="1278"/>
      <c r="AF18" s="1278"/>
      <c r="AG18" s="264" t="str">
        <f>AH17&amp;"-"&amp;AJ17</f>
        <v>-</v>
      </c>
      <c r="AH18" s="4409"/>
      <c r="AI18" s="4409"/>
      <c r="AJ18" s="4409"/>
      <c r="AK18" s="4409"/>
      <c r="AS18" s="1549">
        <v>0</v>
      </c>
    </row>
    <row r="19" spans="1:45" ht="14.25" hidden="1" customHeight="1">
      <c r="AS19" s="1549">
        <v>0</v>
      </c>
    </row>
    <row r="20" spans="1:45" s="4139" customFormat="1" ht="14.25" hidden="1" customHeight="1">
      <c r="A20" s="1549"/>
      <c r="B20" s="1549"/>
      <c r="C20" s="1549"/>
      <c r="D20" s="1549"/>
      <c r="E20" s="1549"/>
      <c r="F20" s="1549"/>
      <c r="G20" s="1549"/>
      <c r="H20" s="1549"/>
      <c r="I20" s="1549"/>
      <c r="J20" s="1549"/>
      <c r="K20" s="1549"/>
      <c r="L20" s="1851"/>
      <c r="M20" s="1877"/>
      <c r="N20" s="1877"/>
      <c r="O20" s="1263" t="s">
        <v>435</v>
      </c>
      <c r="P20" s="1280"/>
      <c r="Q20" s="1289"/>
      <c r="R20" s="1289"/>
      <c r="S20" s="664"/>
      <c r="Z20" s="1285"/>
      <c r="AB20" s="1285"/>
      <c r="AH20" s="1285"/>
      <c r="AJ20" s="1285"/>
      <c r="AN20" s="1554"/>
      <c r="AO20" s="1554"/>
      <c r="AP20" s="1554"/>
      <c r="AQ20" s="1554"/>
      <c r="AR20" s="1554"/>
      <c r="AS20" s="1284">
        <v>0</v>
      </c>
    </row>
    <row r="21" spans="1:45" s="413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4139" customFormat="1" ht="14.25" hidden="1" customHeight="1">
      <c r="A22" s="1549"/>
      <c r="B22" s="1549"/>
      <c r="C22" s="1549"/>
      <c r="D22" s="1549"/>
      <c r="E22" s="1549"/>
      <c r="F22" s="1549"/>
      <c r="G22" s="1549"/>
      <c r="H22" s="1549"/>
      <c r="I22" s="1549"/>
      <c r="J22" s="1549"/>
      <c r="K22" s="1549"/>
      <c r="L22" s="1851"/>
      <c r="M22" s="1877"/>
      <c r="N22" s="1877"/>
      <c r="O22" s="1228" t="s">
        <v>436</v>
      </c>
      <c r="P22" s="1280"/>
      <c r="Q22" s="1289"/>
      <c r="R22" s="1289"/>
      <c r="S22" s="664"/>
      <c r="T22" s="1284" t="s">
        <v>437</v>
      </c>
      <c r="AA22" s="530" t="s">
        <v>438</v>
      </c>
      <c r="AC22" s="530" t="s">
        <v>439</v>
      </c>
      <c r="AD22" s="1284" t="s">
        <v>437</v>
      </c>
      <c r="AI22" s="530" t="s">
        <v>440</v>
      </c>
      <c r="AK22" s="530" t="s">
        <v>439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43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393"/>
      <c r="U26" s="4393"/>
      <c r="V26" s="4393"/>
      <c r="W26" s="4393"/>
      <c r="X26" s="4393"/>
      <c r="Y26" s="4393"/>
      <c r="Z26" s="4393"/>
      <c r="AA26" s="4393"/>
      <c r="AB26" s="4393"/>
      <c r="AC26" s="4393"/>
      <c r="AD26" s="4393"/>
      <c r="AE26" s="4393"/>
      <c r="AF26" s="4393"/>
      <c r="AG26" s="4393"/>
      <c r="AH26" s="4393"/>
      <c r="AI26" s="4393"/>
      <c r="AJ26" s="4393"/>
      <c r="AK26" s="1161"/>
      <c r="AS26" s="1549">
        <v>14</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4149" customFormat="1" ht="25.5" hidden="1" customHeight="1">
      <c r="A29" s="1166"/>
      <c r="B29" s="1166"/>
      <c r="C29" s="1166"/>
      <c r="D29" s="1166"/>
      <c r="E29" s="1166"/>
      <c r="F29" s="1166"/>
      <c r="G29" s="1166"/>
      <c r="H29" s="1166"/>
      <c r="I29" s="1166"/>
      <c r="J29" s="1166"/>
      <c r="K29" s="1166"/>
      <c r="L29" s="1298"/>
      <c r="M29" s="1166"/>
      <c r="N29" s="1166"/>
      <c r="O29" s="116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1553"/>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1553"/>
      <c r="AL29" s="1553"/>
      <c r="AM29" s="216"/>
      <c r="AN29" s="303"/>
      <c r="AO29" s="303"/>
      <c r="AP29" s="303"/>
      <c r="AQ29" s="303"/>
      <c r="AR29" s="303"/>
      <c r="AS29" s="353">
        <v>0</v>
      </c>
    </row>
    <row r="30" spans="1:45" s="4149" customFormat="1" ht="18.75" hidden="1" customHeight="1">
      <c r="A30" s="1166"/>
      <c r="B30" s="1166"/>
      <c r="C30" s="1166"/>
      <c r="D30" s="1166"/>
      <c r="E30" s="1166"/>
      <c r="F30" s="1166"/>
      <c r="G30" s="1166"/>
      <c r="H30" s="1166"/>
      <c r="I30" s="1166"/>
      <c r="J30" s="1166"/>
      <c r="K30" s="1166"/>
      <c r="L30" s="1298"/>
      <c r="M30" s="1166"/>
      <c r="N30" s="1166"/>
      <c r="O30" s="1166"/>
      <c r="S30" s="4403" t="s">
        <v>441</v>
      </c>
      <c r="T30" s="4403"/>
      <c r="U30" s="1290"/>
      <c r="V30" s="4404">
        <f>IF(TITLE_DATE_PR_CHANGE="",IF(TITLE_DATE_PR="","",TITLE_DATE_PR),TITLE_DATE_PR_CHANGE)</f>
        <v>45646</v>
      </c>
      <c r="W30" s="4404"/>
      <c r="X30" s="4404"/>
      <c r="Y30" s="4404"/>
      <c r="Z30" s="4404"/>
      <c r="AA30" s="4404"/>
      <c r="AB30" s="4404"/>
      <c r="AC30" s="1553"/>
      <c r="AD30" s="4404">
        <f>IF(TITLE_DATE_PR_CHANGE="",IF(TITLE_DATE_PR="","",TITLE_DATE_PR),TITLE_DATE_PR_CHANGE)</f>
        <v>45646</v>
      </c>
      <c r="AE30" s="4404"/>
      <c r="AF30" s="4404"/>
      <c r="AG30" s="4404"/>
      <c r="AH30" s="4404"/>
      <c r="AI30" s="4404"/>
      <c r="AJ30" s="4404"/>
      <c r="AK30" s="1553"/>
      <c r="AL30" s="1553"/>
      <c r="AM30" s="216"/>
      <c r="AN30" s="303"/>
      <c r="AO30" s="303"/>
      <c r="AP30" s="303"/>
      <c r="AQ30" s="303"/>
      <c r="AR30" s="303"/>
      <c r="AS30" s="353">
        <v>0</v>
      </c>
    </row>
    <row r="31" spans="1:45" s="4149" customFormat="1" ht="18.75" hidden="1" customHeight="1">
      <c r="A31" s="1166"/>
      <c r="B31" s="1166"/>
      <c r="C31" s="1166"/>
      <c r="D31" s="1166"/>
      <c r="E31" s="1166"/>
      <c r="F31" s="1166"/>
      <c r="G31" s="1166"/>
      <c r="H31" s="1166"/>
      <c r="I31" s="1166"/>
      <c r="J31" s="1166"/>
      <c r="K31" s="1166"/>
      <c r="L31" s="1298"/>
      <c r="M31" s="1166"/>
      <c r="N31" s="1166"/>
      <c r="O31" s="1166"/>
      <c r="S31" s="4403" t="s">
        <v>442</v>
      </c>
      <c r="T31" s="4403"/>
      <c r="U31" s="1290"/>
      <c r="V31" s="4405" t="str">
        <f>IF(TITLE_NUMBER_PR_CHANGE="",IF(TITLE_NUMBER_PR="","",TITLE_NUMBER_PR),TITLE_NUMBER_PR_CHANGE)</f>
        <v>51/110</v>
      </c>
      <c r="W31" s="4405"/>
      <c r="X31" s="4405"/>
      <c r="Y31" s="4405"/>
      <c r="Z31" s="4405"/>
      <c r="AA31" s="4405"/>
      <c r="AB31" s="4405"/>
      <c r="AC31" s="1553"/>
      <c r="AD31" s="4405" t="str">
        <f>IF(TITLE_NUMBER_PR_CHANGE="",IF(TITLE_NUMBER_PR="","",TITLE_NUMBER_PR),TITLE_NUMBER_PR_CHANGE)</f>
        <v>51/110</v>
      </c>
      <c r="AE31" s="4405"/>
      <c r="AF31" s="4405"/>
      <c r="AG31" s="4405"/>
      <c r="AH31" s="4405"/>
      <c r="AI31" s="4405"/>
      <c r="AJ31" s="4405"/>
      <c r="AK31" s="1553"/>
      <c r="AL31" s="1553"/>
      <c r="AM31" s="216"/>
      <c r="AN31" s="303"/>
      <c r="AO31" s="303"/>
      <c r="AP31" s="303"/>
      <c r="AQ31" s="303"/>
      <c r="AR31" s="303"/>
      <c r="AS31" s="353">
        <v>0</v>
      </c>
    </row>
    <row r="32" spans="1:45" s="4149" customFormat="1" ht="18.75" hidden="1" customHeight="1">
      <c r="A32" s="1166"/>
      <c r="B32" s="1166"/>
      <c r="C32" s="1166"/>
      <c r="D32" s="1166"/>
      <c r="E32" s="1166"/>
      <c r="F32" s="1166"/>
      <c r="G32" s="1166"/>
      <c r="H32" s="1166"/>
      <c r="I32" s="1166"/>
      <c r="J32" s="1166"/>
      <c r="K32" s="1166"/>
      <c r="L32" s="1298"/>
      <c r="M32" s="1166"/>
      <c r="N32" s="1166"/>
      <c r="O32" s="116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1553"/>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4149" customFormat="1" ht="18.75" hidden="1" customHeight="1">
      <c r="A34" s="1166"/>
      <c r="B34" s="1166"/>
      <c r="C34" s="1166"/>
      <c r="D34" s="1166"/>
      <c r="E34" s="1166"/>
      <c r="F34" s="1166"/>
      <c r="G34" s="1166"/>
      <c r="H34" s="1166"/>
      <c r="I34" s="1166"/>
      <c r="J34" s="1166"/>
      <c r="K34" s="1166"/>
      <c r="L34" s="1298"/>
      <c r="M34" s="1166"/>
      <c r="N34" s="1166"/>
      <c r="O34" s="1166"/>
      <c r="S34" s="4403" t="s">
        <v>443</v>
      </c>
      <c r="T34" s="4403"/>
      <c r="U34" s="1290"/>
      <c r="V34" s="4404">
        <f>IF(TITLE_DATE_PR_CHANGE="",IF(TITLE_DATE_PR="","",TITLE_DATE_PR),TITLE_DATE_PR_CHANGE)</f>
        <v>45646</v>
      </c>
      <c r="W34" s="4404"/>
      <c r="X34" s="4404"/>
      <c r="Y34" s="4404"/>
      <c r="Z34" s="4404"/>
      <c r="AA34" s="4404"/>
      <c r="AB34" s="4404"/>
      <c r="AC34" s="1553"/>
      <c r="AD34" s="4404">
        <f>IF(TITLE_DATE_PR_CHANGE="",IF(TITLE_DATE_PR="","",TITLE_DATE_PR),TITLE_DATE_PR_CHANGE)</f>
        <v>45646</v>
      </c>
      <c r="AE34" s="4404"/>
      <c r="AF34" s="4404"/>
      <c r="AG34" s="4404"/>
      <c r="AH34" s="4404"/>
      <c r="AI34" s="4404"/>
      <c r="AJ34" s="4404"/>
      <c r="AK34" s="1553"/>
      <c r="AL34" s="1553"/>
      <c r="AM34" s="216"/>
      <c r="AN34" s="303"/>
      <c r="AO34" s="303"/>
      <c r="AP34" s="303"/>
      <c r="AQ34" s="303"/>
      <c r="AR34" s="303"/>
      <c r="AS34" s="353">
        <v>0</v>
      </c>
    </row>
    <row r="35" spans="1:45" s="4149" customFormat="1" ht="18.75" hidden="1" customHeight="1">
      <c r="A35" s="1166"/>
      <c r="B35" s="1166"/>
      <c r="C35" s="1166"/>
      <c r="D35" s="1166"/>
      <c r="E35" s="1166"/>
      <c r="F35" s="1166"/>
      <c r="G35" s="1166"/>
      <c r="H35" s="1166"/>
      <c r="I35" s="1166"/>
      <c r="J35" s="1166"/>
      <c r="K35" s="1166"/>
      <c r="L35" s="1298"/>
      <c r="M35" s="1166"/>
      <c r="N35" s="1166"/>
      <c r="O35" s="1166"/>
      <c r="S35" s="4403" t="s">
        <v>444</v>
      </c>
      <c r="T35" s="4403"/>
      <c r="U35" s="1290"/>
      <c r="V35" s="4405" t="str">
        <f>IF(TITLE_NUMBER_PR_CHANGE="",IF(TITLE_NUMBER_PR="","",TITLE_NUMBER_PR),TITLE_NUMBER_PR_CHANGE)</f>
        <v>51/110</v>
      </c>
      <c r="W35" s="4405"/>
      <c r="X35" s="4405"/>
      <c r="Y35" s="4405"/>
      <c r="Z35" s="4405"/>
      <c r="AA35" s="4405"/>
      <c r="AB35" s="4405"/>
      <c r="AC35" s="1553"/>
      <c r="AD35" s="4405" t="str">
        <f>IF(TITLE_NUMBER_PR_CHANGE="",IF(TITLE_NUMBER_PR="","",TITLE_NUMBER_PR),TITLE_NUMBER_PR_CHANGE)</f>
        <v>51/110</v>
      </c>
      <c r="AE35" s="4405"/>
      <c r="AF35" s="4405"/>
      <c r="AG35" s="4405"/>
      <c r="AH35" s="4405"/>
      <c r="AI35" s="4405"/>
      <c r="AJ35" s="4405"/>
      <c r="AK35" s="1553"/>
      <c r="AL35" s="1553"/>
      <c r="AM35" s="216"/>
      <c r="AN35" s="303"/>
      <c r="AO35" s="303"/>
      <c r="AP35" s="303"/>
      <c r="AQ35" s="303"/>
      <c r="AR35" s="303"/>
      <c r="AS35" s="353">
        <v>0</v>
      </c>
    </row>
    <row r="36" spans="1:45" s="4149"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445</v>
      </c>
      <c r="AD36" s="1553"/>
      <c r="AE36" s="1553"/>
      <c r="AF36" s="1553"/>
      <c r="AG36" s="1553"/>
      <c r="AH36" s="1553"/>
      <c r="AI36" s="1553"/>
      <c r="AJ36" s="1553"/>
      <c r="AK36" s="1560" t="s">
        <v>445</v>
      </c>
      <c r="AN36" s="303"/>
      <c r="AO36" s="303"/>
      <c r="AP36" s="303"/>
      <c r="AQ36" s="303"/>
      <c r="AR36" s="303"/>
      <c r="AS36" s="353">
        <v>0</v>
      </c>
    </row>
    <row r="37" spans="1:45" ht="14.65" customHeight="1">
      <c r="Q37" s="311"/>
      <c r="R37" s="311"/>
      <c r="S37" s="1193"/>
      <c r="T37" s="392"/>
      <c r="U37" s="1162"/>
      <c r="V37" s="4424"/>
      <c r="W37" s="4424"/>
      <c r="X37" s="4424"/>
      <c r="Y37" s="4424"/>
      <c r="Z37" s="4424"/>
      <c r="AA37" s="4424"/>
      <c r="AB37" s="4424"/>
      <c r="AC37" s="4424"/>
      <c r="AD37" s="4424"/>
      <c r="AE37" s="4424"/>
      <c r="AF37" s="4424"/>
      <c r="AG37" s="4424"/>
      <c r="AH37" s="4424"/>
      <c r="AI37" s="4424"/>
      <c r="AJ37" s="4424"/>
      <c r="AK37" s="4424"/>
      <c r="AS37" s="1549">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549">
        <v>14</v>
      </c>
    </row>
    <row r="39" spans="1:45" ht="14.65" customHeight="1">
      <c r="Q39" s="311"/>
      <c r="R39" s="311"/>
      <c r="S39" s="4425" t="s">
        <v>92</v>
      </c>
      <c r="T39" s="4373" t="s">
        <v>446</v>
      </c>
      <c r="U39" s="273"/>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549">
        <v>14</v>
      </c>
    </row>
    <row r="40" spans="1:45" ht="35.65" customHeight="1">
      <c r="Q40" s="311"/>
      <c r="R40" s="311"/>
      <c r="S40" s="4425"/>
      <c r="T40" s="4373"/>
      <c r="U40" s="953"/>
      <c r="V40" s="4345" t="s">
        <v>451</v>
      </c>
      <c r="W40" s="4421" t="s">
        <v>452</v>
      </c>
      <c r="X40" s="4256" t="s">
        <v>453</v>
      </c>
      <c r="Y40" s="4255"/>
      <c r="Z40" s="4256" t="s">
        <v>466</v>
      </c>
      <c r="AA40" s="4261"/>
      <c r="AB40" s="4255"/>
      <c r="AC40" s="4430"/>
      <c r="AD40" s="4345" t="s">
        <v>451</v>
      </c>
      <c r="AE40" s="4421" t="s">
        <v>452</v>
      </c>
      <c r="AF40" s="4256" t="s">
        <v>453</v>
      </c>
      <c r="AG40" s="4255"/>
      <c r="AH40" s="4256" t="s">
        <v>454</v>
      </c>
      <c r="AI40" s="4261"/>
      <c r="AJ40" s="4255"/>
      <c r="AK40" s="4430"/>
      <c r="AL40" s="4433"/>
      <c r="AM40" s="4274"/>
      <c r="AS40" s="1549">
        <v>34</v>
      </c>
    </row>
    <row r="41" spans="1:45" ht="35.65" customHeight="1">
      <c r="A41" s="1184"/>
      <c r="B41" s="1184" t="s">
        <v>138</v>
      </c>
      <c r="C41" s="1184" t="s">
        <v>139</v>
      </c>
      <c r="D41" s="1184" t="s">
        <v>140</v>
      </c>
      <c r="E41" s="1228" t="s">
        <v>455</v>
      </c>
      <c r="F41" s="1228" t="s">
        <v>456</v>
      </c>
      <c r="G41" s="1228" t="s">
        <v>457</v>
      </c>
      <c r="H41" s="1228" t="s">
        <v>458</v>
      </c>
      <c r="I41" s="1228" t="s">
        <v>459</v>
      </c>
      <c r="J41" s="1228" t="s">
        <v>460</v>
      </c>
      <c r="K41" s="1228" t="s">
        <v>461</v>
      </c>
      <c r="L41" s="1228" t="s">
        <v>436</v>
      </c>
      <c r="Q41" s="311"/>
      <c r="R41" s="311"/>
      <c r="S41" s="4425"/>
      <c r="T41" s="4373"/>
      <c r="U41" s="238"/>
      <c r="V41" s="4398"/>
      <c r="W41" s="4422"/>
      <c r="X41" s="1850" t="s">
        <v>462</v>
      </c>
      <c r="Y41" s="1850" t="s">
        <v>463</v>
      </c>
      <c r="Z41" s="1850" t="s">
        <v>464</v>
      </c>
      <c r="AA41" s="4378" t="s">
        <v>465</v>
      </c>
      <c r="AB41" s="4392"/>
      <c r="AC41" s="4431"/>
      <c r="AD41" s="4398"/>
      <c r="AE41" s="4422"/>
      <c r="AF41" s="1850" t="s">
        <v>462</v>
      </c>
      <c r="AG41" s="1850" t="s">
        <v>463</v>
      </c>
      <c r="AH41" s="1850" t="s">
        <v>464</v>
      </c>
      <c r="AI41" s="4378" t="s">
        <v>465</v>
      </c>
      <c r="AJ41" s="4392"/>
      <c r="AK41" s="4431"/>
      <c r="AL41" s="4434"/>
      <c r="AM41" s="4274"/>
      <c r="AS41" s="1549">
        <v>34</v>
      </c>
    </row>
    <row r="42" spans="1:45" s="4164"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113</v>
      </c>
      <c r="T42" s="1173" t="s">
        <v>114</v>
      </c>
      <c r="U42" s="1163" t="str">
        <f ca="1">OFFSET(U42,0,-1)</f>
        <v>2</v>
      </c>
      <c r="V42" s="1868">
        <f ca="1">OFFSET(V42,0,-1)+1</f>
        <v>3</v>
      </c>
      <c r="W42" s="1868"/>
      <c r="X42" s="1868">
        <f ca="1">OFFSET(X42,0,-1)+1</f>
        <v>1</v>
      </c>
      <c r="Y42" s="1868">
        <f ca="1">OFFSET(Y42,0,-1)+1</f>
        <v>2</v>
      </c>
      <c r="Z42" s="1868">
        <f ca="1">OFFSET(Z42,0,-1)+1</f>
        <v>3</v>
      </c>
      <c r="AA42" s="4423">
        <f ca="1">OFFSET(AA42,0,-1)+1</f>
        <v>4</v>
      </c>
      <c r="AB42" s="4423"/>
      <c r="AC42" s="1868">
        <f ca="1">OFFSET(AC42,0,-2)+1</f>
        <v>5</v>
      </c>
      <c r="AD42" s="1868">
        <f ca="1">OFFSET(AD42,0,-1)+1</f>
        <v>6</v>
      </c>
      <c r="AE42" s="1868"/>
      <c r="AF42" s="1868">
        <f ca="1">OFFSET(AF42,0,-1)+1</f>
        <v>1</v>
      </c>
      <c r="AG42" s="1868">
        <f ca="1">OFFSET(AG42,0,-1)+1</f>
        <v>2</v>
      </c>
      <c r="AH42" s="1868">
        <f ca="1">OFFSET(AH42,0,-1)+1</f>
        <v>3</v>
      </c>
      <c r="AI42" s="4423">
        <f ca="1">OFFSET(AI42,0,-1)+1</f>
        <v>4</v>
      </c>
      <c r="AJ42" s="4423"/>
      <c r="AK42" s="1868">
        <f ca="1">OFFSET(AK42,0,-2)+1</f>
        <v>5</v>
      </c>
      <c r="AL42" s="1163">
        <f ca="1">OFFSET(AL42,0,-1)</f>
        <v>5</v>
      </c>
      <c r="AM42" s="1868">
        <f ca="1">OFFSET(AM42,0,-1)+1</f>
        <v>6</v>
      </c>
      <c r="AN42" s="1554"/>
      <c r="AO42" s="1554"/>
      <c r="AP42" s="1554"/>
      <c r="AQ42" s="1554"/>
      <c r="AR42" s="1554"/>
      <c r="AS42" s="1559">
        <v>0</v>
      </c>
    </row>
    <row r="43" spans="1:45" ht="21.95" customHeight="1">
      <c r="A43" s="1185" t="s">
        <v>233</v>
      </c>
      <c r="B43" s="1185"/>
      <c r="C43" s="1185"/>
      <c r="D43" s="1185"/>
      <c r="E43" s="443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233</v>
      </c>
      <c r="B44" s="1185" t="s">
        <v>234</v>
      </c>
      <c r="C44" s="1185"/>
      <c r="D44" s="1185"/>
      <c r="E44" s="4439"/>
      <c r="F44" s="4438">
        <v>1</v>
      </c>
      <c r="G44" s="1185"/>
      <c r="H44" s="1185"/>
      <c r="I44" s="1185"/>
      <c r="J44" s="1185"/>
      <c r="K44" s="1185"/>
      <c r="L44" s="1228"/>
      <c r="M44" s="1528"/>
      <c r="N44" s="1528"/>
      <c r="O44" s="1528"/>
      <c r="P44" s="1852"/>
      <c r="Q44" s="287"/>
      <c r="R44" s="288"/>
      <c r="S44" s="1870" t="str">
        <f>INDEX(PT_DIFFERENTIATION_NUM_TER,MATCH(B44,PT_DIFFERENTIATION_TER_ID,0))</f>
        <v>.</v>
      </c>
      <c r="T44" s="1440"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1542"/>
      <c r="AP44" s="1542" t="str">
        <f t="shared" si="1"/>
        <v>Территория действия тарифа</v>
      </c>
      <c r="AQ44" s="1542"/>
      <c r="AR44" s="1542"/>
      <c r="AS44" s="1549">
        <v>21</v>
      </c>
    </row>
    <row r="45" spans="1:45" ht="24" customHeight="1">
      <c r="A45" s="1185" t="s">
        <v>233</v>
      </c>
      <c r="B45" s="1185" t="s">
        <v>234</v>
      </c>
      <c r="C45" s="1185" t="s">
        <v>235</v>
      </c>
      <c r="D45" s="1185"/>
      <c r="E45" s="4439"/>
      <c r="F45" s="4439"/>
      <c r="G45" s="4438">
        <v>1</v>
      </c>
      <c r="H45" s="1185"/>
      <c r="I45" s="1185"/>
      <c r="J45" s="1185"/>
      <c r="K45" s="1185"/>
      <c r="L45" s="1228"/>
      <c r="M45" s="1528"/>
      <c r="N45" s="1528"/>
      <c r="O45" s="1528"/>
      <c r="P45" s="289"/>
      <c r="Q45" s="287"/>
      <c r="R45" s="288"/>
      <c r="S45" s="1870"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1542"/>
      <c r="AP45" s="1542" t="str">
        <f t="shared" si="1"/>
        <v xml:space="preserve">Наименование системы теплоснабжения </v>
      </c>
      <c r="AQ45" s="1542"/>
      <c r="AR45" s="1542"/>
      <c r="AS45" s="1549">
        <v>23</v>
      </c>
    </row>
    <row r="46" spans="1:45" ht="21.95" customHeight="1">
      <c r="A46" s="1185" t="s">
        <v>233</v>
      </c>
      <c r="B46" s="1185" t="s">
        <v>234</v>
      </c>
      <c r="C46" s="1185" t="s">
        <v>235</v>
      </c>
      <c r="D46" s="1185" t="s">
        <v>236</v>
      </c>
      <c r="E46" s="4439"/>
      <c r="F46" s="4439"/>
      <c r="G46" s="4439"/>
      <c r="H46" s="4438">
        <v>1</v>
      </c>
      <c r="I46" s="1185"/>
      <c r="J46" s="1185"/>
      <c r="K46" s="1185"/>
      <c r="L46" s="1228"/>
      <c r="M46" s="1528"/>
      <c r="N46" s="1528"/>
      <c r="O46" s="1528"/>
      <c r="P46" s="289"/>
      <c r="Q46" s="287"/>
      <c r="R46" s="288"/>
      <c r="S46" s="1870"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1542"/>
      <c r="AP46" s="1542" t="str">
        <f t="shared" si="1"/>
        <v xml:space="preserve">Источник тепловой энергии  </v>
      </c>
      <c r="AQ46" s="1542"/>
      <c r="AR46" s="1542"/>
      <c r="AS46" s="1549">
        <v>21</v>
      </c>
    </row>
    <row r="47" spans="1:45" ht="49.5" customHeight="1">
      <c r="A47" s="1185" t="s">
        <v>233</v>
      </c>
      <c r="B47" s="1185" t="s">
        <v>234</v>
      </c>
      <c r="C47" s="1185" t="s">
        <v>235</v>
      </c>
      <c r="D47" s="1185" t="s">
        <v>236</v>
      </c>
      <c r="E47" s="4439"/>
      <c r="F47" s="4439"/>
      <c r="G47" s="4439"/>
      <c r="H47" s="4439"/>
      <c r="I47" s="4274" t="str">
        <f>S46&amp;".1"</f>
        <v>....1</v>
      </c>
      <c r="J47" s="1185"/>
      <c r="K47" s="1185"/>
      <c r="L47" s="1228" t="s">
        <v>424</v>
      </c>
      <c r="P47" s="4416">
        <v>1</v>
      </c>
      <c r="Q47" s="1866"/>
      <c r="R47" s="291"/>
      <c r="S47" s="1870" t="str">
        <f>$I47</f>
        <v>....1</v>
      </c>
      <c r="T47" s="221" t="s">
        <v>425</v>
      </c>
      <c r="U47" s="236"/>
      <c r="V47" s="4400"/>
      <c r="W47" s="4401"/>
      <c r="X47" s="4401"/>
      <c r="Y47" s="4401"/>
      <c r="Z47" s="4401"/>
      <c r="AA47" s="4401"/>
      <c r="AB47" s="4401"/>
      <c r="AC47" s="4402"/>
      <c r="AD47" s="4400"/>
      <c r="AE47" s="4401"/>
      <c r="AF47" s="4401"/>
      <c r="AG47" s="4401"/>
      <c r="AH47" s="4401"/>
      <c r="AI47" s="4401"/>
      <c r="AJ47" s="4401"/>
      <c r="AK47" s="4401"/>
      <c r="AL47" s="4402"/>
      <c r="AM47" s="1176" t="s">
        <v>426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233</v>
      </c>
      <c r="B48" s="1185" t="s">
        <v>234</v>
      </c>
      <c r="C48" s="1185" t="s">
        <v>235</v>
      </c>
      <c r="D48" s="1185" t="s">
        <v>236</v>
      </c>
      <c r="E48" s="4439"/>
      <c r="F48" s="4439"/>
      <c r="G48" s="4439"/>
      <c r="H48" s="4439"/>
      <c r="I48" s="4256"/>
      <c r="J48" s="4274" t="str">
        <f>I47&amp;".1"</f>
        <v>....1.1</v>
      </c>
      <c r="K48" s="1185"/>
      <c r="L48" s="1228" t="s">
        <v>427</v>
      </c>
      <c r="P48" s="4416"/>
      <c r="Q48" s="4416">
        <v>1</v>
      </c>
      <c r="R48" s="292"/>
      <c r="S48" s="1870" t="str">
        <f>$J48</f>
        <v>....1.1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1542"/>
      <c r="AP48" s="1542" t="str">
        <f t="shared" si="1"/>
        <v>Группа потребителей</v>
      </c>
      <c r="AQ48" s="1542"/>
      <c r="AR48" s="1542"/>
      <c r="AS48" s="1549">
        <v>21</v>
      </c>
    </row>
    <row r="49" spans="1:45" ht="21.95" customHeight="1">
      <c r="A49" s="1185" t="s">
        <v>233</v>
      </c>
      <c r="B49" s="1185" t="s">
        <v>234</v>
      </c>
      <c r="C49" s="1185" t="s">
        <v>235</v>
      </c>
      <c r="D49" s="1185" t="s">
        <v>236</v>
      </c>
      <c r="E49" s="4439"/>
      <c r="F49" s="4439"/>
      <c r="G49" s="4439"/>
      <c r="H49" s="4439"/>
      <c r="I49" s="4256"/>
      <c r="J49" s="4256"/>
      <c r="K49" s="4274" t="str">
        <f>J48&amp;".1"</f>
        <v>....1.1.1</v>
      </c>
      <c r="L49" s="1228" t="s">
        <v>430</v>
      </c>
      <c r="P49" s="4416"/>
      <c r="Q49" s="4416"/>
      <c r="R49" s="292">
        <v>1</v>
      </c>
      <c r="S49" s="1870" t="str">
        <f>$K49</f>
        <v>....1.1.1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431</v>
      </c>
      <c r="AN49" s="1554" t="e">
        <f ca="1">STRCHECKDATE(V50:AL50)</f>
        <v>#NAME?</v>
      </c>
      <c r="AO49" s="1542"/>
      <c r="AP49" s="1542" t="str">
        <f t="shared" si="1"/>
        <v/>
      </c>
      <c r="AQ49" s="1542"/>
      <c r="AR49" s="1542"/>
      <c r="AS49" s="1549">
        <v>21</v>
      </c>
    </row>
    <row r="50" spans="1:45" ht="1.1499999999999999" customHeight="1">
      <c r="A50" s="1185" t="s">
        <v>233</v>
      </c>
      <c r="B50" s="1185" t="s">
        <v>234</v>
      </c>
      <c r="C50" s="1185" t="s">
        <v>235</v>
      </c>
      <c r="D50" s="1185" t="s">
        <v>236</v>
      </c>
      <c r="E50" s="4439"/>
      <c r="F50" s="4439"/>
      <c r="G50" s="4439"/>
      <c r="H50" s="4439"/>
      <c r="I50" s="4256"/>
      <c r="J50" s="4256"/>
      <c r="K50" s="4274"/>
      <c r="L50" s="1228"/>
      <c r="P50" s="4416"/>
      <c r="Q50" s="4416"/>
      <c r="R50" s="292"/>
      <c r="S50" s="1879"/>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1542"/>
      <c r="AP50" s="1542" t="str">
        <f t="shared" si="1"/>
        <v/>
      </c>
      <c r="AQ50" s="1542"/>
      <c r="AR50" s="1542"/>
      <c r="AS50" s="1549">
        <v>1</v>
      </c>
    </row>
    <row r="51" spans="1:45" ht="11.45" customHeight="1">
      <c r="A51" s="1185" t="s">
        <v>233</v>
      </c>
      <c r="B51" s="1185" t="s">
        <v>234</v>
      </c>
      <c r="C51" s="1185" t="s">
        <v>235</v>
      </c>
      <c r="D51" s="1185" t="s">
        <v>236</v>
      </c>
      <c r="E51" s="4439"/>
      <c r="F51" s="4439"/>
      <c r="G51" s="4439"/>
      <c r="H51" s="4439"/>
      <c r="I51" s="4256"/>
      <c r="J51" s="4274"/>
      <c r="K51" s="1185"/>
      <c r="L51" s="1228"/>
      <c r="P51" s="4416"/>
      <c r="Q51" s="4416"/>
      <c r="R51" s="291"/>
      <c r="S51" s="1196"/>
      <c r="T51" s="224" t="s">
        <v>432</v>
      </c>
      <c r="U51" s="535"/>
      <c r="V51" s="535"/>
      <c r="W51" s="535"/>
      <c r="X51" s="535"/>
      <c r="Y51" s="535"/>
      <c r="Z51" s="535"/>
      <c r="AA51" s="535"/>
      <c r="AB51" s="535"/>
      <c r="AC51" s="535"/>
      <c r="AD51" s="535"/>
      <c r="AE51" s="535"/>
      <c r="AF51" s="535"/>
      <c r="AG51" s="535"/>
      <c r="AH51" s="535"/>
      <c r="AI51" s="535"/>
      <c r="AJ51" s="535"/>
      <c r="AK51" s="535"/>
      <c r="AL51" s="260"/>
      <c r="AM51" s="4437"/>
      <c r="AO51" s="1542"/>
      <c r="AP51" s="1542" t="str">
        <f t="shared" si="1"/>
        <v>Добавить вид теплоносителя (параметры теплоносителя)</v>
      </c>
      <c r="AQ51" s="1542"/>
      <c r="AR51" s="1542"/>
      <c r="AS51" s="1549">
        <v>11</v>
      </c>
    </row>
    <row r="52" spans="1:45" ht="11.45" customHeight="1">
      <c r="A52" s="1185" t="s">
        <v>233</v>
      </c>
      <c r="B52" s="1185" t="s">
        <v>234</v>
      </c>
      <c r="C52" s="1185" t="s">
        <v>235</v>
      </c>
      <c r="D52" s="1185" t="s">
        <v>236</v>
      </c>
      <c r="E52" s="4439"/>
      <c r="F52" s="4439"/>
      <c r="G52" s="4439"/>
      <c r="H52" s="4439"/>
      <c r="I52" s="4274"/>
      <c r="J52" s="1185"/>
      <c r="K52" s="1185"/>
      <c r="L52" s="1228"/>
      <c r="P52" s="4416"/>
      <c r="Q52" s="1866"/>
      <c r="R52" s="291"/>
      <c r="S52" s="1196"/>
      <c r="T52" s="223" t="s">
        <v>433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233</v>
      </c>
      <c r="B53" s="1185" t="s">
        <v>234</v>
      </c>
      <c r="C53" s="1185" t="s">
        <v>235</v>
      </c>
      <c r="D53" s="1185" t="s">
        <v>236</v>
      </c>
      <c r="E53" s="4439"/>
      <c r="F53" s="4439"/>
      <c r="G53" s="4439"/>
      <c r="H53" s="4438"/>
      <c r="I53" s="1185"/>
      <c r="J53" s="1185"/>
      <c r="K53" s="1185"/>
      <c r="L53" s="1228"/>
      <c r="M53" s="1528"/>
      <c r="N53" s="1528"/>
      <c r="O53" s="1553"/>
      <c r="P53" s="295"/>
      <c r="Q53" s="310"/>
      <c r="R53" s="290"/>
      <c r="S53" s="1196"/>
      <c r="T53" s="300" t="s">
        <v>434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4140" customFormat="1" ht="1.1499999999999999" customHeight="1">
      <c r="A54" s="1185" t="s">
        <v>233</v>
      </c>
      <c r="B54" s="1185" t="s">
        <v>234</v>
      </c>
      <c r="C54" s="1185" t="s">
        <v>235</v>
      </c>
      <c r="D54" s="1886"/>
      <c r="E54" s="4439"/>
      <c r="F54" s="4439"/>
      <c r="G54" s="4438"/>
      <c r="H54" s="1886"/>
      <c r="I54" s="1886"/>
      <c r="J54" s="1886"/>
      <c r="K54" s="1886"/>
      <c r="L54" s="1298"/>
      <c r="M54" s="1528"/>
      <c r="N54" s="1528"/>
      <c r="O54" s="155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4140" customFormat="1" ht="1.1499999999999999" customHeight="1">
      <c r="A55" s="1185" t="s">
        <v>233</v>
      </c>
      <c r="B55" s="1185" t="s">
        <v>234</v>
      </c>
      <c r="C55" s="1886"/>
      <c r="D55" s="1886"/>
      <c r="E55" s="4439"/>
      <c r="F55" s="4438"/>
      <c r="G55" s="1886"/>
      <c r="H55" s="1886"/>
      <c r="I55" s="1886"/>
      <c r="J55" s="1886"/>
      <c r="K55" s="1886"/>
      <c r="L55" s="1298"/>
      <c r="M55" s="1887"/>
      <c r="N55" s="1887"/>
      <c r="O55" s="1553"/>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4140" customFormat="1" ht="1.1499999999999999" customHeight="1">
      <c r="A56" s="1185" t="s">
        <v>233</v>
      </c>
      <c r="B56" s="1185"/>
      <c r="C56" s="1185"/>
      <c r="D56" s="1185"/>
      <c r="E56" s="4438"/>
      <c r="F56" s="1185"/>
      <c r="G56" s="1185"/>
      <c r="H56" s="1185"/>
      <c r="I56" s="1185"/>
      <c r="J56" s="1185"/>
      <c r="K56" s="1185"/>
      <c r="L56" s="1228"/>
      <c r="M56" s="1887"/>
      <c r="N56" s="1887"/>
      <c r="O56" s="15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4140"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549">
        <v>27</v>
      </c>
    </row>
    <row r="60" spans="1:45" ht="65.25" customHeight="1">
      <c r="O60" s="1553"/>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549">
        <v>62</v>
      </c>
    </row>
    <row r="61" spans="1:45" ht="14.65" customHeight="1">
      <c r="O61" s="1553"/>
      <c r="AS61" s="1549">
        <v>14</v>
      </c>
    </row>
    <row r="62" spans="1:45" ht="18.75" customHeight="1">
      <c r="O62" s="1553"/>
      <c r="S62" s="1171"/>
      <c r="T62" s="4411"/>
      <c r="U62" s="4411"/>
      <c r="V62" s="4411"/>
      <c r="W62" s="4411"/>
      <c r="X62" s="4411"/>
      <c r="Y62" s="4411"/>
      <c r="Z62" s="4411"/>
      <c r="AA62" s="4411"/>
      <c r="AB62" s="4411"/>
      <c r="AC62" s="4411"/>
      <c r="AD62" s="4411"/>
      <c r="AE62" s="4411"/>
      <c r="AF62" s="4411"/>
      <c r="AG62" s="4411"/>
      <c r="AH62" s="4411"/>
      <c r="AI62" s="4411"/>
      <c r="AJ62" s="4411"/>
      <c r="AK62" s="4411"/>
      <c r="AL62" s="4411"/>
      <c r="AM62" s="4411"/>
      <c r="AS62" s="1549">
        <v>18</v>
      </c>
    </row>
    <row r="63" spans="1:45" ht="18.75" customHeight="1">
      <c r="O63" s="1553"/>
      <c r="T63" s="4411"/>
      <c r="U63" s="4411"/>
      <c r="V63" s="4411"/>
      <c r="W63" s="4411"/>
      <c r="X63" s="4411"/>
      <c r="Y63" s="4411"/>
      <c r="Z63" s="4411"/>
      <c r="AA63" s="4411"/>
      <c r="AB63" s="4411"/>
      <c r="AC63" s="4411"/>
      <c r="AD63" s="4411"/>
      <c r="AE63" s="4411"/>
      <c r="AF63" s="4411"/>
      <c r="AG63" s="4411"/>
      <c r="AH63" s="4411"/>
      <c r="AI63" s="4411"/>
      <c r="AJ63" s="4411"/>
      <c r="AK63" s="4411"/>
      <c r="AL63" s="4411"/>
      <c r="AM63" s="4411"/>
      <c r="AS63" s="1549">
        <v>18</v>
      </c>
    </row>
    <row r="64" spans="1:45" ht="29.25" customHeight="1">
      <c r="O64" s="1553"/>
      <c r="S64" s="1171"/>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549">
        <v>28</v>
      </c>
    </row>
    <row r="65" spans="1:45" ht="22.5" hidden="1" customHeight="1">
      <c r="A65" s="1549" t="s">
        <v>86</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1" style="4133" customWidth="1"/>
    <col min="21" max="21" width="0.7109375" style="4133" hidden="1" customWidth="1"/>
    <col min="22" max="22" width="1.7109375" style="4133" hidden="1" customWidth="1"/>
    <col min="23" max="23" width="24.7109375" style="4133" hidden="1" customWidth="1"/>
    <col min="24" max="25" width="0.14062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0.140625" style="4133" customWidth="1"/>
    <col min="31" max="31" width="24" style="4133" customWidth="1"/>
    <col min="32" max="33" width="0.140625"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Y1" s="263"/>
      <c r="Z1" s="263"/>
      <c r="AG1" s="263"/>
      <c r="AH1" s="263"/>
      <c r="AS1" s="1073" t="s">
        <v>14</v>
      </c>
    </row>
    <row r="2" spans="1:45" ht="21" hidden="1" customHeight="1">
      <c r="A2" s="1281"/>
      <c r="B2" s="1281"/>
      <c r="C2" s="1281"/>
      <c r="D2" s="1281"/>
      <c r="E2" s="4412">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435"/>
      <c r="AP2" s="435" t="str">
        <f t="shared" ref="AP2:AP15" si="0">IF(T2="","",T2)</f>
        <v>Наименование тарифа</v>
      </c>
      <c r="AQ2" s="435"/>
      <c r="AR2" s="435"/>
      <c r="AS2" s="1073">
        <v>0</v>
      </c>
    </row>
    <row r="3" spans="1:45" ht="21" hidden="1" customHeight="1">
      <c r="A3" s="1281"/>
      <c r="B3" s="1281"/>
      <c r="C3" s="1281"/>
      <c r="D3" s="1281"/>
      <c r="E3" s="4413"/>
      <c r="F3" s="4412">
        <v>1</v>
      </c>
      <c r="G3" s="1281"/>
      <c r="H3" s="1281"/>
      <c r="I3" s="1281"/>
      <c r="J3" s="1281"/>
      <c r="K3" s="1281"/>
      <c r="L3" s="1282"/>
      <c r="M3" s="1283"/>
      <c r="N3" s="1283"/>
      <c r="O3" s="1283"/>
      <c r="P3" s="1250"/>
      <c r="Q3" s="287"/>
      <c r="R3" s="288"/>
      <c r="S3" s="1254"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435"/>
      <c r="AP3" s="435" t="str">
        <f t="shared" si="0"/>
        <v>Территория действия тарифа</v>
      </c>
      <c r="AQ3" s="435"/>
      <c r="AR3" s="435"/>
      <c r="AS3" s="1073">
        <v>0</v>
      </c>
    </row>
    <row r="4" spans="1:45" ht="23.25" hidden="1" customHeight="1">
      <c r="A4" s="1281"/>
      <c r="B4" s="1281"/>
      <c r="C4" s="1281"/>
      <c r="D4" s="1281"/>
      <c r="E4" s="4413"/>
      <c r="F4" s="4413"/>
      <c r="G4" s="4412">
        <v>1</v>
      </c>
      <c r="H4" s="1281"/>
      <c r="I4" s="1281"/>
      <c r="J4" s="1281"/>
      <c r="K4" s="1281"/>
      <c r="L4" s="1282"/>
      <c r="M4" s="1283"/>
      <c r="N4" s="1283"/>
      <c r="O4" s="1283"/>
      <c r="P4" s="289"/>
      <c r="Q4" s="287"/>
      <c r="R4" s="288"/>
      <c r="S4" s="1254"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413"/>
      <c r="F5" s="4413"/>
      <c r="G5" s="4413"/>
      <c r="H5" s="4412">
        <v>1</v>
      </c>
      <c r="I5" s="1281"/>
      <c r="J5" s="1281"/>
      <c r="K5" s="1281"/>
      <c r="L5" s="1282"/>
      <c r="M5" s="1283"/>
      <c r="N5" s="1283"/>
      <c r="O5" s="1283"/>
      <c r="P5" s="289"/>
      <c r="Q5" s="287"/>
      <c r="R5" s="288"/>
      <c r="S5" s="1254"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435"/>
      <c r="AP5" s="435" t="str">
        <f t="shared" si="0"/>
        <v xml:space="preserve">Источник тепловой энергии  </v>
      </c>
      <c r="AQ5" s="435"/>
      <c r="AR5" s="435"/>
      <c r="AS5" s="1073">
        <v>0</v>
      </c>
    </row>
    <row r="6" spans="1:45" ht="47.25" hidden="1" customHeight="1">
      <c r="A6" s="1281"/>
      <c r="B6" s="1281"/>
      <c r="C6" s="1281"/>
      <c r="D6" s="1281"/>
      <c r="E6" s="4413"/>
      <c r="F6" s="4413"/>
      <c r="G6" s="4413"/>
      <c r="H6" s="4413"/>
      <c r="I6" s="4414" t="e">
        <f>S5&amp;".1"</f>
        <v>#N/A</v>
      </c>
      <c r="J6" s="1281"/>
      <c r="K6" s="1281"/>
      <c r="L6" s="1282" t="s">
        <v>424</v>
      </c>
      <c r="M6" s="472"/>
      <c r="P6" s="4416">
        <v>1</v>
      </c>
      <c r="Q6" s="1249"/>
      <c r="R6" s="291"/>
      <c r="S6" s="1254" t="e">
        <f>$I6</f>
        <v>#N/A</v>
      </c>
      <c r="T6" s="221" t="s">
        <v>425</v>
      </c>
      <c r="U6" s="236"/>
      <c r="V6" s="4400"/>
      <c r="W6" s="4401"/>
      <c r="X6" s="4401"/>
      <c r="Y6" s="4401"/>
      <c r="Z6" s="4401"/>
      <c r="AA6" s="4401"/>
      <c r="AB6" s="4401"/>
      <c r="AC6" s="4402"/>
      <c r="AD6" s="4400"/>
      <c r="AE6" s="4401"/>
      <c r="AF6" s="4401"/>
      <c r="AG6" s="4401"/>
      <c r="AH6" s="4401"/>
      <c r="AI6" s="4401"/>
      <c r="AJ6" s="4401"/>
      <c r="AK6" s="4401"/>
      <c r="AL6" s="4402"/>
      <c r="AM6" s="1176" t="s">
        <v>426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4413"/>
      <c r="F7" s="4413"/>
      <c r="G7" s="4413"/>
      <c r="H7" s="4413"/>
      <c r="I7" s="4415"/>
      <c r="J7" s="4414" t="e">
        <f>I6&amp;".1"</f>
        <v>#N/A</v>
      </c>
      <c r="K7" s="1281"/>
      <c r="L7" s="1282" t="s">
        <v>427</v>
      </c>
      <c r="M7" s="472"/>
      <c r="N7" s="1284"/>
      <c r="P7" s="4416"/>
      <c r="Q7" s="4416">
        <v>1</v>
      </c>
      <c r="R7" s="292"/>
      <c r="S7" s="1254"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435"/>
      <c r="AP7" s="435" t="str">
        <f t="shared" si="0"/>
        <v>Группа потребителей</v>
      </c>
      <c r="AQ7" s="435"/>
      <c r="AR7" s="435"/>
      <c r="AS7" s="1073">
        <v>0</v>
      </c>
    </row>
    <row r="8" spans="1:45" ht="21"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254" t="e">
        <f>$K8</f>
        <v>#N/A</v>
      </c>
      <c r="T8" s="1265"/>
      <c r="U8" s="236"/>
      <c r="V8" s="261"/>
      <c r="W8" s="686"/>
      <c r="X8" s="261"/>
      <c r="Y8" s="319"/>
      <c r="Z8" s="4417"/>
      <c r="AA8" s="4284" t="s">
        <v>65</v>
      </c>
      <c r="AB8" s="4417"/>
      <c r="AC8" s="4284" t="s">
        <v>65</v>
      </c>
      <c r="AD8" s="261"/>
      <c r="AE8" s="686"/>
      <c r="AF8" s="261"/>
      <c r="AG8" s="319"/>
      <c r="AH8" s="4417"/>
      <c r="AI8" s="4284" t="s">
        <v>65</v>
      </c>
      <c r="AJ8" s="4417"/>
      <c r="AK8" s="4284" t="s">
        <v>65</v>
      </c>
      <c r="AL8" s="261"/>
      <c r="AM8" s="4435" t="s">
        <v>431</v>
      </c>
      <c r="AN8" s="446" t="e">
        <f ca="1">STRCHECKDATE(V9:AL9)</f>
        <v>#NAME?</v>
      </c>
      <c r="AO8" s="435"/>
      <c r="AP8" s="435" t="str">
        <f t="shared" si="0"/>
        <v/>
      </c>
      <c r="AQ8" s="435"/>
      <c r="AR8" s="435"/>
      <c r="AS8" s="1073">
        <v>0</v>
      </c>
    </row>
    <row r="9" spans="1:45" ht="0.75" hidden="1" customHeight="1">
      <c r="A9" s="1281"/>
      <c r="B9" s="1281"/>
      <c r="C9" s="1281"/>
      <c r="D9" s="1281"/>
      <c r="E9" s="4413"/>
      <c r="F9" s="4413"/>
      <c r="G9" s="4413"/>
      <c r="H9" s="4413"/>
      <c r="I9" s="4415"/>
      <c r="J9" s="4415"/>
      <c r="K9" s="4414"/>
      <c r="L9" s="1282"/>
      <c r="M9" s="472"/>
      <c r="N9" s="1284"/>
      <c r="O9" s="1284"/>
      <c r="P9" s="4416"/>
      <c r="Q9" s="4416"/>
      <c r="R9" s="292"/>
      <c r="S9" s="1260"/>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435"/>
      <c r="AP9" s="435" t="str">
        <f t="shared" si="0"/>
        <v/>
      </c>
      <c r="AQ9" s="435"/>
      <c r="AR9" s="435"/>
      <c r="AS9" s="1073">
        <v>0</v>
      </c>
    </row>
    <row r="10" spans="1:45" ht="15" hidden="1" customHeight="1">
      <c r="A10" s="1281"/>
      <c r="B10" s="1281"/>
      <c r="C10" s="1281"/>
      <c r="D10" s="1281"/>
      <c r="E10" s="4413"/>
      <c r="F10" s="4413"/>
      <c r="G10" s="4413"/>
      <c r="H10" s="4413"/>
      <c r="I10" s="4415"/>
      <c r="J10" s="4414"/>
      <c r="K10" s="1281"/>
      <c r="L10" s="1282"/>
      <c r="M10" s="472"/>
      <c r="N10" s="1284"/>
      <c r="P10" s="4416"/>
      <c r="Q10" s="4416"/>
      <c r="R10" s="291"/>
      <c r="S10" s="1196"/>
      <c r="T10" s="224" t="s">
        <v>432</v>
      </c>
      <c r="U10" s="302"/>
      <c r="V10" s="302"/>
      <c r="W10" s="302"/>
      <c r="X10" s="302"/>
      <c r="Y10" s="302"/>
      <c r="Z10" s="302"/>
      <c r="AA10" s="302"/>
      <c r="AB10" s="302"/>
      <c r="AC10" s="302"/>
      <c r="AD10" s="302"/>
      <c r="AE10" s="302"/>
      <c r="AF10" s="302"/>
      <c r="AG10" s="302"/>
      <c r="AH10" s="302"/>
      <c r="AI10" s="302"/>
      <c r="AJ10" s="302"/>
      <c r="AK10" s="302"/>
      <c r="AL10" s="260"/>
      <c r="AM10" s="443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413"/>
      <c r="F11" s="4413"/>
      <c r="G11" s="4413"/>
      <c r="H11" s="4413"/>
      <c r="I11" s="4414"/>
      <c r="J11" s="1281"/>
      <c r="K11" s="1281"/>
      <c r="L11" s="1282"/>
      <c r="M11" s="472"/>
      <c r="P11" s="4416"/>
      <c r="Q11" s="1249"/>
      <c r="R11" s="291"/>
      <c r="S11" s="1196"/>
      <c r="T11" s="223" t="s">
        <v>433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413"/>
      <c r="F12" s="4413"/>
      <c r="G12" s="4413"/>
      <c r="H12" s="4412"/>
      <c r="I12" s="1281"/>
      <c r="J12" s="1281"/>
      <c r="K12" s="1281"/>
      <c r="L12" s="1282"/>
      <c r="M12" s="1283"/>
      <c r="N12" s="1283"/>
      <c r="O12" s="472"/>
      <c r="P12" s="295"/>
      <c r="Q12" s="310"/>
      <c r="R12" s="290"/>
      <c r="S12" s="1196"/>
      <c r="T12" s="300" t="s">
        <v>434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4140" customFormat="1" ht="0.7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40" customFormat="1" ht="0.7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40" customFormat="1" ht="0.7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410"/>
      <c r="AI17" s="4409" t="s">
        <v>65</v>
      </c>
      <c r="AJ17" s="4410"/>
      <c r="AK17" s="4409" t="s">
        <v>65</v>
      </c>
      <c r="AS17" s="1073">
        <v>0</v>
      </c>
    </row>
    <row r="18" spans="1:45" ht="14.25" hidden="1" customHeight="1">
      <c r="AD18" s="1278"/>
      <c r="AE18" s="1278"/>
      <c r="AF18" s="1278"/>
      <c r="AG18" s="264" t="str">
        <f>AH17&amp;"-"&amp;AJ17</f>
        <v>-</v>
      </c>
      <c r="AH18" s="4409"/>
      <c r="AI18" s="4409"/>
      <c r="AJ18" s="4409"/>
      <c r="AK18" s="4409"/>
      <c r="AS18" s="1073">
        <v>0</v>
      </c>
    </row>
    <row r="19" spans="1:45" ht="14.25" hidden="1" customHeight="1">
      <c r="AK19" s="263"/>
      <c r="AS19" s="1073">
        <v>0</v>
      </c>
    </row>
    <row r="20" spans="1:45" s="4139" customFormat="1" ht="22.5" hidden="1" customHeight="1">
      <c r="L20" s="1247"/>
      <c r="M20" s="1280"/>
      <c r="N20" s="1280"/>
      <c r="O20" s="1285" t="s">
        <v>435</v>
      </c>
      <c r="P20" s="1280"/>
      <c r="Q20" s="1289"/>
      <c r="R20" s="1289"/>
      <c r="S20" s="664"/>
      <c r="Z20" s="1285"/>
      <c r="AB20" s="1285"/>
      <c r="AC20" s="1284"/>
      <c r="AH20" s="1285"/>
      <c r="AJ20" s="1285"/>
      <c r="AK20" s="1284"/>
      <c r="AN20" s="446"/>
      <c r="AO20" s="446"/>
      <c r="AP20" s="446"/>
      <c r="AQ20" s="446"/>
      <c r="AR20" s="446"/>
      <c r="AS20" s="1078">
        <v>0</v>
      </c>
    </row>
    <row r="21" spans="1:45" s="413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39" customFormat="1" ht="33.7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43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393"/>
      <c r="U26" s="4393"/>
      <c r="V26" s="4393"/>
      <c r="W26" s="4393"/>
      <c r="X26" s="4393"/>
      <c r="Y26" s="4393"/>
      <c r="Z26" s="4393"/>
      <c r="AA26" s="4393"/>
      <c r="AB26" s="4393"/>
      <c r="AC26" s="4393"/>
      <c r="AD26" s="4393"/>
      <c r="AE26" s="4393"/>
      <c r="AF26" s="4393"/>
      <c r="AG26" s="4393"/>
      <c r="AH26" s="4393"/>
      <c r="AI26" s="4393"/>
      <c r="AJ26" s="4393"/>
      <c r="AK26" s="1161"/>
      <c r="AS26" s="1073">
        <v>28</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262"/>
      <c r="AM29" s="216"/>
      <c r="AN29" s="303"/>
      <c r="AO29" s="303"/>
      <c r="AP29" s="303"/>
      <c r="AQ29" s="303"/>
      <c r="AR29" s="303"/>
      <c r="AS29" s="353">
        <v>0</v>
      </c>
    </row>
    <row r="30" spans="1:45"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262"/>
      <c r="AM30" s="216"/>
      <c r="AN30" s="303"/>
      <c r="AO30" s="303"/>
      <c r="AP30" s="303"/>
      <c r="AQ30" s="303"/>
      <c r="AR30" s="303"/>
      <c r="AS30" s="353">
        <v>0</v>
      </c>
    </row>
    <row r="31" spans="1:45"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262"/>
      <c r="AM31" s="216"/>
      <c r="AN31" s="303"/>
      <c r="AO31" s="303"/>
      <c r="AP31" s="303"/>
      <c r="AQ31" s="303"/>
      <c r="AR31" s="303"/>
      <c r="AS31" s="353">
        <v>0</v>
      </c>
    </row>
    <row r="32" spans="1:45"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262"/>
      <c r="AM34" s="216"/>
      <c r="AN34" s="303"/>
      <c r="AO34" s="303"/>
      <c r="AP34" s="303"/>
      <c r="AQ34" s="303"/>
      <c r="AR34" s="303"/>
      <c r="AS34" s="353">
        <v>0</v>
      </c>
    </row>
    <row r="35" spans="1:45" s="4149" customFormat="1" ht="18.7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262"/>
      <c r="AM35" s="216"/>
      <c r="AN35" s="303"/>
      <c r="AO35" s="303"/>
      <c r="AP35" s="303"/>
      <c r="AQ35" s="303"/>
      <c r="AR35" s="303"/>
      <c r="AS35" s="353">
        <v>0</v>
      </c>
    </row>
    <row r="36" spans="1:45" s="414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445</v>
      </c>
      <c r="AD36" s="262"/>
      <c r="AE36" s="262"/>
      <c r="AF36" s="262"/>
      <c r="AG36" s="262"/>
      <c r="AH36" s="262"/>
      <c r="AI36" s="262"/>
      <c r="AJ36" s="262"/>
      <c r="AK36" s="214" t="s">
        <v>445</v>
      </c>
      <c r="AN36" s="303"/>
      <c r="AO36" s="303"/>
      <c r="AP36" s="303"/>
      <c r="AQ36" s="303"/>
      <c r="AR36" s="303"/>
      <c r="AS36" s="353">
        <v>0</v>
      </c>
    </row>
    <row r="37" spans="1:45"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S37" s="1073">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073">
        <v>14</v>
      </c>
    </row>
    <row r="39" spans="1:45" ht="14.65" customHeight="1">
      <c r="Q39" s="311"/>
      <c r="R39" s="311"/>
      <c r="S39" s="4425" t="s">
        <v>92</v>
      </c>
      <c r="T39" s="4373" t="s">
        <v>446</v>
      </c>
      <c r="U39" s="237"/>
      <c r="V39" s="4426" t="s">
        <v>447</v>
      </c>
      <c r="W39" s="4427"/>
      <c r="X39" s="4442"/>
      <c r="Y39" s="4442"/>
      <c r="Z39" s="4427"/>
      <c r="AA39" s="4427"/>
      <c r="AB39" s="4428"/>
      <c r="AC39" s="4429" t="s">
        <v>448</v>
      </c>
      <c r="AD39" s="4426" t="s">
        <v>447</v>
      </c>
      <c r="AE39" s="4427"/>
      <c r="AF39" s="4442"/>
      <c r="AG39" s="4442"/>
      <c r="AH39" s="4427"/>
      <c r="AI39" s="4427"/>
      <c r="AJ39" s="4428"/>
      <c r="AK39" s="4429" t="s">
        <v>449</v>
      </c>
      <c r="AL39" s="4432" t="s">
        <v>450</v>
      </c>
      <c r="AM39" s="4274"/>
      <c r="AS39" s="1073">
        <v>14</v>
      </c>
    </row>
    <row r="40" spans="1:45" ht="24" customHeight="1">
      <c r="Q40" s="311"/>
      <c r="R40" s="311"/>
      <c r="S40" s="4425"/>
      <c r="T40" s="4373"/>
      <c r="U40" s="953"/>
      <c r="V40" s="4440" t="s">
        <v>451</v>
      </c>
      <c r="W40" s="4346" t="s">
        <v>452</v>
      </c>
      <c r="X40" s="1294" t="s">
        <v>453</v>
      </c>
      <c r="Y40" s="1294"/>
      <c r="Z40" s="4261" t="s">
        <v>454</v>
      </c>
      <c r="AA40" s="4261"/>
      <c r="AB40" s="4255"/>
      <c r="AC40" s="4430"/>
      <c r="AD40" s="4440" t="s">
        <v>451</v>
      </c>
      <c r="AE40" s="4346" t="s">
        <v>452</v>
      </c>
      <c r="AF40" s="1294" t="s">
        <v>453</v>
      </c>
      <c r="AG40" s="1294"/>
      <c r="AH40" s="4261" t="s">
        <v>454</v>
      </c>
      <c r="AI40" s="4261"/>
      <c r="AJ40" s="4255"/>
      <c r="AK40" s="4430"/>
      <c r="AL40" s="4433"/>
      <c r="AM40" s="4274"/>
      <c r="AS40" s="1073">
        <v>23</v>
      </c>
    </row>
    <row r="41" spans="1:45" s="4151" customFormat="1" ht="24"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M41" s="1280"/>
      <c r="N41" s="1280"/>
      <c r="O41" s="1280"/>
      <c r="P41" s="1246"/>
      <c r="Q41" s="311"/>
      <c r="R41" s="311"/>
      <c r="S41" s="4425"/>
      <c r="T41" s="4373"/>
      <c r="U41" s="238"/>
      <c r="V41" s="4441"/>
      <c r="W41" s="4351"/>
      <c r="X41" s="1291" t="s">
        <v>462</v>
      </c>
      <c r="Y41" s="1291" t="s">
        <v>463</v>
      </c>
      <c r="Z41" s="1252" t="s">
        <v>464</v>
      </c>
      <c r="AA41" s="4378" t="s">
        <v>465</v>
      </c>
      <c r="AB41" s="4392"/>
      <c r="AC41" s="4431"/>
      <c r="AD41" s="4441"/>
      <c r="AE41" s="4351"/>
      <c r="AF41" s="1291" t="s">
        <v>462</v>
      </c>
      <c r="AG41" s="1291" t="s">
        <v>463</v>
      </c>
      <c r="AH41" s="1252" t="s">
        <v>464</v>
      </c>
      <c r="AI41" s="4378" t="s">
        <v>465</v>
      </c>
      <c r="AJ41" s="4392"/>
      <c r="AK41" s="4431"/>
      <c r="AL41" s="4434"/>
      <c r="AM41" s="4274"/>
      <c r="AN41" s="446"/>
      <c r="AO41" s="435"/>
      <c r="AP41" s="435"/>
      <c r="AQ41" s="435"/>
      <c r="AR41" s="435"/>
      <c r="AS41" s="517">
        <v>23</v>
      </c>
    </row>
    <row r="42" spans="1:45"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9">
        <f ca="1">OFFSET(X42,0,-1)+1</f>
        <v>1</v>
      </c>
      <c r="Y42" s="1259">
        <f ca="1">OFFSET(Y42,0,-1)+1</f>
        <v>2</v>
      </c>
      <c r="Z42" s="1253">
        <f ca="1">OFFSET(Z42,0,-1)+1</f>
        <v>3</v>
      </c>
      <c r="AA42" s="4423">
        <f ca="1">OFFSET(AA42,0,-1)+1</f>
        <v>4</v>
      </c>
      <c r="AB42" s="4423"/>
      <c r="AC42" s="1253">
        <f ca="1">OFFSET(AC42,0,-2)+1</f>
        <v>5</v>
      </c>
      <c r="AD42" s="1253">
        <f ca="1">OFFSET(AD42,0,-1)+1</f>
        <v>6</v>
      </c>
      <c r="AE42" s="1253"/>
      <c r="AF42" s="1259">
        <f ca="1">OFFSET(AF42,0,-1)+1</f>
        <v>1</v>
      </c>
      <c r="AG42" s="1259">
        <f ca="1">OFFSET(AG42,0,-1)+1</f>
        <v>2</v>
      </c>
      <c r="AH42" s="1253">
        <f ca="1">OFFSET(AH42,0,-1)+1</f>
        <v>3</v>
      </c>
      <c r="AI42" s="4423">
        <f ca="1">OFFSET(AI42,0,-1)+1</f>
        <v>4</v>
      </c>
      <c r="AJ42" s="4423"/>
      <c r="AK42" s="1253">
        <f ca="1">OFFSET(AK42,0,-2)+1</f>
        <v>5</v>
      </c>
      <c r="AL42" s="1163">
        <f ca="1">OFFSET(AL42,0,-1)</f>
        <v>5</v>
      </c>
      <c r="AM42" s="1253">
        <f ca="1">OFFSET(AM42,0,-1)+1</f>
        <v>6</v>
      </c>
      <c r="AN42" s="446"/>
      <c r="AO42" s="446"/>
      <c r="AP42" s="446"/>
      <c r="AQ42" s="446"/>
      <c r="AR42" s="446"/>
      <c r="AS42" s="431">
        <v>0</v>
      </c>
    </row>
    <row r="43" spans="1:45" ht="21.95" customHeight="1">
      <c r="A43" s="1281" t="s">
        <v>215</v>
      </c>
      <c r="B43" s="1281"/>
      <c r="C43" s="1281"/>
      <c r="D43" s="1281"/>
      <c r="E43" s="441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215</v>
      </c>
      <c r="B44" s="1281" t="s">
        <v>216</v>
      </c>
      <c r="C44" s="1281"/>
      <c r="D44" s="1281"/>
      <c r="E44" s="4413"/>
      <c r="F44" s="4412">
        <v>1</v>
      </c>
      <c r="G44" s="1281"/>
      <c r="H44" s="1281"/>
      <c r="I44" s="1281"/>
      <c r="J44" s="1281"/>
      <c r="K44" s="1281"/>
      <c r="L44" s="1282"/>
      <c r="M44" s="1283"/>
      <c r="N44" s="1283"/>
      <c r="O44" s="1283"/>
      <c r="P44" s="1250"/>
      <c r="Q44" s="287"/>
      <c r="R44" s="288"/>
      <c r="S44" s="1254" t="str">
        <f>INDEX(PT_DIFFERENTIATION_NUM_TER,MATCH(B44,PT_DIFFERENTIATION_TER_ID,0))</f>
        <v>.</v>
      </c>
      <c r="T44" s="244"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435"/>
      <c r="AP44" s="435" t="str">
        <f t="shared" si="1"/>
        <v>Территория действия тарифа</v>
      </c>
      <c r="AQ44" s="435"/>
      <c r="AR44" s="435"/>
      <c r="AS44" s="1073">
        <v>21</v>
      </c>
    </row>
    <row r="45" spans="1:45" ht="24" customHeight="1">
      <c r="A45" s="1281" t="s">
        <v>215</v>
      </c>
      <c r="B45" s="1281" t="s">
        <v>216</v>
      </c>
      <c r="C45" s="1281" t="s">
        <v>217</v>
      </c>
      <c r="D45" s="1281"/>
      <c r="E45" s="4413"/>
      <c r="F45" s="4413"/>
      <c r="G45" s="4412">
        <v>1</v>
      </c>
      <c r="H45" s="1281"/>
      <c r="I45" s="1281"/>
      <c r="J45" s="1281"/>
      <c r="K45" s="1281"/>
      <c r="L45" s="1282"/>
      <c r="M45" s="1283"/>
      <c r="N45" s="1283"/>
      <c r="O45" s="1283"/>
      <c r="P45" s="289"/>
      <c r="Q45" s="287"/>
      <c r="R45" s="288"/>
      <c r="S45" s="1254"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435"/>
      <c r="AP45" s="435" t="str">
        <f t="shared" si="1"/>
        <v xml:space="preserve">Наименование системы теплоснабжения </v>
      </c>
      <c r="AQ45" s="435"/>
      <c r="AR45" s="435"/>
      <c r="AS45" s="1073">
        <v>23</v>
      </c>
    </row>
    <row r="46" spans="1:45" ht="21.95" customHeight="1">
      <c r="A46" s="1281" t="s">
        <v>215</v>
      </c>
      <c r="B46" s="1281" t="s">
        <v>216</v>
      </c>
      <c r="C46" s="1281" t="s">
        <v>217</v>
      </c>
      <c r="D46" s="1281" t="s">
        <v>218</v>
      </c>
      <c r="E46" s="4413"/>
      <c r="F46" s="4413"/>
      <c r="G46" s="4413"/>
      <c r="H46" s="4412">
        <v>1</v>
      </c>
      <c r="I46" s="1281"/>
      <c r="J46" s="1281"/>
      <c r="K46" s="1281"/>
      <c r="L46" s="1282"/>
      <c r="M46" s="1283"/>
      <c r="N46" s="1283"/>
      <c r="O46" s="1283"/>
      <c r="P46" s="289"/>
      <c r="Q46" s="287"/>
      <c r="R46" s="288"/>
      <c r="S46" s="1254"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435"/>
      <c r="AP46" s="435" t="str">
        <f t="shared" si="1"/>
        <v xml:space="preserve">Источник тепловой энергии  </v>
      </c>
      <c r="AQ46" s="435"/>
      <c r="AR46" s="435"/>
      <c r="AS46" s="1073">
        <v>21</v>
      </c>
    </row>
    <row r="47" spans="1:45" ht="49.5" customHeight="1">
      <c r="A47" s="1281" t="s">
        <v>215</v>
      </c>
      <c r="B47" s="1281" t="s">
        <v>216</v>
      </c>
      <c r="C47" s="1281" t="s">
        <v>217</v>
      </c>
      <c r="D47" s="1281" t="s">
        <v>218</v>
      </c>
      <c r="E47" s="4413"/>
      <c r="F47" s="4413"/>
      <c r="G47" s="4413"/>
      <c r="H47" s="4413"/>
      <c r="I47" s="4414" t="str">
        <f>S46&amp;".1"</f>
        <v>....1</v>
      </c>
      <c r="J47" s="1281"/>
      <c r="K47" s="1281"/>
      <c r="L47" s="1282" t="s">
        <v>424</v>
      </c>
      <c r="P47" s="4416">
        <v>1</v>
      </c>
      <c r="Q47" s="1249"/>
      <c r="R47" s="291"/>
      <c r="S47" s="1254" t="str">
        <f>$I47</f>
        <v>....1</v>
      </c>
      <c r="T47" s="221" t="s">
        <v>425</v>
      </c>
      <c r="U47" s="236"/>
      <c r="V47" s="4400"/>
      <c r="W47" s="4401"/>
      <c r="X47" s="4401"/>
      <c r="Y47" s="4401"/>
      <c r="Z47" s="4401"/>
      <c r="AA47" s="4401"/>
      <c r="AB47" s="4401"/>
      <c r="AC47" s="4402"/>
      <c r="AD47" s="4400"/>
      <c r="AE47" s="4401"/>
      <c r="AF47" s="4401"/>
      <c r="AG47" s="4401"/>
      <c r="AH47" s="4401"/>
      <c r="AI47" s="4401"/>
      <c r="AJ47" s="4401"/>
      <c r="AK47" s="4401"/>
      <c r="AL47" s="4402"/>
      <c r="AM47" s="1176" t="s">
        <v>426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215</v>
      </c>
      <c r="B48" s="1281" t="s">
        <v>216</v>
      </c>
      <c r="C48" s="1281" t="s">
        <v>217</v>
      </c>
      <c r="D48" s="1281" t="s">
        <v>218</v>
      </c>
      <c r="E48" s="4413"/>
      <c r="F48" s="4413"/>
      <c r="G48" s="4413"/>
      <c r="H48" s="4413"/>
      <c r="I48" s="4415"/>
      <c r="J48" s="4414" t="str">
        <f>I47&amp;".1"</f>
        <v>....1.1</v>
      </c>
      <c r="K48" s="1281"/>
      <c r="L48" s="1282" t="s">
        <v>427</v>
      </c>
      <c r="P48" s="4416"/>
      <c r="Q48" s="4416">
        <v>1</v>
      </c>
      <c r="R48" s="292"/>
      <c r="S48" s="1254" t="str">
        <f>$J48</f>
        <v>....1.1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435"/>
      <c r="AP48" s="435" t="str">
        <f t="shared" si="1"/>
        <v>Группа потребителей</v>
      </c>
      <c r="AQ48" s="435"/>
      <c r="AR48" s="435"/>
      <c r="AS48" s="1073">
        <v>21</v>
      </c>
    </row>
    <row r="49" spans="1:45" ht="21.95" customHeight="1">
      <c r="A49" s="1281" t="s">
        <v>215</v>
      </c>
      <c r="B49" s="1281" t="s">
        <v>216</v>
      </c>
      <c r="C49" s="1281" t="s">
        <v>217</v>
      </c>
      <c r="D49" s="1281" t="s">
        <v>218</v>
      </c>
      <c r="E49" s="4413"/>
      <c r="F49" s="4413"/>
      <c r="G49" s="4413"/>
      <c r="H49" s="4413"/>
      <c r="I49" s="4415"/>
      <c r="J49" s="4415"/>
      <c r="K49" s="4414" t="str">
        <f>J48&amp;".1"</f>
        <v>....1.1.1</v>
      </c>
      <c r="L49" s="1282" t="s">
        <v>430</v>
      </c>
      <c r="P49" s="4416"/>
      <c r="Q49" s="4416"/>
      <c r="R49" s="292">
        <v>1</v>
      </c>
      <c r="S49" s="1254" t="str">
        <f>$K49</f>
        <v>....1.1.1</v>
      </c>
      <c r="T49" s="1265"/>
      <c r="U49" s="236"/>
      <c r="V49" s="261"/>
      <c r="W49" s="686"/>
      <c r="X49" s="261"/>
      <c r="Y49" s="319"/>
      <c r="Z49" s="4417"/>
      <c r="AA49" s="4284" t="s">
        <v>65</v>
      </c>
      <c r="AB49" s="4417"/>
      <c r="AC49" s="4284" t="s">
        <v>65</v>
      </c>
      <c r="AD49" s="261"/>
      <c r="AE49" s="686"/>
      <c r="AF49" s="261"/>
      <c r="AG49" s="319"/>
      <c r="AH49" s="4417"/>
      <c r="AI49" s="4284" t="s">
        <v>65</v>
      </c>
      <c r="AJ49" s="4419"/>
      <c r="AK49" s="4284" t="s">
        <v>65</v>
      </c>
      <c r="AL49" s="1266"/>
      <c r="AM49" s="4435" t="s">
        <v>431</v>
      </c>
      <c r="AN49" s="446" t="e">
        <f ca="1">STRCHECKDATE(V50:AL50)</f>
        <v>#NAME?</v>
      </c>
      <c r="AO49" s="435"/>
      <c r="AP49" s="435" t="str">
        <f t="shared" si="1"/>
        <v/>
      </c>
      <c r="AQ49" s="435"/>
      <c r="AR49" s="435"/>
      <c r="AS49" s="1073">
        <v>21</v>
      </c>
    </row>
    <row r="50" spans="1:45" ht="1.1499999999999999" customHeight="1">
      <c r="A50" s="1281" t="s">
        <v>215</v>
      </c>
      <c r="B50" s="1281" t="s">
        <v>216</v>
      </c>
      <c r="C50" s="1281" t="s">
        <v>217</v>
      </c>
      <c r="D50" s="1281" t="s">
        <v>218</v>
      </c>
      <c r="E50" s="4413"/>
      <c r="F50" s="4413"/>
      <c r="G50" s="4413"/>
      <c r="H50" s="4413"/>
      <c r="I50" s="4415"/>
      <c r="J50" s="4415"/>
      <c r="K50" s="4414"/>
      <c r="L50" s="1282"/>
      <c r="P50" s="4416"/>
      <c r="Q50" s="4416"/>
      <c r="R50" s="292"/>
      <c r="S50" s="1260"/>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435"/>
      <c r="AP50" s="435" t="str">
        <f t="shared" si="1"/>
        <v/>
      </c>
      <c r="AQ50" s="435"/>
      <c r="AR50" s="435"/>
      <c r="AS50" s="1073">
        <v>1</v>
      </c>
    </row>
    <row r="51" spans="1:45" ht="11.45" customHeight="1">
      <c r="A51" s="1281" t="s">
        <v>215</v>
      </c>
      <c r="B51" s="1281" t="s">
        <v>216</v>
      </c>
      <c r="C51" s="1281" t="s">
        <v>217</v>
      </c>
      <c r="D51" s="1281" t="s">
        <v>218</v>
      </c>
      <c r="E51" s="4413"/>
      <c r="F51" s="4413"/>
      <c r="G51" s="4413"/>
      <c r="H51" s="4413"/>
      <c r="I51" s="4415"/>
      <c r="J51" s="4414"/>
      <c r="K51" s="1281"/>
      <c r="L51" s="1282"/>
      <c r="P51" s="4416"/>
      <c r="Q51" s="4416"/>
      <c r="R51" s="291"/>
      <c r="S51" s="1196"/>
      <c r="T51" s="224" t="s">
        <v>432</v>
      </c>
      <c r="U51" s="302"/>
      <c r="V51" s="302"/>
      <c r="W51" s="302"/>
      <c r="X51" s="302"/>
      <c r="Y51" s="302"/>
      <c r="Z51" s="302"/>
      <c r="AA51" s="302"/>
      <c r="AB51" s="302"/>
      <c r="AC51" s="302"/>
      <c r="AD51" s="302"/>
      <c r="AE51" s="302"/>
      <c r="AF51" s="302"/>
      <c r="AG51" s="302"/>
      <c r="AH51" s="302"/>
      <c r="AI51" s="302"/>
      <c r="AJ51" s="302"/>
      <c r="AK51" s="302"/>
      <c r="AL51" s="260"/>
      <c r="AM51" s="4437"/>
      <c r="AO51" s="435"/>
      <c r="AP51" s="435" t="str">
        <f t="shared" si="1"/>
        <v>Добавить вид теплоносителя (параметры теплоносителя)</v>
      </c>
      <c r="AQ51" s="435"/>
      <c r="AR51" s="435"/>
      <c r="AS51" s="1073">
        <v>11</v>
      </c>
    </row>
    <row r="52" spans="1:45" ht="11.45" customHeight="1">
      <c r="A52" s="1281" t="s">
        <v>215</v>
      </c>
      <c r="B52" s="1281" t="s">
        <v>216</v>
      </c>
      <c r="C52" s="1281" t="s">
        <v>217</v>
      </c>
      <c r="D52" s="1281" t="s">
        <v>218</v>
      </c>
      <c r="E52" s="4413"/>
      <c r="F52" s="4413"/>
      <c r="G52" s="4413"/>
      <c r="H52" s="4413"/>
      <c r="I52" s="4414"/>
      <c r="J52" s="1281"/>
      <c r="K52" s="1281"/>
      <c r="L52" s="1282"/>
      <c r="P52" s="4416"/>
      <c r="Q52" s="1249"/>
      <c r="R52" s="291"/>
      <c r="S52" s="1196"/>
      <c r="T52" s="223" t="s">
        <v>433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215</v>
      </c>
      <c r="B53" s="1281" t="s">
        <v>216</v>
      </c>
      <c r="C53" s="1281" t="s">
        <v>217</v>
      </c>
      <c r="D53" s="1281" t="s">
        <v>218</v>
      </c>
      <c r="E53" s="4413"/>
      <c r="F53" s="4413"/>
      <c r="G53" s="4413"/>
      <c r="H53" s="4412"/>
      <c r="I53" s="1281"/>
      <c r="J53" s="1281"/>
      <c r="K53" s="1281"/>
      <c r="L53" s="1282"/>
      <c r="M53" s="1283"/>
      <c r="N53" s="1283"/>
      <c r="O53" s="472"/>
      <c r="P53" s="295"/>
      <c r="Q53" s="310"/>
      <c r="R53" s="290"/>
      <c r="S53" s="1196"/>
      <c r="T53" s="300" t="s">
        <v>434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4140" customFormat="1" ht="1.1499999999999999" customHeight="1">
      <c r="A54" s="1261" t="s">
        <v>215</v>
      </c>
      <c r="B54" s="1261" t="s">
        <v>216</v>
      </c>
      <c r="C54" s="1261" t="s">
        <v>217</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40" customFormat="1" ht="1.1499999999999999" customHeight="1">
      <c r="A55" s="1261" t="s">
        <v>215</v>
      </c>
      <c r="B55" s="1261" t="s">
        <v>216</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40" customFormat="1" ht="1.1499999999999999" customHeight="1">
      <c r="A56" s="1261" t="s">
        <v>215</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4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073">
        <v>27</v>
      </c>
    </row>
    <row r="60" spans="1:45" ht="78.75" customHeight="1">
      <c r="O60" s="472"/>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073">
        <v>75</v>
      </c>
    </row>
    <row r="61" spans="1:45" ht="14.65" customHeight="1">
      <c r="O61" s="472"/>
      <c r="AS61" s="1073">
        <v>14</v>
      </c>
    </row>
    <row r="62" spans="1:45" ht="18.75" customHeight="1">
      <c r="O62" s="472"/>
      <c r="S62" s="1171"/>
      <c r="T62" s="4411"/>
      <c r="U62" s="4411"/>
      <c r="V62" s="4411"/>
      <c r="W62" s="4411"/>
      <c r="X62" s="4411"/>
      <c r="Y62" s="4411"/>
      <c r="Z62" s="4411"/>
      <c r="AA62" s="4411"/>
      <c r="AB62" s="4411"/>
      <c r="AC62" s="4411"/>
      <c r="AD62" s="4411"/>
      <c r="AE62" s="4411"/>
      <c r="AF62" s="4411"/>
      <c r="AG62" s="4411"/>
      <c r="AH62" s="4411"/>
      <c r="AI62" s="4411"/>
      <c r="AJ62" s="4411"/>
      <c r="AK62" s="4411"/>
      <c r="AL62" s="4411"/>
      <c r="AM62" s="4411"/>
      <c r="AS62" s="1073">
        <v>18</v>
      </c>
    </row>
    <row r="63" spans="1:45" ht="18.75" customHeight="1">
      <c r="O63" s="472"/>
      <c r="T63" s="4411"/>
      <c r="U63" s="4411"/>
      <c r="V63" s="4411"/>
      <c r="W63" s="4411"/>
      <c r="X63" s="4411"/>
      <c r="Y63" s="4411"/>
      <c r="Z63" s="4411"/>
      <c r="AA63" s="4411"/>
      <c r="AB63" s="4411"/>
      <c r="AC63" s="4411"/>
      <c r="AD63" s="4411"/>
      <c r="AE63" s="4411"/>
      <c r="AF63" s="4411"/>
      <c r="AG63" s="4411"/>
      <c r="AH63" s="4411"/>
      <c r="AI63" s="4411"/>
      <c r="AJ63" s="4411"/>
      <c r="AK63" s="4411"/>
      <c r="AL63" s="4411"/>
      <c r="AM63" s="4411"/>
      <c r="AS63" s="1073">
        <v>18</v>
      </c>
    </row>
    <row r="64" spans="1:45" ht="39.75" customHeight="1">
      <c r="O64" s="472"/>
      <c r="S64" s="1171"/>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073">
        <v>38</v>
      </c>
    </row>
    <row r="65" spans="1:45" ht="22.5" hidden="1" customHeight="1">
      <c r="A65" s="1078" t="s">
        <v>86</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7" hidden="1"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8.42578125" style="4133" hidden="1" customWidth="1"/>
  </cols>
  <sheetData>
    <row r="1" spans="1:45" ht="22.5" hidden="1" customHeight="1">
      <c r="Y1" s="263"/>
      <c r="Z1" s="263"/>
      <c r="AG1" s="263"/>
      <c r="AH1" s="263"/>
      <c r="AS1" s="1073" t="s">
        <v>14</v>
      </c>
    </row>
    <row r="2" spans="1:45" ht="21" hidden="1" customHeight="1">
      <c r="A2" s="1281"/>
      <c r="B2" s="1281"/>
      <c r="C2" s="1281"/>
      <c r="D2" s="1281"/>
      <c r="E2" s="4412">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435"/>
      <c r="AP2" s="435" t="str">
        <f t="shared" ref="AP2:AP15" si="0">IF(T2="","",T2)</f>
        <v>Наименование тарифа</v>
      </c>
      <c r="AQ2" s="435"/>
      <c r="AR2" s="435"/>
      <c r="AS2" s="1073">
        <v>0</v>
      </c>
    </row>
    <row r="3" spans="1:45" ht="21" hidden="1" customHeight="1">
      <c r="A3" s="1281"/>
      <c r="B3" s="1281"/>
      <c r="C3" s="1281"/>
      <c r="D3" s="1281"/>
      <c r="E3" s="4413"/>
      <c r="F3" s="4412">
        <v>1</v>
      </c>
      <c r="G3" s="1281"/>
      <c r="H3" s="1281"/>
      <c r="I3" s="1281"/>
      <c r="J3" s="1281"/>
      <c r="K3" s="1281"/>
      <c r="L3" s="1282"/>
      <c r="M3" s="1283"/>
      <c r="N3" s="1283"/>
      <c r="O3" s="1283"/>
      <c r="P3" s="1250"/>
      <c r="Q3" s="287"/>
      <c r="R3" s="288"/>
      <c r="S3" s="1254"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435"/>
      <c r="AP3" s="435" t="str">
        <f t="shared" si="0"/>
        <v>Территория действия тарифа</v>
      </c>
      <c r="AQ3" s="435"/>
      <c r="AR3" s="435"/>
      <c r="AS3" s="1073">
        <v>0</v>
      </c>
    </row>
    <row r="4" spans="1:45" ht="23.25" hidden="1" customHeight="1">
      <c r="A4" s="1281"/>
      <c r="B4" s="1281"/>
      <c r="C4" s="1281"/>
      <c r="D4" s="1281"/>
      <c r="E4" s="4413"/>
      <c r="F4" s="4413"/>
      <c r="G4" s="4412">
        <v>1</v>
      </c>
      <c r="H4" s="1281"/>
      <c r="I4" s="1281"/>
      <c r="J4" s="1281"/>
      <c r="K4" s="1281"/>
      <c r="L4" s="1282"/>
      <c r="M4" s="1283"/>
      <c r="N4" s="1283"/>
      <c r="O4" s="1283"/>
      <c r="P4" s="289"/>
      <c r="Q4" s="287"/>
      <c r="R4" s="288"/>
      <c r="S4" s="1254"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413"/>
      <c r="F5" s="4413"/>
      <c r="G5" s="4413"/>
      <c r="H5" s="4412">
        <v>1</v>
      </c>
      <c r="I5" s="1281"/>
      <c r="J5" s="1281"/>
      <c r="K5" s="1281"/>
      <c r="L5" s="1282"/>
      <c r="M5" s="1283"/>
      <c r="N5" s="1283"/>
      <c r="O5" s="1283"/>
      <c r="P5" s="289"/>
      <c r="Q5" s="287"/>
      <c r="R5" s="288"/>
      <c r="S5" s="1254"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435"/>
      <c r="AP5" s="435" t="str">
        <f t="shared" si="0"/>
        <v xml:space="preserve">Источник тепловой энергии  </v>
      </c>
      <c r="AQ5" s="435"/>
      <c r="AR5" s="435"/>
      <c r="AS5" s="1073">
        <v>0</v>
      </c>
    </row>
    <row r="6" spans="1:45" ht="14.25" hidden="1" customHeight="1">
      <c r="A6" s="1281"/>
      <c r="B6" s="1281"/>
      <c r="C6" s="1281"/>
      <c r="D6" s="1281"/>
      <c r="E6" s="4413"/>
      <c r="F6" s="4413"/>
      <c r="G6" s="4413"/>
      <c r="H6" s="4413"/>
      <c r="I6" s="4414" t="e">
        <f>S5&amp;".1"</f>
        <v>#N/A</v>
      </c>
      <c r="J6" s="1281"/>
      <c r="K6" s="1281"/>
      <c r="L6" s="1282" t="s">
        <v>424</v>
      </c>
      <c r="M6" s="472"/>
      <c r="P6" s="4416">
        <v>1</v>
      </c>
      <c r="Q6" s="1249"/>
      <c r="R6" s="291"/>
      <c r="S6" s="964"/>
      <c r="T6" s="1301"/>
      <c r="U6" s="1302"/>
      <c r="V6" s="4443"/>
      <c r="W6" s="4444"/>
      <c r="X6" s="4444"/>
      <c r="Y6" s="4444"/>
      <c r="Z6" s="4444"/>
      <c r="AA6" s="4444"/>
      <c r="AB6" s="4444"/>
      <c r="AC6" s="4445"/>
      <c r="AD6" s="4443"/>
      <c r="AE6" s="4444"/>
      <c r="AF6" s="4444"/>
      <c r="AG6" s="4444"/>
      <c r="AH6" s="4444"/>
      <c r="AI6" s="4444"/>
      <c r="AJ6" s="4444"/>
      <c r="AK6" s="4444"/>
      <c r="AL6" s="4445"/>
      <c r="AM6" s="1303"/>
      <c r="AO6" s="435"/>
      <c r="AP6" s="435" t="str">
        <f t="shared" si="0"/>
        <v/>
      </c>
      <c r="AQ6" s="435"/>
      <c r="AR6" s="435"/>
      <c r="AS6" s="1073">
        <v>0</v>
      </c>
    </row>
    <row r="7" spans="1:45" ht="21" hidden="1" customHeight="1">
      <c r="A7" s="1281"/>
      <c r="B7" s="1281"/>
      <c r="C7" s="1281"/>
      <c r="D7" s="1281"/>
      <c r="E7" s="4413"/>
      <c r="F7" s="4413"/>
      <c r="G7" s="4413"/>
      <c r="H7" s="4413"/>
      <c r="I7" s="4415"/>
      <c r="J7" s="4414" t="e">
        <f>I6&amp;".1"</f>
        <v>#N/A</v>
      </c>
      <c r="K7" s="1281"/>
      <c r="L7" s="1282" t="s">
        <v>427</v>
      </c>
      <c r="M7" s="472"/>
      <c r="N7" s="1284"/>
      <c r="P7" s="4416"/>
      <c r="Q7" s="4416">
        <v>1</v>
      </c>
      <c r="R7" s="292"/>
      <c r="S7" s="1254"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435"/>
      <c r="AP7" s="435" t="str">
        <f t="shared" si="0"/>
        <v>Группа потребителей</v>
      </c>
      <c r="AQ7" s="435"/>
      <c r="AR7" s="435"/>
      <c r="AS7" s="1073">
        <v>0</v>
      </c>
    </row>
    <row r="8" spans="1:45" ht="21"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254"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61"/>
      <c r="AM8" s="4435" t="s">
        <v>431</v>
      </c>
      <c r="AN8" s="446" t="e">
        <f ca="1">STRCHECKDATE(V9:AL9)</f>
        <v>#NAME?</v>
      </c>
      <c r="AO8" s="435"/>
      <c r="AP8" s="435" t="str">
        <f t="shared" si="0"/>
        <v/>
      </c>
      <c r="AQ8" s="435"/>
      <c r="AR8" s="435"/>
      <c r="AS8" s="1073">
        <v>0</v>
      </c>
    </row>
    <row r="9" spans="1:45" ht="0.75" hidden="1" customHeight="1">
      <c r="A9" s="1281"/>
      <c r="B9" s="1281"/>
      <c r="C9" s="1281"/>
      <c r="D9" s="1281"/>
      <c r="E9" s="4413"/>
      <c r="F9" s="4413"/>
      <c r="G9" s="4413"/>
      <c r="H9" s="4413"/>
      <c r="I9" s="4415"/>
      <c r="J9" s="4415"/>
      <c r="K9" s="4414"/>
      <c r="L9" s="1282"/>
      <c r="M9" s="472"/>
      <c r="N9" s="1284"/>
      <c r="O9" s="1284"/>
      <c r="P9" s="4416"/>
      <c r="Q9" s="4416"/>
      <c r="R9" s="292"/>
      <c r="S9" s="1260"/>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435"/>
      <c r="AP9" s="435" t="str">
        <f t="shared" si="0"/>
        <v/>
      </c>
      <c r="AQ9" s="435"/>
      <c r="AR9" s="435"/>
      <c r="AS9" s="1073">
        <v>0</v>
      </c>
    </row>
    <row r="10" spans="1:45" ht="15" hidden="1" customHeight="1">
      <c r="A10" s="1281"/>
      <c r="B10" s="1281"/>
      <c r="C10" s="1281"/>
      <c r="D10" s="1281"/>
      <c r="E10" s="4413"/>
      <c r="F10" s="4413"/>
      <c r="G10" s="4413"/>
      <c r="H10" s="4413"/>
      <c r="I10" s="4415"/>
      <c r="J10" s="4414"/>
      <c r="K10" s="1281"/>
      <c r="L10" s="1282"/>
      <c r="M10" s="472"/>
      <c r="N10" s="1284"/>
      <c r="P10" s="4416"/>
      <c r="Q10" s="4416"/>
      <c r="R10" s="291"/>
      <c r="S10" s="1196"/>
      <c r="T10" s="223" t="s">
        <v>432</v>
      </c>
      <c r="U10" s="302"/>
      <c r="V10" s="302"/>
      <c r="W10" s="302"/>
      <c r="X10" s="302"/>
      <c r="Y10" s="302"/>
      <c r="Z10" s="302"/>
      <c r="AA10" s="302"/>
      <c r="AB10" s="302"/>
      <c r="AC10" s="302"/>
      <c r="AD10" s="302"/>
      <c r="AE10" s="302"/>
      <c r="AF10" s="302"/>
      <c r="AG10" s="302"/>
      <c r="AH10" s="302"/>
      <c r="AI10" s="302"/>
      <c r="AJ10" s="302"/>
      <c r="AK10" s="302"/>
      <c r="AL10" s="260"/>
      <c r="AM10" s="443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4413"/>
      <c r="F11" s="4413"/>
      <c r="G11" s="4413"/>
      <c r="H11" s="4413"/>
      <c r="I11" s="4414"/>
      <c r="J11" s="1281"/>
      <c r="K11" s="1281"/>
      <c r="L11" s="1282"/>
      <c r="M11" s="472"/>
      <c r="P11" s="4416"/>
      <c r="Q11" s="1249"/>
      <c r="R11" s="291"/>
      <c r="S11" s="1196"/>
      <c r="T11" s="300" t="s">
        <v>433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413"/>
      <c r="F12" s="4413"/>
      <c r="G12" s="4413"/>
      <c r="H12" s="441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40" customFormat="1" ht="0.7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40" customFormat="1" ht="0.7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40" customFormat="1" ht="0.7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410"/>
      <c r="AI17" s="4409" t="s">
        <v>65</v>
      </c>
      <c r="AJ17" s="4410"/>
      <c r="AK17" s="4409" t="s">
        <v>65</v>
      </c>
      <c r="AS17" s="1073">
        <v>0</v>
      </c>
    </row>
    <row r="18" spans="1:45" ht="14.25" hidden="1" customHeight="1">
      <c r="AD18" s="1278"/>
      <c r="AE18" s="1278"/>
      <c r="AF18" s="1278"/>
      <c r="AG18" s="264" t="str">
        <f>AH17&amp;"-"&amp;AJ17</f>
        <v>-</v>
      </c>
      <c r="AH18" s="4409"/>
      <c r="AI18" s="4409"/>
      <c r="AJ18" s="4409"/>
      <c r="AK18" s="4409"/>
      <c r="AS18" s="1073">
        <v>0</v>
      </c>
    </row>
    <row r="19" spans="1:45" ht="14.25" hidden="1" customHeight="1">
      <c r="AK19" s="263"/>
      <c r="AS19" s="1073">
        <v>0</v>
      </c>
    </row>
    <row r="20" spans="1:45" s="4139" customFormat="1" ht="22.5" hidden="1" customHeight="1">
      <c r="L20" s="1247"/>
      <c r="M20" s="1280"/>
      <c r="N20" s="1280"/>
      <c r="O20" s="1285" t="s">
        <v>435</v>
      </c>
      <c r="P20" s="1280"/>
      <c r="Q20" s="1289"/>
      <c r="R20" s="1289"/>
      <c r="S20" s="664"/>
      <c r="Z20" s="1285"/>
      <c r="AB20" s="1285"/>
      <c r="AC20" s="1284"/>
      <c r="AH20" s="1285"/>
      <c r="AJ20" s="1285"/>
      <c r="AK20" s="1284"/>
      <c r="AN20" s="446"/>
      <c r="AO20" s="446"/>
      <c r="AP20" s="446"/>
      <c r="AQ20" s="446"/>
      <c r="AR20" s="446"/>
      <c r="AS20" s="1078">
        <v>0</v>
      </c>
    </row>
    <row r="21" spans="1:45" s="413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39" customFormat="1" ht="14.2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43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393"/>
      <c r="U26" s="4393"/>
      <c r="V26" s="4393"/>
      <c r="W26" s="4393"/>
      <c r="X26" s="4393"/>
      <c r="Y26" s="4393"/>
      <c r="Z26" s="4393"/>
      <c r="AA26" s="4393"/>
      <c r="AB26" s="4393"/>
      <c r="AC26" s="4393"/>
      <c r="AD26" s="4393"/>
      <c r="AE26" s="4393"/>
      <c r="AF26" s="4393"/>
      <c r="AG26" s="4393"/>
      <c r="AH26" s="4393"/>
      <c r="AI26" s="4393"/>
      <c r="AJ26" s="4393"/>
      <c r="AK26" s="1161"/>
      <c r="AS26" s="1073">
        <v>60</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262"/>
      <c r="AM29" s="216"/>
      <c r="AN29" s="303"/>
      <c r="AO29" s="303"/>
      <c r="AP29" s="303"/>
      <c r="AQ29" s="303"/>
      <c r="AR29" s="303"/>
      <c r="AS29" s="353">
        <v>0</v>
      </c>
    </row>
    <row r="30" spans="1:45"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262"/>
      <c r="AM30" s="216"/>
      <c r="AN30" s="303"/>
      <c r="AO30" s="303"/>
      <c r="AP30" s="303"/>
      <c r="AQ30" s="303"/>
      <c r="AR30" s="303"/>
      <c r="AS30" s="353">
        <v>0</v>
      </c>
    </row>
    <row r="31" spans="1:45"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262"/>
      <c r="AM31" s="216"/>
      <c r="AN31" s="303"/>
      <c r="AO31" s="303"/>
      <c r="AP31" s="303"/>
      <c r="AQ31" s="303"/>
      <c r="AR31" s="303"/>
      <c r="AS31" s="353">
        <v>0</v>
      </c>
    </row>
    <row r="32" spans="1:45"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262"/>
      <c r="AM34" s="216"/>
      <c r="AN34" s="303"/>
      <c r="AO34" s="303"/>
      <c r="AP34" s="303"/>
      <c r="AQ34" s="303"/>
      <c r="AR34" s="303"/>
      <c r="AS34" s="353">
        <v>0</v>
      </c>
    </row>
    <row r="35" spans="1:45" s="4149" customFormat="1" ht="18.7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262"/>
      <c r="AM35" s="216"/>
      <c r="AN35" s="303"/>
      <c r="AO35" s="303"/>
      <c r="AP35" s="303"/>
      <c r="AQ35" s="303"/>
      <c r="AR35" s="303"/>
      <c r="AS35" s="353">
        <v>0</v>
      </c>
    </row>
    <row r="36" spans="1:45" s="414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445</v>
      </c>
      <c r="AD36" s="262"/>
      <c r="AE36" s="262"/>
      <c r="AF36" s="262"/>
      <c r="AG36" s="262"/>
      <c r="AH36" s="262"/>
      <c r="AI36" s="262"/>
      <c r="AJ36" s="262"/>
      <c r="AK36" s="214" t="s">
        <v>445</v>
      </c>
      <c r="AN36" s="303"/>
      <c r="AO36" s="303"/>
      <c r="AP36" s="303"/>
      <c r="AQ36" s="303"/>
      <c r="AR36" s="303"/>
      <c r="AS36" s="353">
        <v>0</v>
      </c>
    </row>
    <row r="37" spans="1:45"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S37" s="1073">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073">
        <v>14</v>
      </c>
    </row>
    <row r="39" spans="1:45" ht="14.65" customHeight="1">
      <c r="Q39" s="311"/>
      <c r="R39" s="311"/>
      <c r="S39" s="4425" t="s">
        <v>92</v>
      </c>
      <c r="T39" s="4373" t="s">
        <v>446</v>
      </c>
      <c r="U39" s="237"/>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073">
        <v>14</v>
      </c>
    </row>
    <row r="40" spans="1:45" ht="35.65" customHeight="1">
      <c r="Q40" s="311"/>
      <c r="R40" s="311"/>
      <c r="S40" s="4425"/>
      <c r="T40" s="4373"/>
      <c r="U40" s="953"/>
      <c r="V40" s="4345" t="s">
        <v>451</v>
      </c>
      <c r="W40" s="4421"/>
      <c r="X40" s="4256" t="s">
        <v>453</v>
      </c>
      <c r="Y40" s="4255"/>
      <c r="Z40" s="4256" t="s">
        <v>454</v>
      </c>
      <c r="AA40" s="4261"/>
      <c r="AB40" s="4255"/>
      <c r="AC40" s="4430"/>
      <c r="AD40" s="4345" t="s">
        <v>471</v>
      </c>
      <c r="AE40" s="4421"/>
      <c r="AF40" s="4256" t="s">
        <v>453</v>
      </c>
      <c r="AG40" s="4255"/>
      <c r="AH40" s="4256" t="s">
        <v>454</v>
      </c>
      <c r="AI40" s="4261"/>
      <c r="AJ40" s="4255"/>
      <c r="AK40" s="4430"/>
      <c r="AL40" s="4433"/>
      <c r="AM40" s="4274"/>
      <c r="AS40" s="1073">
        <v>34</v>
      </c>
    </row>
    <row r="41" spans="1:45" ht="35.65"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Q41" s="311"/>
      <c r="R41" s="311"/>
      <c r="S41" s="4425"/>
      <c r="T41" s="4373"/>
      <c r="U41" s="238"/>
      <c r="V41" s="4398"/>
      <c r="W41" s="4422"/>
      <c r="X41" s="1140" t="s">
        <v>462</v>
      </c>
      <c r="Y41" s="1140" t="s">
        <v>463</v>
      </c>
      <c r="Z41" s="1256" t="s">
        <v>464</v>
      </c>
      <c r="AA41" s="4378" t="s">
        <v>465</v>
      </c>
      <c r="AB41" s="4392"/>
      <c r="AC41" s="4431"/>
      <c r="AD41" s="4398"/>
      <c r="AE41" s="4422"/>
      <c r="AF41" s="1140" t="s">
        <v>462</v>
      </c>
      <c r="AG41" s="1140" t="s">
        <v>463</v>
      </c>
      <c r="AH41" s="1256" t="s">
        <v>464</v>
      </c>
      <c r="AI41" s="4378" t="s">
        <v>465</v>
      </c>
      <c r="AJ41" s="4392"/>
      <c r="AK41" s="4431"/>
      <c r="AL41" s="4434"/>
      <c r="AM41" s="4274"/>
      <c r="AS41" s="1073">
        <v>34</v>
      </c>
    </row>
    <row r="42" spans="1:45"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4423">
        <f ca="1">OFFSET(AA42,0,-1)+1</f>
        <v>4</v>
      </c>
      <c r="AB42" s="4423"/>
      <c r="AC42" s="1253">
        <f ca="1">OFFSET(AC42,0,-2)+1</f>
        <v>5</v>
      </c>
      <c r="AD42" s="1253">
        <f ca="1">OFFSET(AD42,0,-1)+1</f>
        <v>6</v>
      </c>
      <c r="AE42" s="1253"/>
      <c r="AF42" s="1253">
        <f ca="1">OFFSET(AF42,0,-1)+1</f>
        <v>1</v>
      </c>
      <c r="AG42" s="1253">
        <f ca="1">OFFSET(AG42,0,-1)+1</f>
        <v>2</v>
      </c>
      <c r="AH42" s="1253">
        <f ca="1">OFFSET(AH42,0,-1)+1</f>
        <v>3</v>
      </c>
      <c r="AI42" s="4423">
        <f ca="1">OFFSET(AI42,0,-1)+1</f>
        <v>4</v>
      </c>
      <c r="AJ42" s="4423"/>
      <c r="AK42" s="1253">
        <f ca="1">OFFSET(AK42,0,-2)+1</f>
        <v>5</v>
      </c>
      <c r="AL42" s="1163">
        <f ca="1">OFFSET(AL42,0,-1)</f>
        <v>5</v>
      </c>
      <c r="AM42" s="1253">
        <f ca="1">OFFSET(AM42,0,-1)+1</f>
        <v>6</v>
      </c>
      <c r="AN42" s="446"/>
      <c r="AO42" s="446"/>
      <c r="AP42" s="446"/>
      <c r="AQ42" s="446"/>
      <c r="AR42" s="446"/>
      <c r="AS42" s="431">
        <v>0</v>
      </c>
    </row>
    <row r="43" spans="1:45" ht="21.95" customHeight="1">
      <c r="A43" s="1281" t="s">
        <v>191</v>
      </c>
      <c r="B43" s="1281"/>
      <c r="C43" s="1281"/>
      <c r="D43" s="1281"/>
      <c r="E43" s="441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191</v>
      </c>
      <c r="B44" s="1281" t="s">
        <v>192</v>
      </c>
      <c r="C44" s="1281"/>
      <c r="D44" s="1281"/>
      <c r="E44" s="4413"/>
      <c r="F44" s="4412">
        <v>1</v>
      </c>
      <c r="G44" s="1281"/>
      <c r="H44" s="1281"/>
      <c r="I44" s="1281"/>
      <c r="J44" s="1281"/>
      <c r="K44" s="1281"/>
      <c r="L44" s="1282"/>
      <c r="M44" s="1283"/>
      <c r="N44" s="1283"/>
      <c r="O44" s="1283"/>
      <c r="P44" s="1250"/>
      <c r="Q44" s="287"/>
      <c r="R44" s="288"/>
      <c r="S44" s="1254" t="str">
        <f>INDEX(PT_DIFFERENTIATION_NUM_TER,MATCH(B44,PT_DIFFERENTIATION_TER_ID,0))</f>
        <v>.</v>
      </c>
      <c r="T44" s="244"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435"/>
      <c r="AP44" s="435" t="str">
        <f t="shared" si="1"/>
        <v>Территория действия тарифа</v>
      </c>
      <c r="AQ44" s="435"/>
      <c r="AR44" s="435"/>
      <c r="AS44" s="1073">
        <v>21</v>
      </c>
    </row>
    <row r="45" spans="1:45" ht="24" customHeight="1">
      <c r="A45" s="1281" t="s">
        <v>191</v>
      </c>
      <c r="B45" s="1281" t="s">
        <v>192</v>
      </c>
      <c r="C45" s="1281" t="s">
        <v>193</v>
      </c>
      <c r="D45" s="1281"/>
      <c r="E45" s="4413"/>
      <c r="F45" s="4413"/>
      <c r="G45" s="4412">
        <v>1</v>
      </c>
      <c r="H45" s="1281"/>
      <c r="I45" s="1281"/>
      <c r="J45" s="1281"/>
      <c r="K45" s="1281"/>
      <c r="L45" s="1282"/>
      <c r="M45" s="1283"/>
      <c r="N45" s="1283"/>
      <c r="O45" s="1283"/>
      <c r="P45" s="289"/>
      <c r="Q45" s="287"/>
      <c r="R45" s="288"/>
      <c r="S45" s="1254"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435"/>
      <c r="AP45" s="435" t="str">
        <f t="shared" si="1"/>
        <v xml:space="preserve">Наименование системы теплоснабжения </v>
      </c>
      <c r="AQ45" s="435"/>
      <c r="AR45" s="435"/>
      <c r="AS45" s="1073">
        <v>23</v>
      </c>
    </row>
    <row r="46" spans="1:45" ht="21.95" customHeight="1">
      <c r="A46" s="1281" t="s">
        <v>191</v>
      </c>
      <c r="B46" s="1281" t="s">
        <v>192</v>
      </c>
      <c r="C46" s="1281" t="s">
        <v>193</v>
      </c>
      <c r="D46" s="1281" t="s">
        <v>194</v>
      </c>
      <c r="E46" s="4413"/>
      <c r="F46" s="4413"/>
      <c r="G46" s="4413"/>
      <c r="H46" s="4412">
        <v>1</v>
      </c>
      <c r="I46" s="1281"/>
      <c r="J46" s="1281"/>
      <c r="K46" s="1281"/>
      <c r="L46" s="1282"/>
      <c r="M46" s="1283"/>
      <c r="N46" s="1283"/>
      <c r="O46" s="1283"/>
      <c r="P46" s="289"/>
      <c r="Q46" s="287"/>
      <c r="R46" s="288"/>
      <c r="S46" s="1254"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435"/>
      <c r="AP46" s="435" t="str">
        <f t="shared" si="1"/>
        <v xml:space="preserve">Источник тепловой энергии  </v>
      </c>
      <c r="AQ46" s="435"/>
      <c r="AR46" s="435"/>
      <c r="AS46" s="1073">
        <v>21</v>
      </c>
    </row>
    <row r="47" spans="1:45" s="4140" customFormat="1" ht="0" hidden="1" customHeight="1">
      <c r="A47" s="1261" t="s">
        <v>191</v>
      </c>
      <c r="B47" s="1261" t="s">
        <v>192</v>
      </c>
      <c r="C47" s="1261" t="s">
        <v>193</v>
      </c>
      <c r="D47" s="1261" t="s">
        <v>194</v>
      </c>
      <c r="E47" s="4413"/>
      <c r="F47" s="4413"/>
      <c r="G47" s="4413"/>
      <c r="H47" s="4413"/>
      <c r="I47" s="4414" t="str">
        <f>S46&amp;".1"</f>
        <v>....1</v>
      </c>
      <c r="J47" s="1261"/>
      <c r="K47" s="1261"/>
      <c r="L47" s="1264" t="s">
        <v>424</v>
      </c>
      <c r="M47" s="445"/>
      <c r="N47" s="445"/>
      <c r="O47" s="445"/>
      <c r="P47" s="4416">
        <v>1</v>
      </c>
      <c r="Q47" s="1249"/>
      <c r="R47" s="291"/>
      <c r="S47" s="964"/>
      <c r="T47" s="1301"/>
      <c r="U47" s="1302"/>
      <c r="V47" s="4443"/>
      <c r="W47" s="4444"/>
      <c r="X47" s="4444"/>
      <c r="Y47" s="4444"/>
      <c r="Z47" s="4444"/>
      <c r="AA47" s="4444"/>
      <c r="AB47" s="4444"/>
      <c r="AC47" s="4445"/>
      <c r="AD47" s="4443"/>
      <c r="AE47" s="4444"/>
      <c r="AF47" s="4444"/>
      <c r="AG47" s="4444"/>
      <c r="AH47" s="4444"/>
      <c r="AI47" s="4444"/>
      <c r="AJ47" s="4444"/>
      <c r="AK47" s="4444"/>
      <c r="AL47" s="4445"/>
      <c r="AM47" s="1303"/>
      <c r="AO47" s="435"/>
      <c r="AP47" s="435" t="str">
        <f t="shared" si="1"/>
        <v/>
      </c>
      <c r="AQ47" s="435"/>
      <c r="AR47" s="435"/>
      <c r="AS47" s="446">
        <v>0</v>
      </c>
    </row>
    <row r="48" spans="1:45" ht="21.95" customHeight="1">
      <c r="A48" s="1281" t="s">
        <v>191</v>
      </c>
      <c r="B48" s="1281" t="s">
        <v>192</v>
      </c>
      <c r="C48" s="1281" t="s">
        <v>193</v>
      </c>
      <c r="D48" s="1281" t="s">
        <v>194</v>
      </c>
      <c r="E48" s="4413"/>
      <c r="F48" s="4413"/>
      <c r="G48" s="4413"/>
      <c r="H48" s="4413"/>
      <c r="I48" s="4415"/>
      <c r="J48" s="4414" t="str">
        <f>S46&amp;".1"</f>
        <v>....1</v>
      </c>
      <c r="K48" s="1281"/>
      <c r="L48" s="1282" t="s">
        <v>427</v>
      </c>
      <c r="P48" s="4416"/>
      <c r="Q48" s="4416">
        <v>1</v>
      </c>
      <c r="R48" s="292"/>
      <c r="S48" s="1254" t="str">
        <f>$J48</f>
        <v>....1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435"/>
      <c r="AP48" s="435" t="str">
        <f t="shared" si="1"/>
        <v>Группа потребителей</v>
      </c>
      <c r="AQ48" s="435"/>
      <c r="AR48" s="435"/>
      <c r="AS48" s="1073">
        <v>21</v>
      </c>
    </row>
    <row r="49" spans="1:45" ht="21.95" customHeight="1">
      <c r="A49" s="1281" t="s">
        <v>191</v>
      </c>
      <c r="B49" s="1281" t="s">
        <v>192</v>
      </c>
      <c r="C49" s="1281" t="s">
        <v>193</v>
      </c>
      <c r="D49" s="1281" t="s">
        <v>194</v>
      </c>
      <c r="E49" s="4413"/>
      <c r="F49" s="4413"/>
      <c r="G49" s="4413"/>
      <c r="H49" s="4413"/>
      <c r="I49" s="4415"/>
      <c r="J49" s="4415"/>
      <c r="K49" s="4414" t="str">
        <f>J48&amp;".1"</f>
        <v>....1.1</v>
      </c>
      <c r="L49" s="1282" t="s">
        <v>430</v>
      </c>
      <c r="P49" s="4416"/>
      <c r="Q49" s="4416"/>
      <c r="R49" s="292">
        <v>1</v>
      </c>
      <c r="S49" s="1254" t="str">
        <f>$K49</f>
        <v>....1.1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472</v>
      </c>
      <c r="AN49" s="446" t="e">
        <f ca="1">STRCHECKDATE(V50:AL50)</f>
        <v>#NAME?</v>
      </c>
      <c r="AO49" s="435"/>
      <c r="AP49" s="435" t="str">
        <f t="shared" si="1"/>
        <v/>
      </c>
      <c r="AQ49" s="435"/>
      <c r="AR49" s="435"/>
      <c r="AS49" s="1073">
        <v>21</v>
      </c>
    </row>
    <row r="50" spans="1:45" ht="1.1499999999999999" customHeight="1">
      <c r="A50" s="1281" t="s">
        <v>191</v>
      </c>
      <c r="B50" s="1281" t="s">
        <v>192</v>
      </c>
      <c r="C50" s="1281" t="s">
        <v>193</v>
      </c>
      <c r="D50" s="1281" t="s">
        <v>194</v>
      </c>
      <c r="E50" s="4413"/>
      <c r="F50" s="4413"/>
      <c r="G50" s="4413"/>
      <c r="H50" s="4413"/>
      <c r="I50" s="4415"/>
      <c r="J50" s="4415"/>
      <c r="K50" s="4414"/>
      <c r="L50" s="1282"/>
      <c r="P50" s="4416"/>
      <c r="Q50" s="4416"/>
      <c r="R50" s="292"/>
      <c r="S50" s="1260"/>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435"/>
      <c r="AP50" s="435" t="str">
        <f t="shared" si="1"/>
        <v/>
      </c>
      <c r="AQ50" s="435"/>
      <c r="AR50" s="435"/>
      <c r="AS50" s="1073">
        <v>1</v>
      </c>
    </row>
    <row r="51" spans="1:45" ht="11.45" customHeight="1">
      <c r="A51" s="1281" t="s">
        <v>191</v>
      </c>
      <c r="B51" s="1281" t="s">
        <v>192</v>
      </c>
      <c r="C51" s="1281" t="s">
        <v>193</v>
      </c>
      <c r="D51" s="1281" t="s">
        <v>194</v>
      </c>
      <c r="E51" s="4413"/>
      <c r="F51" s="4413"/>
      <c r="G51" s="4413"/>
      <c r="H51" s="4413"/>
      <c r="I51" s="4415"/>
      <c r="J51" s="4414"/>
      <c r="K51" s="1281"/>
      <c r="L51" s="1282"/>
      <c r="P51" s="4416"/>
      <c r="Q51" s="4416"/>
      <c r="R51" s="291"/>
      <c r="S51" s="1196"/>
      <c r="T51" s="223" t="s">
        <v>432</v>
      </c>
      <c r="U51" s="302"/>
      <c r="V51" s="302"/>
      <c r="W51" s="302"/>
      <c r="X51" s="302"/>
      <c r="Y51" s="302"/>
      <c r="Z51" s="302"/>
      <c r="AA51" s="302"/>
      <c r="AB51" s="302"/>
      <c r="AC51" s="302"/>
      <c r="AD51" s="302"/>
      <c r="AE51" s="302"/>
      <c r="AF51" s="302"/>
      <c r="AG51" s="302"/>
      <c r="AH51" s="302"/>
      <c r="AI51" s="302"/>
      <c r="AJ51" s="302"/>
      <c r="AK51" s="302"/>
      <c r="AL51" s="260"/>
      <c r="AM51" s="4437"/>
      <c r="AO51" s="435"/>
      <c r="AP51" s="435" t="str">
        <f t="shared" si="1"/>
        <v>Добавить вид теплоносителя (параметры теплоносителя)</v>
      </c>
      <c r="AQ51" s="435"/>
      <c r="AR51" s="435"/>
      <c r="AS51" s="1073">
        <v>11</v>
      </c>
    </row>
    <row r="52" spans="1:45" ht="11.45" customHeight="1">
      <c r="A52" s="1281" t="s">
        <v>191</v>
      </c>
      <c r="B52" s="1281" t="s">
        <v>192</v>
      </c>
      <c r="C52" s="1281" t="s">
        <v>193</v>
      </c>
      <c r="D52" s="1281" t="s">
        <v>194</v>
      </c>
      <c r="E52" s="4413"/>
      <c r="F52" s="4413"/>
      <c r="G52" s="4413"/>
      <c r="H52" s="4413"/>
      <c r="I52" s="4414"/>
      <c r="J52" s="1281"/>
      <c r="K52" s="1281"/>
      <c r="L52" s="1282"/>
      <c r="P52" s="4416"/>
      <c r="Q52" s="1249"/>
      <c r="R52" s="291"/>
      <c r="S52" s="1196"/>
      <c r="T52" s="300" t="s">
        <v>433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191</v>
      </c>
      <c r="B53" s="1281" t="s">
        <v>192</v>
      </c>
      <c r="C53" s="1281" t="s">
        <v>193</v>
      </c>
      <c r="D53" s="1281" t="s">
        <v>194</v>
      </c>
      <c r="E53" s="4413"/>
      <c r="F53" s="4413"/>
      <c r="G53" s="4413"/>
      <c r="H53" s="441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40" customFormat="1" ht="1.1499999999999999" customHeight="1">
      <c r="A54" s="1261" t="s">
        <v>191</v>
      </c>
      <c r="B54" s="1261" t="s">
        <v>192</v>
      </c>
      <c r="C54" s="1261" t="s">
        <v>193</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40" customFormat="1" ht="1.1499999999999999" customHeight="1">
      <c r="A55" s="1261" t="s">
        <v>191</v>
      </c>
      <c r="B55" s="1261" t="s">
        <v>192</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40" customFormat="1" ht="1.1499999999999999" customHeight="1">
      <c r="A56" s="1261" t="s">
        <v>191</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4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073">
        <v>19</v>
      </c>
    </row>
    <row r="60" spans="1:45" ht="29.25" customHeight="1">
      <c r="O60" s="472"/>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073">
        <v>28</v>
      </c>
    </row>
    <row r="61" spans="1:45" ht="42" customHeight="1">
      <c r="O61" s="472"/>
      <c r="T61" s="4411"/>
      <c r="U61" s="4411"/>
      <c r="V61" s="4411"/>
      <c r="W61" s="4411"/>
      <c r="X61" s="4411"/>
      <c r="Y61" s="4411"/>
      <c r="Z61" s="4411"/>
      <c r="AA61" s="4411"/>
      <c r="AB61" s="4411"/>
      <c r="AC61" s="4411"/>
      <c r="AD61" s="4411"/>
      <c r="AE61" s="4411"/>
      <c r="AF61" s="4411"/>
      <c r="AG61" s="4411"/>
      <c r="AH61" s="4411"/>
      <c r="AI61" s="4411"/>
      <c r="AJ61" s="4411"/>
      <c r="AK61" s="4411"/>
      <c r="AL61" s="4411"/>
      <c r="AM61" s="4411"/>
      <c r="AS61" s="1073">
        <v>40</v>
      </c>
    </row>
    <row r="62" spans="1:45" ht="14.65" customHeight="1">
      <c r="O62" s="472"/>
      <c r="AS62" s="1073">
        <v>14</v>
      </c>
    </row>
    <row r="63" spans="1:45" ht="21" customHeight="1">
      <c r="O63" s="472"/>
      <c r="S63" s="1171"/>
      <c r="T63" s="4314"/>
      <c r="U63" s="4411"/>
      <c r="V63" s="4411"/>
      <c r="W63" s="4411"/>
      <c r="X63" s="4411"/>
      <c r="Y63" s="4411"/>
      <c r="Z63" s="4411"/>
      <c r="AA63" s="4411"/>
      <c r="AB63" s="4411"/>
      <c r="AC63" s="4411"/>
      <c r="AD63" s="4411"/>
      <c r="AE63" s="4411"/>
      <c r="AF63" s="4411"/>
      <c r="AG63" s="4411"/>
      <c r="AH63" s="4411"/>
      <c r="AI63" s="4411"/>
      <c r="AJ63" s="4411"/>
      <c r="AK63" s="4411"/>
      <c r="AL63" s="4411"/>
      <c r="AM63" s="4411"/>
      <c r="AS63" s="1073">
        <v>20</v>
      </c>
    </row>
    <row r="64" spans="1:45" ht="29.25" customHeight="1">
      <c r="O64" s="472"/>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073">
        <v>28</v>
      </c>
    </row>
    <row r="65" spans="1:45" ht="35.65" customHeight="1">
      <c r="T65" s="4411"/>
      <c r="U65" s="4411"/>
      <c r="V65" s="4411"/>
      <c r="W65" s="4411"/>
      <c r="X65" s="4411"/>
      <c r="Y65" s="4411"/>
      <c r="Z65" s="4411"/>
      <c r="AA65" s="4411"/>
      <c r="AB65" s="4411"/>
      <c r="AC65" s="4411"/>
      <c r="AD65" s="4411"/>
      <c r="AE65" s="4411"/>
      <c r="AF65" s="4411"/>
      <c r="AG65" s="4411"/>
      <c r="AH65" s="4411"/>
      <c r="AI65" s="4411"/>
      <c r="AJ65" s="4411"/>
      <c r="AK65" s="4411"/>
      <c r="AL65" s="4411"/>
      <c r="AM65" s="4411"/>
      <c r="AS65" s="1073">
        <v>34</v>
      </c>
    </row>
    <row r="66" spans="1:45" ht="22.5" hidden="1" customHeight="1">
      <c r="A66" s="1078" t="s">
        <v>86</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7" hidden="1"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A1" s="1786"/>
      <c r="Y1" s="263"/>
      <c r="Z1" s="263"/>
      <c r="AG1" s="263"/>
      <c r="AH1" s="263"/>
      <c r="AS1" s="1073" t="s">
        <v>14</v>
      </c>
    </row>
    <row r="2" spans="1:45" ht="21" hidden="1" customHeight="1">
      <c r="A2" s="1281"/>
      <c r="B2" s="1281"/>
      <c r="C2" s="1281"/>
      <c r="D2" s="1281"/>
      <c r="E2" s="4412">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435"/>
      <c r="AP2" s="435" t="str">
        <f t="shared" ref="AP2:AP15" si="0">IF(T2="","",T2)</f>
        <v>Наименование тарифа</v>
      </c>
      <c r="AQ2" s="435"/>
      <c r="AR2" s="435"/>
      <c r="AS2" s="1073">
        <v>0</v>
      </c>
    </row>
    <row r="3" spans="1:45" ht="21" hidden="1" customHeight="1">
      <c r="A3" s="1281"/>
      <c r="B3" s="1281"/>
      <c r="C3" s="1281"/>
      <c r="D3" s="1281"/>
      <c r="E3" s="4413"/>
      <c r="F3" s="4412">
        <v>1</v>
      </c>
      <c r="G3" s="1281"/>
      <c r="H3" s="1281"/>
      <c r="I3" s="1281"/>
      <c r="J3" s="1281"/>
      <c r="K3" s="1281"/>
      <c r="L3" s="1282"/>
      <c r="M3" s="1283"/>
      <c r="N3" s="1283"/>
      <c r="O3" s="1283"/>
      <c r="P3" s="1250"/>
      <c r="Q3" s="287"/>
      <c r="R3" s="288"/>
      <c r="S3" s="1254"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435"/>
      <c r="AP3" s="435" t="str">
        <f t="shared" si="0"/>
        <v>Территория действия тарифа</v>
      </c>
      <c r="AQ3" s="435"/>
      <c r="AR3" s="435"/>
      <c r="AS3" s="1073">
        <v>0</v>
      </c>
    </row>
    <row r="4" spans="1:45" ht="23.25" hidden="1" customHeight="1">
      <c r="A4" s="1281"/>
      <c r="B4" s="1281"/>
      <c r="C4" s="1281"/>
      <c r="D4" s="1281"/>
      <c r="E4" s="4413"/>
      <c r="F4" s="4413"/>
      <c r="G4" s="4412">
        <v>1</v>
      </c>
      <c r="H4" s="1281"/>
      <c r="I4" s="1281"/>
      <c r="J4" s="1281"/>
      <c r="K4" s="1281"/>
      <c r="L4" s="1282"/>
      <c r="M4" s="1283"/>
      <c r="N4" s="1283"/>
      <c r="O4" s="1283"/>
      <c r="P4" s="289"/>
      <c r="Q4" s="287"/>
      <c r="R4" s="288"/>
      <c r="S4" s="1920" t="e">
        <f>INDEX(PT_DIFFERENTIATION_NUM_CS,MATCH(C4,PT_DIFFERENTIATION_CS_ID,0))</f>
        <v>#N/A</v>
      </c>
      <c r="T4" s="1924" t="s">
        <v>420</v>
      </c>
      <c r="U4" s="1925"/>
      <c r="V4" s="4448"/>
      <c r="W4" s="4449"/>
      <c r="X4" s="4449"/>
      <c r="Y4" s="4449"/>
      <c r="Z4" s="4449"/>
      <c r="AA4" s="4449"/>
      <c r="AB4" s="4449"/>
      <c r="AC4" s="4450"/>
      <c r="AD4" s="4448" t="e">
        <f>INDEX(PT_DIFFERENTIATION_CS,MATCH(C4,PT_DIFFERENTIATION_CS_ID,0))</f>
        <v>#N/A</v>
      </c>
      <c r="AE4" s="4449"/>
      <c r="AF4" s="4449"/>
      <c r="AG4" s="4449"/>
      <c r="AH4" s="4449"/>
      <c r="AI4" s="4449"/>
      <c r="AJ4" s="4449"/>
      <c r="AK4" s="4449"/>
      <c r="AL4" s="4450"/>
      <c r="AM4" s="1176" t="s">
        <v>421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413"/>
      <c r="F5" s="4413"/>
      <c r="G5" s="4413"/>
      <c r="H5" s="4412">
        <v>1</v>
      </c>
      <c r="I5" s="1281"/>
      <c r="J5" s="1281"/>
      <c r="K5" s="1281"/>
      <c r="L5" s="1282"/>
      <c r="M5" s="1283"/>
      <c r="N5" s="1283"/>
      <c r="O5" s="1283"/>
      <c r="P5" s="289"/>
      <c r="Q5" s="287"/>
      <c r="R5" s="1553"/>
      <c r="S5" s="1919" t="e">
        <f>INDEX(PT_DIFFERENTIATION_NUM_IST_TE,MATCH(D5,PT_DIFFERENTIATION_IST_TE_ID,0))</f>
        <v>#N/A</v>
      </c>
      <c r="T5" s="246" t="s">
        <v>422</v>
      </c>
      <c r="U5" s="236"/>
      <c r="V5" s="4451"/>
      <c r="W5" s="4451"/>
      <c r="X5" s="4451"/>
      <c r="Y5" s="4451"/>
      <c r="Z5" s="4451"/>
      <c r="AA5" s="4451"/>
      <c r="AB5" s="4451"/>
      <c r="AC5" s="4451"/>
      <c r="AD5" s="4451" t="e">
        <f>INDEX(PT_DIFFERENTIATION_IST_TE,MATCH(D5,PT_DIFFERENTIATION_IST_TE_ID,0))</f>
        <v>#N/A</v>
      </c>
      <c r="AE5" s="4451"/>
      <c r="AF5" s="4451"/>
      <c r="AG5" s="4451"/>
      <c r="AH5" s="4451"/>
      <c r="AI5" s="4451"/>
      <c r="AJ5" s="4451"/>
      <c r="AK5" s="4451"/>
      <c r="AL5" s="4451"/>
      <c r="AM5" s="1922" t="s">
        <v>423</v>
      </c>
      <c r="AO5" s="435"/>
      <c r="AP5" s="435" t="str">
        <f t="shared" si="0"/>
        <v xml:space="preserve">Источник тепловой энергии  </v>
      </c>
      <c r="AQ5" s="435"/>
      <c r="AR5" s="435"/>
      <c r="AS5" s="1073">
        <v>0</v>
      </c>
    </row>
    <row r="6" spans="1:45" ht="0.75" hidden="1" customHeight="1">
      <c r="A6" s="1281"/>
      <c r="B6" s="1281"/>
      <c r="C6" s="1281"/>
      <c r="D6" s="1281"/>
      <c r="E6" s="4413"/>
      <c r="F6" s="4413"/>
      <c r="G6" s="4413"/>
      <c r="H6" s="4413"/>
      <c r="I6" s="4414" t="e">
        <f>S5&amp;".1"</f>
        <v>#N/A</v>
      </c>
      <c r="J6" s="1281"/>
      <c r="K6" s="1281"/>
      <c r="L6" s="1282" t="s">
        <v>424</v>
      </c>
      <c r="M6" s="472"/>
      <c r="P6" s="4416">
        <v>1</v>
      </c>
      <c r="Q6" s="1249"/>
      <c r="R6" s="1918"/>
      <c r="S6" s="964"/>
      <c r="T6" s="1301"/>
      <c r="U6" s="1302"/>
      <c r="V6" s="4452"/>
      <c r="W6" s="4452"/>
      <c r="X6" s="4452"/>
      <c r="Y6" s="4452"/>
      <c r="Z6" s="4452"/>
      <c r="AA6" s="4452"/>
      <c r="AB6" s="4452"/>
      <c r="AC6" s="4452"/>
      <c r="AD6" s="4452"/>
      <c r="AE6" s="4452"/>
      <c r="AF6" s="4452"/>
      <c r="AG6" s="4452"/>
      <c r="AH6" s="4452"/>
      <c r="AI6" s="4452"/>
      <c r="AJ6" s="4452"/>
      <c r="AK6" s="4452"/>
      <c r="AL6" s="4452"/>
      <c r="AM6" s="1923"/>
      <c r="AO6" s="435"/>
      <c r="AP6" s="435" t="str">
        <f t="shared" si="0"/>
        <v/>
      </c>
      <c r="AQ6" s="435"/>
      <c r="AR6" s="435"/>
      <c r="AS6" s="1073">
        <v>0</v>
      </c>
    </row>
    <row r="7" spans="1:45" ht="84" hidden="1" customHeight="1">
      <c r="A7" s="1281"/>
      <c r="B7" s="1281"/>
      <c r="C7" s="1281"/>
      <c r="D7" s="1281"/>
      <c r="E7" s="4413"/>
      <c r="F7" s="4413"/>
      <c r="G7" s="4413"/>
      <c r="H7" s="4413"/>
      <c r="I7" s="4415"/>
      <c r="J7" s="4414" t="e">
        <f>I6&amp;".1"</f>
        <v>#N/A</v>
      </c>
      <c r="K7" s="1281"/>
      <c r="L7" s="1282" t="s">
        <v>427</v>
      </c>
      <c r="M7" s="472"/>
      <c r="N7" s="1284"/>
      <c r="P7" s="4416"/>
      <c r="Q7" s="4416">
        <v>1</v>
      </c>
      <c r="R7" s="1560"/>
      <c r="S7" s="1919" t="e">
        <f>$J7</f>
        <v>#N/A</v>
      </c>
      <c r="T7" s="222" t="s">
        <v>428</v>
      </c>
      <c r="U7" s="236"/>
      <c r="V7" s="4446"/>
      <c r="W7" s="4446"/>
      <c r="X7" s="4446"/>
      <c r="Y7" s="4446"/>
      <c r="Z7" s="4446"/>
      <c r="AA7" s="4446"/>
      <c r="AB7" s="4446"/>
      <c r="AC7" s="4446"/>
      <c r="AD7" s="4446"/>
      <c r="AE7" s="4446"/>
      <c r="AF7" s="4446"/>
      <c r="AG7" s="4446"/>
      <c r="AH7" s="4446"/>
      <c r="AI7" s="4446"/>
      <c r="AJ7" s="4446"/>
      <c r="AK7" s="4446"/>
      <c r="AL7" s="4446"/>
      <c r="AM7" s="1922" t="s">
        <v>429</v>
      </c>
      <c r="AO7" s="435"/>
      <c r="AP7" s="435" t="str">
        <f t="shared" si="0"/>
        <v>Группа потребителей</v>
      </c>
      <c r="AQ7" s="435"/>
      <c r="AR7" s="435"/>
      <c r="AS7" s="1073">
        <v>0</v>
      </c>
    </row>
    <row r="8" spans="1:45" ht="11.25"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921" t="e">
        <f>$K8</f>
        <v>#N/A</v>
      </c>
      <c r="T8" s="1926"/>
      <c r="U8" s="1927"/>
      <c r="V8" s="1928"/>
      <c r="W8" s="1267"/>
      <c r="X8" s="1928"/>
      <c r="Y8" s="1929"/>
      <c r="Z8" s="4447"/>
      <c r="AA8" s="4289" t="s">
        <v>65</v>
      </c>
      <c r="AB8" s="4447"/>
      <c r="AC8" s="4289" t="s">
        <v>65</v>
      </c>
      <c r="AD8" s="1928"/>
      <c r="AE8" s="1267"/>
      <c r="AF8" s="1928"/>
      <c r="AG8" s="1929"/>
      <c r="AH8" s="4447"/>
      <c r="AI8" s="4289" t="s">
        <v>65</v>
      </c>
      <c r="AJ8" s="4447"/>
      <c r="AK8" s="4289" t="s">
        <v>65</v>
      </c>
      <c r="AL8" s="1267"/>
      <c r="AM8" s="4435" t="s">
        <v>431</v>
      </c>
      <c r="AN8" s="446" t="e">
        <f ca="1">STRCHECKDATE(V9:AL9)</f>
        <v>#NAME?</v>
      </c>
      <c r="AO8" s="435"/>
      <c r="AP8" s="435" t="str">
        <f t="shared" si="0"/>
        <v/>
      </c>
      <c r="AQ8" s="435"/>
      <c r="AR8" s="435"/>
      <c r="AS8" s="1073">
        <v>0</v>
      </c>
    </row>
    <row r="9" spans="1:45" ht="0.75" hidden="1" customHeight="1">
      <c r="A9" s="1281"/>
      <c r="B9" s="1281"/>
      <c r="C9" s="1281"/>
      <c r="D9" s="1281"/>
      <c r="E9" s="4413"/>
      <c r="F9" s="4413"/>
      <c r="G9" s="4413"/>
      <c r="H9" s="4413"/>
      <c r="I9" s="4415"/>
      <c r="J9" s="4415"/>
      <c r="K9" s="4414"/>
      <c r="L9" s="1282"/>
      <c r="M9" s="472"/>
      <c r="N9" s="1284"/>
      <c r="O9" s="1284"/>
      <c r="P9" s="4416"/>
      <c r="Q9" s="4416"/>
      <c r="R9" s="292"/>
      <c r="S9" s="1260"/>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435"/>
      <c r="AP9" s="435" t="str">
        <f t="shared" si="0"/>
        <v/>
      </c>
      <c r="AQ9" s="435"/>
      <c r="AR9" s="435"/>
      <c r="AS9" s="1073">
        <v>0</v>
      </c>
    </row>
    <row r="10" spans="1:45" ht="11.25" hidden="1" customHeight="1">
      <c r="A10" s="1281"/>
      <c r="B10" s="1281"/>
      <c r="C10" s="1281"/>
      <c r="D10" s="1281"/>
      <c r="E10" s="4413"/>
      <c r="F10" s="4413"/>
      <c r="G10" s="4413"/>
      <c r="H10" s="4413"/>
      <c r="I10" s="4415"/>
      <c r="J10" s="4414"/>
      <c r="K10" s="1281"/>
      <c r="L10" s="1282"/>
      <c r="M10" s="472"/>
      <c r="N10" s="1284"/>
      <c r="P10" s="4416"/>
      <c r="Q10" s="4416"/>
      <c r="R10" s="291"/>
      <c r="S10" s="1196"/>
      <c r="T10" s="223" t="s">
        <v>432</v>
      </c>
      <c r="U10" s="302"/>
      <c r="V10" s="302"/>
      <c r="W10" s="302"/>
      <c r="X10" s="302"/>
      <c r="Y10" s="302"/>
      <c r="Z10" s="302"/>
      <c r="AA10" s="302"/>
      <c r="AB10" s="302"/>
      <c r="AC10" s="302"/>
      <c r="AD10" s="302"/>
      <c r="AE10" s="302"/>
      <c r="AF10" s="302"/>
      <c r="AG10" s="302"/>
      <c r="AH10" s="302"/>
      <c r="AI10" s="302"/>
      <c r="AJ10" s="302"/>
      <c r="AK10" s="302"/>
      <c r="AL10" s="260"/>
      <c r="AM10" s="443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4413"/>
      <c r="F11" s="4413"/>
      <c r="G11" s="4413"/>
      <c r="H11" s="4413"/>
      <c r="I11" s="4414"/>
      <c r="J11" s="1281"/>
      <c r="K11" s="1281"/>
      <c r="L11" s="1282"/>
      <c r="M11" s="472"/>
      <c r="P11" s="4416"/>
      <c r="Q11" s="1249"/>
      <c r="R11" s="291"/>
      <c r="S11" s="1196"/>
      <c r="T11" s="300" t="s">
        <v>433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4413"/>
      <c r="F12" s="4413"/>
      <c r="G12" s="4413"/>
      <c r="H12" s="441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40" customFormat="1" ht="0.7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40" customFormat="1" ht="0.7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40" customFormat="1" ht="0.7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410"/>
      <c r="AI17" s="4409" t="s">
        <v>65</v>
      </c>
      <c r="AJ17" s="4410"/>
      <c r="AK17" s="4409" t="s">
        <v>65</v>
      </c>
      <c r="AS17" s="1073">
        <v>0</v>
      </c>
    </row>
    <row r="18" spans="1:45" ht="14.25" hidden="1" customHeight="1">
      <c r="AD18" s="1278"/>
      <c r="AE18" s="1278"/>
      <c r="AF18" s="1278"/>
      <c r="AG18" s="264" t="str">
        <f>AH17&amp;"-"&amp;AJ17</f>
        <v>-</v>
      </c>
      <c r="AH18" s="4409"/>
      <c r="AI18" s="4409"/>
      <c r="AJ18" s="4409"/>
      <c r="AK18" s="4409"/>
      <c r="AS18" s="1073">
        <v>0</v>
      </c>
    </row>
    <row r="19" spans="1:45" ht="14.25" hidden="1" customHeight="1">
      <c r="AK19" s="263"/>
      <c r="AS19" s="1073">
        <v>0</v>
      </c>
    </row>
    <row r="20" spans="1:45" s="4139" customFormat="1" ht="22.5" hidden="1" customHeight="1">
      <c r="L20" s="1247"/>
      <c r="M20" s="1280"/>
      <c r="N20" s="1280"/>
      <c r="O20" s="1285" t="s">
        <v>435</v>
      </c>
      <c r="P20" s="1280"/>
      <c r="Q20" s="1289"/>
      <c r="R20" s="1289"/>
      <c r="S20" s="664"/>
      <c r="Z20" s="1285"/>
      <c r="AB20" s="1285"/>
      <c r="AC20" s="1284"/>
      <c r="AH20" s="1285"/>
      <c r="AJ20" s="1285"/>
      <c r="AK20" s="1284"/>
      <c r="AN20" s="446"/>
      <c r="AO20" s="446"/>
      <c r="AP20" s="446"/>
      <c r="AQ20" s="446"/>
      <c r="AR20" s="446"/>
      <c r="AS20" s="1078">
        <v>0</v>
      </c>
    </row>
    <row r="21" spans="1:45" s="413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39" customFormat="1" ht="14.2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43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344"/>
      <c r="U26" s="4344"/>
      <c r="V26" s="4344"/>
      <c r="W26" s="4344"/>
      <c r="X26" s="4344"/>
      <c r="Y26" s="4344"/>
      <c r="Z26" s="4344"/>
      <c r="AA26" s="4344"/>
      <c r="AB26" s="4344"/>
      <c r="AC26" s="4344"/>
      <c r="AD26" s="4344"/>
      <c r="AE26" s="4344"/>
      <c r="AF26" s="4344"/>
      <c r="AG26" s="4344"/>
      <c r="AH26" s="4344"/>
      <c r="AI26" s="4344"/>
      <c r="AJ26" s="4344"/>
      <c r="AK26" s="1161"/>
      <c r="AS26" s="1073">
        <v>52</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262"/>
      <c r="AM29" s="216"/>
      <c r="AN29" s="303"/>
      <c r="AO29" s="303"/>
      <c r="AP29" s="303"/>
      <c r="AQ29" s="303"/>
      <c r="AR29" s="303"/>
      <c r="AS29" s="353">
        <v>0</v>
      </c>
    </row>
    <row r="30" spans="1:45"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262"/>
      <c r="AM30" s="216"/>
      <c r="AN30" s="303"/>
      <c r="AO30" s="303"/>
      <c r="AP30" s="303"/>
      <c r="AQ30" s="303"/>
      <c r="AR30" s="303"/>
      <c r="AS30" s="353">
        <v>0</v>
      </c>
    </row>
    <row r="31" spans="1:45"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262"/>
      <c r="AM31" s="216"/>
      <c r="AN31" s="303"/>
      <c r="AO31" s="303"/>
      <c r="AP31" s="303"/>
      <c r="AQ31" s="303"/>
      <c r="AR31" s="303"/>
      <c r="AS31" s="353">
        <v>0</v>
      </c>
    </row>
    <row r="32" spans="1:45"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262"/>
      <c r="AM34" s="216"/>
      <c r="AN34" s="303"/>
      <c r="AO34" s="303"/>
      <c r="AP34" s="303"/>
      <c r="AQ34" s="303"/>
      <c r="AR34" s="303"/>
      <c r="AS34" s="353">
        <v>0</v>
      </c>
    </row>
    <row r="35" spans="1:45" s="4149" customFormat="1" ht="18.7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262"/>
      <c r="AM35" s="216"/>
      <c r="AN35" s="303"/>
      <c r="AO35" s="303"/>
      <c r="AP35" s="303"/>
      <c r="AQ35" s="303"/>
      <c r="AR35" s="303"/>
      <c r="AS35" s="353">
        <v>0</v>
      </c>
    </row>
    <row r="36" spans="1:45" s="414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445</v>
      </c>
      <c r="AD36" s="262"/>
      <c r="AE36" s="262"/>
      <c r="AF36" s="262"/>
      <c r="AG36" s="262"/>
      <c r="AH36" s="262"/>
      <c r="AI36" s="262"/>
      <c r="AJ36" s="262"/>
      <c r="AK36" s="214" t="s">
        <v>445</v>
      </c>
      <c r="AN36" s="303"/>
      <c r="AO36" s="303"/>
      <c r="AP36" s="303"/>
      <c r="AQ36" s="303"/>
      <c r="AR36" s="303"/>
      <c r="AS36" s="353">
        <v>0</v>
      </c>
    </row>
    <row r="37" spans="1:45"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S37" s="1073">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073">
        <v>14</v>
      </c>
    </row>
    <row r="39" spans="1:45" ht="14.65" customHeight="1">
      <c r="Q39" s="311"/>
      <c r="R39" s="311"/>
      <c r="S39" s="4425" t="s">
        <v>92</v>
      </c>
      <c r="T39" s="4373" t="s">
        <v>446</v>
      </c>
      <c r="U39" s="237"/>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073">
        <v>14</v>
      </c>
    </row>
    <row r="40" spans="1:45" ht="35.65" customHeight="1">
      <c r="Q40" s="311"/>
      <c r="R40" s="311"/>
      <c r="S40" s="4425"/>
      <c r="T40" s="4373"/>
      <c r="U40" s="953"/>
      <c r="V40" s="4345" t="s">
        <v>451</v>
      </c>
      <c r="W40" s="4421"/>
      <c r="X40" s="4256" t="s">
        <v>453</v>
      </c>
      <c r="Y40" s="4255"/>
      <c r="Z40" s="4256" t="s">
        <v>454</v>
      </c>
      <c r="AA40" s="4261"/>
      <c r="AB40" s="4255"/>
      <c r="AC40" s="4430"/>
      <c r="AD40" s="4345" t="s">
        <v>471</v>
      </c>
      <c r="AE40" s="4421"/>
      <c r="AF40" s="4256" t="s">
        <v>453</v>
      </c>
      <c r="AG40" s="4255"/>
      <c r="AH40" s="4256" t="s">
        <v>454</v>
      </c>
      <c r="AI40" s="4261"/>
      <c r="AJ40" s="4255"/>
      <c r="AK40" s="4430"/>
      <c r="AL40" s="4433"/>
      <c r="AM40" s="4274"/>
      <c r="AS40" s="1073">
        <v>34</v>
      </c>
    </row>
    <row r="41" spans="1:45" ht="35.65"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Q41" s="311"/>
      <c r="R41" s="311"/>
      <c r="S41" s="4425"/>
      <c r="T41" s="4373"/>
      <c r="U41" s="238"/>
      <c r="V41" s="4398"/>
      <c r="W41" s="4422"/>
      <c r="X41" s="1140" t="s">
        <v>462</v>
      </c>
      <c r="Y41" s="1140" t="s">
        <v>463</v>
      </c>
      <c r="Z41" s="1256" t="s">
        <v>464</v>
      </c>
      <c r="AA41" s="4378" t="s">
        <v>465</v>
      </c>
      <c r="AB41" s="4392"/>
      <c r="AC41" s="4431"/>
      <c r="AD41" s="4398"/>
      <c r="AE41" s="4422"/>
      <c r="AF41" s="1140" t="s">
        <v>462</v>
      </c>
      <c r="AG41" s="1140" t="s">
        <v>463</v>
      </c>
      <c r="AH41" s="1256" t="s">
        <v>464</v>
      </c>
      <c r="AI41" s="4378" t="s">
        <v>465</v>
      </c>
      <c r="AJ41" s="4392"/>
      <c r="AK41" s="4431"/>
      <c r="AL41" s="4434"/>
      <c r="AM41" s="4274"/>
      <c r="AS41" s="1073">
        <v>34</v>
      </c>
    </row>
    <row r="42" spans="1:45"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4423">
        <f ca="1">OFFSET(AA42,0,-1)+1</f>
        <v>4</v>
      </c>
      <c r="AB42" s="4423"/>
      <c r="AC42" s="1253">
        <f ca="1">OFFSET(AC42,0,-2)+1</f>
        <v>5</v>
      </c>
      <c r="AD42" s="1253">
        <f ca="1">OFFSET(AD42,0,-1)+1</f>
        <v>6</v>
      </c>
      <c r="AE42" s="1253"/>
      <c r="AF42" s="1253">
        <f ca="1">OFFSET(AF42,0,-1)+1</f>
        <v>1</v>
      </c>
      <c r="AG42" s="1253">
        <f ca="1">OFFSET(AG42,0,-1)+1</f>
        <v>2</v>
      </c>
      <c r="AH42" s="1253">
        <f ca="1">OFFSET(AH42,0,-1)+1</f>
        <v>3</v>
      </c>
      <c r="AI42" s="4423">
        <f ca="1">OFFSET(AI42,0,-1)+1</f>
        <v>4</v>
      </c>
      <c r="AJ42" s="4423"/>
      <c r="AK42" s="1253">
        <f ca="1">OFFSET(AK42,0,-2)+1</f>
        <v>5</v>
      </c>
      <c r="AL42" s="1163">
        <f ca="1">OFFSET(AL42,0,-1)</f>
        <v>5</v>
      </c>
      <c r="AM42" s="1253">
        <f ca="1">OFFSET(AM42,0,-1)+1</f>
        <v>6</v>
      </c>
      <c r="AN42" s="446"/>
      <c r="AO42" s="446"/>
      <c r="AP42" s="446"/>
      <c r="AQ42" s="446"/>
      <c r="AR42" s="446"/>
      <c r="AS42" s="431">
        <v>0</v>
      </c>
    </row>
    <row r="43" spans="1:45" ht="21.95" customHeight="1">
      <c r="A43" s="1281" t="s">
        <v>203</v>
      </c>
      <c r="B43" s="1281"/>
      <c r="C43" s="1281"/>
      <c r="D43" s="1281"/>
      <c r="E43" s="441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203</v>
      </c>
      <c r="B44" s="1281" t="s">
        <v>204</v>
      </c>
      <c r="C44" s="1281"/>
      <c r="D44" s="1281"/>
      <c r="E44" s="4413"/>
      <c r="F44" s="4412">
        <v>1</v>
      </c>
      <c r="G44" s="1281"/>
      <c r="H44" s="1281"/>
      <c r="I44" s="1281"/>
      <c r="J44" s="1281"/>
      <c r="K44" s="1281"/>
      <c r="L44" s="1282"/>
      <c r="M44" s="1283"/>
      <c r="N44" s="1283"/>
      <c r="O44" s="1283"/>
      <c r="P44" s="1250"/>
      <c r="Q44" s="287"/>
      <c r="R44" s="288"/>
      <c r="S44" s="1254" t="str">
        <f>INDEX(PT_DIFFERENTIATION_NUM_TER,MATCH(B44,PT_DIFFERENTIATION_TER_ID,0))</f>
        <v>.</v>
      </c>
      <c r="T44" s="244"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435"/>
      <c r="AP44" s="435" t="str">
        <f t="shared" si="1"/>
        <v>Территория действия тарифа</v>
      </c>
      <c r="AQ44" s="435"/>
      <c r="AR44" s="435"/>
      <c r="AS44" s="1073">
        <v>21</v>
      </c>
    </row>
    <row r="45" spans="1:45" ht="24" customHeight="1">
      <c r="A45" s="1281" t="s">
        <v>203</v>
      </c>
      <c r="B45" s="1281" t="s">
        <v>204</v>
      </c>
      <c r="C45" s="1281" t="s">
        <v>205</v>
      </c>
      <c r="D45" s="1281"/>
      <c r="E45" s="4413"/>
      <c r="F45" s="4413"/>
      <c r="G45" s="4412">
        <v>1</v>
      </c>
      <c r="H45" s="1281"/>
      <c r="I45" s="1281"/>
      <c r="J45" s="1281"/>
      <c r="K45" s="1281"/>
      <c r="L45" s="1282"/>
      <c r="M45" s="1283"/>
      <c r="N45" s="1283"/>
      <c r="O45" s="1283"/>
      <c r="P45" s="289"/>
      <c r="Q45" s="287"/>
      <c r="R45" s="288"/>
      <c r="S45" s="1254"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435"/>
      <c r="AP45" s="435" t="str">
        <f t="shared" si="1"/>
        <v xml:space="preserve">Наименование системы теплоснабжения </v>
      </c>
      <c r="AQ45" s="435"/>
      <c r="AR45" s="435"/>
      <c r="AS45" s="1073">
        <v>23</v>
      </c>
    </row>
    <row r="46" spans="1:45" ht="21.95" customHeight="1">
      <c r="A46" s="1281" t="s">
        <v>203</v>
      </c>
      <c r="B46" s="1281" t="s">
        <v>204</v>
      </c>
      <c r="C46" s="1281" t="s">
        <v>205</v>
      </c>
      <c r="D46" s="1281" t="s">
        <v>206</v>
      </c>
      <c r="E46" s="4413"/>
      <c r="F46" s="4413"/>
      <c r="G46" s="4413"/>
      <c r="H46" s="4412">
        <v>1</v>
      </c>
      <c r="I46" s="1281"/>
      <c r="J46" s="1281"/>
      <c r="K46" s="1281"/>
      <c r="L46" s="1282"/>
      <c r="M46" s="1283"/>
      <c r="N46" s="1283"/>
      <c r="O46" s="1283"/>
      <c r="P46" s="289"/>
      <c r="Q46" s="287"/>
      <c r="R46" s="288"/>
      <c r="S46" s="1254"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435"/>
      <c r="AP46" s="435" t="str">
        <f t="shared" si="1"/>
        <v xml:space="preserve">Источник тепловой энергии  </v>
      </c>
      <c r="AQ46" s="435"/>
      <c r="AR46" s="435"/>
      <c r="AS46" s="1073">
        <v>21</v>
      </c>
    </row>
    <row r="47" spans="1:45" s="4140" customFormat="1" ht="0" hidden="1" customHeight="1">
      <c r="A47" s="1261" t="s">
        <v>203</v>
      </c>
      <c r="B47" s="1261" t="s">
        <v>204</v>
      </c>
      <c r="C47" s="1261" t="s">
        <v>205</v>
      </c>
      <c r="D47" s="1261" t="s">
        <v>206</v>
      </c>
      <c r="E47" s="4413"/>
      <c r="F47" s="4413"/>
      <c r="G47" s="4413"/>
      <c r="H47" s="4413"/>
      <c r="I47" s="4414" t="str">
        <f>S46&amp;".1"</f>
        <v>....1</v>
      </c>
      <c r="J47" s="1261"/>
      <c r="K47" s="1261"/>
      <c r="L47" s="1264" t="s">
        <v>424</v>
      </c>
      <c r="M47" s="445"/>
      <c r="N47" s="445"/>
      <c r="O47" s="445"/>
      <c r="P47" s="4416">
        <v>1</v>
      </c>
      <c r="Q47" s="1249"/>
      <c r="R47" s="291"/>
      <c r="S47" s="964"/>
      <c r="T47" s="1301"/>
      <c r="U47" s="1302"/>
      <c r="V47" s="4443"/>
      <c r="W47" s="4444"/>
      <c r="X47" s="4444"/>
      <c r="Y47" s="4444"/>
      <c r="Z47" s="4444"/>
      <c r="AA47" s="4444"/>
      <c r="AB47" s="4444"/>
      <c r="AC47" s="4445"/>
      <c r="AD47" s="4443"/>
      <c r="AE47" s="4444"/>
      <c r="AF47" s="4444"/>
      <c r="AG47" s="4444"/>
      <c r="AH47" s="4444"/>
      <c r="AI47" s="4444"/>
      <c r="AJ47" s="4444"/>
      <c r="AK47" s="4444"/>
      <c r="AL47" s="4445"/>
      <c r="AM47" s="1303"/>
      <c r="AO47" s="435"/>
      <c r="AP47" s="435" t="str">
        <f t="shared" si="1"/>
        <v/>
      </c>
      <c r="AQ47" s="435"/>
      <c r="AR47" s="435"/>
      <c r="AS47" s="446">
        <v>0</v>
      </c>
    </row>
    <row r="48" spans="1:45" ht="21.95" customHeight="1">
      <c r="A48" s="1281" t="s">
        <v>203</v>
      </c>
      <c r="B48" s="1281" t="s">
        <v>204</v>
      </c>
      <c r="C48" s="1281" t="s">
        <v>205</v>
      </c>
      <c r="D48" s="1281" t="s">
        <v>206</v>
      </c>
      <c r="E48" s="4413"/>
      <c r="F48" s="4413"/>
      <c r="G48" s="4413"/>
      <c r="H48" s="4413"/>
      <c r="I48" s="4415"/>
      <c r="J48" s="4414" t="str">
        <f>S46&amp;".1"</f>
        <v>....1</v>
      </c>
      <c r="K48" s="1281"/>
      <c r="L48" s="1282" t="s">
        <v>427</v>
      </c>
      <c r="P48" s="4416"/>
      <c r="Q48" s="4416">
        <v>1</v>
      </c>
      <c r="R48" s="292"/>
      <c r="S48" s="1254" t="str">
        <f>$J48</f>
        <v>....1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435"/>
      <c r="AP48" s="435" t="str">
        <f t="shared" si="1"/>
        <v>Группа потребителей</v>
      </c>
      <c r="AQ48" s="435"/>
      <c r="AR48" s="435"/>
      <c r="AS48" s="1073">
        <v>21</v>
      </c>
    </row>
    <row r="49" spans="1:45" ht="21.95" customHeight="1">
      <c r="A49" s="1281" t="s">
        <v>203</v>
      </c>
      <c r="B49" s="1281" t="s">
        <v>204</v>
      </c>
      <c r="C49" s="1281" t="s">
        <v>205</v>
      </c>
      <c r="D49" s="1281" t="s">
        <v>206</v>
      </c>
      <c r="E49" s="4413"/>
      <c r="F49" s="4413"/>
      <c r="G49" s="4413"/>
      <c r="H49" s="4413"/>
      <c r="I49" s="4415"/>
      <c r="J49" s="4415"/>
      <c r="K49" s="4414" t="str">
        <f>J48&amp;".1"</f>
        <v>....1.1</v>
      </c>
      <c r="L49" s="1282" t="s">
        <v>430</v>
      </c>
      <c r="P49" s="4416"/>
      <c r="Q49" s="4416"/>
      <c r="R49" s="292">
        <v>1</v>
      </c>
      <c r="S49" s="1254" t="str">
        <f>$K49</f>
        <v>....1.1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472</v>
      </c>
      <c r="AN49" s="446" t="e">
        <f ca="1">STRCHECKDATE(V50:AL50)</f>
        <v>#NAME?</v>
      </c>
      <c r="AO49" s="435"/>
      <c r="AP49" s="435" t="str">
        <f t="shared" si="1"/>
        <v/>
      </c>
      <c r="AQ49" s="435"/>
      <c r="AR49" s="435"/>
      <c r="AS49" s="1073">
        <v>21</v>
      </c>
    </row>
    <row r="50" spans="1:45" ht="1.1499999999999999" customHeight="1">
      <c r="A50" s="1281" t="s">
        <v>203</v>
      </c>
      <c r="B50" s="1281" t="s">
        <v>204</v>
      </c>
      <c r="C50" s="1281" t="s">
        <v>205</v>
      </c>
      <c r="D50" s="1281" t="s">
        <v>206</v>
      </c>
      <c r="E50" s="4413"/>
      <c r="F50" s="4413"/>
      <c r="G50" s="4413"/>
      <c r="H50" s="4413"/>
      <c r="I50" s="4415"/>
      <c r="J50" s="4415"/>
      <c r="K50" s="4414"/>
      <c r="L50" s="1282"/>
      <c r="P50" s="4416"/>
      <c r="Q50" s="4416"/>
      <c r="R50" s="292"/>
      <c r="S50" s="1260"/>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435"/>
      <c r="AP50" s="435" t="str">
        <f t="shared" si="1"/>
        <v/>
      </c>
      <c r="AQ50" s="435"/>
      <c r="AR50" s="435"/>
      <c r="AS50" s="1073">
        <v>1</v>
      </c>
    </row>
    <row r="51" spans="1:45" ht="11.45" customHeight="1">
      <c r="A51" s="1281" t="s">
        <v>203</v>
      </c>
      <c r="B51" s="1281" t="s">
        <v>204</v>
      </c>
      <c r="C51" s="1281" t="s">
        <v>205</v>
      </c>
      <c r="D51" s="1281" t="s">
        <v>206</v>
      </c>
      <c r="E51" s="4413"/>
      <c r="F51" s="4413"/>
      <c r="G51" s="4413"/>
      <c r="H51" s="4413"/>
      <c r="I51" s="4415"/>
      <c r="J51" s="4414"/>
      <c r="K51" s="1281"/>
      <c r="L51" s="1282"/>
      <c r="P51" s="4416"/>
      <c r="Q51" s="4416"/>
      <c r="R51" s="291"/>
      <c r="S51" s="1196"/>
      <c r="T51" s="223" t="s">
        <v>432</v>
      </c>
      <c r="U51" s="302"/>
      <c r="V51" s="302"/>
      <c r="W51" s="302"/>
      <c r="X51" s="302"/>
      <c r="Y51" s="302"/>
      <c r="Z51" s="302"/>
      <c r="AA51" s="302"/>
      <c r="AB51" s="302"/>
      <c r="AC51" s="302"/>
      <c r="AD51" s="302"/>
      <c r="AE51" s="302"/>
      <c r="AF51" s="302"/>
      <c r="AG51" s="302"/>
      <c r="AH51" s="302"/>
      <c r="AI51" s="302"/>
      <c r="AJ51" s="302"/>
      <c r="AK51" s="302"/>
      <c r="AL51" s="260"/>
      <c r="AM51" s="4437"/>
      <c r="AO51" s="435"/>
      <c r="AP51" s="435" t="str">
        <f t="shared" si="1"/>
        <v>Добавить вид теплоносителя (параметры теплоносителя)</v>
      </c>
      <c r="AQ51" s="435"/>
      <c r="AR51" s="435"/>
      <c r="AS51" s="1073">
        <v>11</v>
      </c>
    </row>
    <row r="52" spans="1:45" ht="11.45" customHeight="1">
      <c r="A52" s="1281" t="s">
        <v>203</v>
      </c>
      <c r="B52" s="1281" t="s">
        <v>204</v>
      </c>
      <c r="C52" s="1281" t="s">
        <v>205</v>
      </c>
      <c r="D52" s="1281" t="s">
        <v>206</v>
      </c>
      <c r="E52" s="4413"/>
      <c r="F52" s="4413"/>
      <c r="G52" s="4413"/>
      <c r="H52" s="4413"/>
      <c r="I52" s="4414"/>
      <c r="J52" s="1281"/>
      <c r="K52" s="1281"/>
      <c r="L52" s="1282"/>
      <c r="P52" s="4416"/>
      <c r="Q52" s="1249"/>
      <c r="R52" s="291"/>
      <c r="S52" s="1196"/>
      <c r="T52" s="300" t="s">
        <v>433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203</v>
      </c>
      <c r="B53" s="1281" t="s">
        <v>204</v>
      </c>
      <c r="C53" s="1281" t="s">
        <v>205</v>
      </c>
      <c r="D53" s="1281" t="s">
        <v>206</v>
      </c>
      <c r="E53" s="4413"/>
      <c r="F53" s="4413"/>
      <c r="G53" s="4413"/>
      <c r="H53" s="441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40" customFormat="1" ht="1.1499999999999999" customHeight="1">
      <c r="A54" s="1261" t="s">
        <v>203</v>
      </c>
      <c r="B54" s="1261" t="s">
        <v>204</v>
      </c>
      <c r="C54" s="1261" t="s">
        <v>205</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4140" customFormat="1" ht="1.1499999999999999" customHeight="1">
      <c r="A55" s="1261" t="s">
        <v>203</v>
      </c>
      <c r="B55" s="1261" t="s">
        <v>204</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4140" customFormat="1" ht="1.1499999999999999" customHeight="1">
      <c r="A56" s="1261" t="s">
        <v>203</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4140"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073">
        <v>22</v>
      </c>
    </row>
    <row r="60" spans="1:45" ht="30.4" customHeight="1">
      <c r="O60" s="472"/>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073">
        <v>29</v>
      </c>
    </row>
    <row r="61" spans="1:45" ht="42" customHeight="1">
      <c r="O61" s="472"/>
      <c r="T61" s="4411"/>
      <c r="U61" s="4411"/>
      <c r="V61" s="4411"/>
      <c r="W61" s="4411"/>
      <c r="X61" s="4411"/>
      <c r="Y61" s="4411"/>
      <c r="Z61" s="4411"/>
      <c r="AA61" s="4411"/>
      <c r="AB61" s="4411"/>
      <c r="AC61" s="4411"/>
      <c r="AD61" s="4411"/>
      <c r="AE61" s="4411"/>
      <c r="AF61" s="4411"/>
      <c r="AG61" s="4411"/>
      <c r="AH61" s="4411"/>
      <c r="AI61" s="4411"/>
      <c r="AJ61" s="4411"/>
      <c r="AK61" s="4411"/>
      <c r="AL61" s="4411"/>
      <c r="AM61" s="4411"/>
      <c r="AS61" s="1073">
        <v>40</v>
      </c>
    </row>
    <row r="62" spans="1:45" ht="14.65" customHeight="1">
      <c r="O62" s="472"/>
      <c r="AS62" s="1073">
        <v>14</v>
      </c>
    </row>
    <row r="63" spans="1:45" ht="21" customHeight="1">
      <c r="O63" s="472"/>
      <c r="S63" s="1171"/>
      <c r="T63" s="4314"/>
      <c r="U63" s="4411"/>
      <c r="V63" s="4411"/>
      <c r="W63" s="4411"/>
      <c r="X63" s="4411"/>
      <c r="Y63" s="4411"/>
      <c r="Z63" s="4411"/>
      <c r="AA63" s="4411"/>
      <c r="AB63" s="4411"/>
      <c r="AC63" s="4411"/>
      <c r="AD63" s="4411"/>
      <c r="AE63" s="4411"/>
      <c r="AF63" s="4411"/>
      <c r="AG63" s="4411"/>
      <c r="AH63" s="4411"/>
      <c r="AI63" s="4411"/>
      <c r="AJ63" s="4411"/>
      <c r="AK63" s="4411"/>
      <c r="AL63" s="4411"/>
      <c r="AM63" s="4411"/>
      <c r="AS63" s="1073">
        <v>20</v>
      </c>
    </row>
    <row r="64" spans="1:45" ht="29.25" customHeight="1">
      <c r="O64" s="472"/>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073">
        <v>28</v>
      </c>
    </row>
    <row r="65" spans="1:45" ht="35.65" customHeight="1">
      <c r="T65" s="4411"/>
      <c r="U65" s="4411"/>
      <c r="V65" s="4411"/>
      <c r="W65" s="4411"/>
      <c r="X65" s="4411"/>
      <c r="Y65" s="4411"/>
      <c r="Z65" s="4411"/>
      <c r="AA65" s="4411"/>
      <c r="AB65" s="4411"/>
      <c r="AC65" s="4411"/>
      <c r="AD65" s="4411"/>
      <c r="AE65" s="4411"/>
      <c r="AF65" s="4411"/>
      <c r="AG65" s="4411"/>
      <c r="AH65" s="4411"/>
      <c r="AI65" s="4411"/>
      <c r="AJ65" s="4411"/>
      <c r="AK65" s="4411"/>
      <c r="AL65" s="4411"/>
      <c r="AM65" s="4411"/>
      <c r="AS65" s="1073">
        <v>34</v>
      </c>
    </row>
    <row r="66" spans="1:45" ht="22.5" hidden="1" customHeight="1">
      <c r="A66" s="1078" t="s">
        <v>86</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7" hidden="1" customWidth="1"/>
    <col min="17" max="18" width="3" style="4168" customWidth="1"/>
    <col min="19" max="19" width="12" style="4169" customWidth="1"/>
    <col min="20" max="20" width="31" style="4133" customWidth="1"/>
    <col min="21" max="21" width="0.140625" style="4133" customWidth="1"/>
    <col min="22" max="22" width="24.7109375" style="4133" hidden="1" customWidth="1"/>
    <col min="23" max="23" width="0.140625" style="4133" hidden="1" customWidth="1"/>
    <col min="24" max="25" width="24.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24.7109375" style="4133" customWidth="1"/>
    <col min="31" max="31" width="0.140625" style="4133" customWidth="1"/>
    <col min="32" max="33" width="24" style="4133" customWidth="1"/>
    <col min="34" max="34" width="11" style="4133" customWidth="1"/>
    <col min="35" max="35" width="3.7109375" style="4133" customWidth="1"/>
    <col min="36" max="36" width="11" style="4133" customWidth="1"/>
    <col min="37" max="37" width="8.5703125" style="4133" hidden="1" customWidth="1"/>
    <col min="38" max="38" width="4" style="4133" customWidth="1"/>
    <col min="39" max="39" width="115" style="4133" customWidth="1"/>
    <col min="40" max="44" width="10" style="4140" customWidth="1"/>
    <col min="45" max="45" width="10.5703125" style="4133" hidden="1"/>
  </cols>
  <sheetData>
    <row r="1" spans="1:45" ht="22.5" hidden="1" customHeight="1">
      <c r="Y1" s="263"/>
      <c r="Z1" s="263"/>
      <c r="AG1" s="263"/>
      <c r="AH1" s="263"/>
      <c r="AS1" s="1073" t="s">
        <v>14</v>
      </c>
    </row>
    <row r="2" spans="1:45" ht="21" hidden="1" customHeight="1">
      <c r="A2" s="1281"/>
      <c r="B2" s="1281"/>
      <c r="C2" s="1281"/>
      <c r="D2" s="1281"/>
      <c r="E2" s="4412">
        <v>1</v>
      </c>
      <c r="F2" s="1281"/>
      <c r="G2" s="1281"/>
      <c r="H2" s="1281"/>
      <c r="I2" s="1281"/>
      <c r="J2" s="1281"/>
      <c r="K2" s="1281"/>
      <c r="L2" s="1282"/>
      <c r="M2" s="1283"/>
      <c r="N2" s="1283"/>
      <c r="O2" s="1283"/>
      <c r="P2" s="296"/>
      <c r="Q2" s="295"/>
      <c r="R2" s="290"/>
      <c r="S2" s="1254" t="e">
        <f>INDEX(PT_DIFFERENTIATION_NUM_NTAR,MATCH(A2,PT_DIFFERENTIATION_NTAR_ID,0))</f>
        <v>#N/A</v>
      </c>
      <c r="T2" s="234" t="s">
        <v>126</v>
      </c>
      <c r="U2" s="236"/>
      <c r="V2" s="4406"/>
      <c r="W2" s="4407"/>
      <c r="X2" s="4407"/>
      <c r="Y2" s="4407"/>
      <c r="Z2" s="4407"/>
      <c r="AA2" s="4407"/>
      <c r="AB2" s="4407"/>
      <c r="AC2" s="4408"/>
      <c r="AD2" s="4406" t="e">
        <f>INDEX(PT_DIFFERENTIATION_NTAR,MATCH(A2,PT_DIFFERENTIATION_NTAR_ID,0))</f>
        <v>#N/A</v>
      </c>
      <c r="AE2" s="4407"/>
      <c r="AF2" s="4407"/>
      <c r="AG2" s="4407"/>
      <c r="AH2" s="4407"/>
      <c r="AI2" s="4407"/>
      <c r="AJ2" s="4407"/>
      <c r="AK2" s="4407"/>
      <c r="AL2" s="4408"/>
      <c r="AM2" s="1176" t="s">
        <v>417</v>
      </c>
      <c r="AO2" s="435"/>
      <c r="AP2" s="435" t="str">
        <f t="shared" ref="AP2:AP15" si="0">IF(T2="","",T2)</f>
        <v>Наименование тарифа</v>
      </c>
      <c r="AQ2" s="435"/>
      <c r="AR2" s="435"/>
      <c r="AS2" s="1073">
        <v>0</v>
      </c>
    </row>
    <row r="3" spans="1:45" ht="21" hidden="1" customHeight="1">
      <c r="A3" s="1281"/>
      <c r="B3" s="1281"/>
      <c r="C3" s="1281"/>
      <c r="D3" s="1281"/>
      <c r="E3" s="4413"/>
      <c r="F3" s="4412">
        <v>1</v>
      </c>
      <c r="G3" s="1281"/>
      <c r="H3" s="1281"/>
      <c r="I3" s="1281"/>
      <c r="J3" s="1281"/>
      <c r="K3" s="1281"/>
      <c r="L3" s="1282"/>
      <c r="M3" s="1283"/>
      <c r="N3" s="1283"/>
      <c r="O3" s="1283"/>
      <c r="P3" s="1250"/>
      <c r="Q3" s="287"/>
      <c r="R3" s="288"/>
      <c r="S3" s="1254" t="e">
        <f>INDEX(PT_DIFFERENTIATION_NUM_TER,MATCH(B3,PT_DIFFERENTIATION_TER_ID,0))</f>
        <v>#N/A</v>
      </c>
      <c r="T3" s="244" t="s">
        <v>418</v>
      </c>
      <c r="U3" s="236"/>
      <c r="V3" s="4406"/>
      <c r="W3" s="4407"/>
      <c r="X3" s="4407"/>
      <c r="Y3" s="4407"/>
      <c r="Z3" s="4407"/>
      <c r="AA3" s="4407"/>
      <c r="AB3" s="4407"/>
      <c r="AC3" s="4408"/>
      <c r="AD3" s="4406" t="e">
        <f>INDEX(PT_DIFFERENTIATION_TER,MATCH(B3,PT_DIFFERENTIATION_TER_ID,0))</f>
        <v>#N/A</v>
      </c>
      <c r="AE3" s="4407"/>
      <c r="AF3" s="4407"/>
      <c r="AG3" s="4407"/>
      <c r="AH3" s="4407"/>
      <c r="AI3" s="4407"/>
      <c r="AJ3" s="4407"/>
      <c r="AK3" s="4407"/>
      <c r="AL3" s="4408"/>
      <c r="AM3" s="1176" t="s">
        <v>419</v>
      </c>
      <c r="AO3" s="435"/>
      <c r="AP3" s="435" t="str">
        <f t="shared" si="0"/>
        <v>Территория действия тарифа</v>
      </c>
      <c r="AQ3" s="435"/>
      <c r="AR3" s="435"/>
      <c r="AS3" s="1073">
        <v>0</v>
      </c>
    </row>
    <row r="4" spans="1:45" ht="23.25" hidden="1" customHeight="1">
      <c r="A4" s="1281"/>
      <c r="B4" s="1281"/>
      <c r="C4" s="1281"/>
      <c r="D4" s="1281"/>
      <c r="E4" s="4413"/>
      <c r="F4" s="4413"/>
      <c r="G4" s="4412">
        <v>1</v>
      </c>
      <c r="H4" s="1281"/>
      <c r="I4" s="1281"/>
      <c r="J4" s="1281"/>
      <c r="K4" s="1281"/>
      <c r="L4" s="1282"/>
      <c r="M4" s="1283"/>
      <c r="N4" s="1283"/>
      <c r="O4" s="1283"/>
      <c r="P4" s="289"/>
      <c r="Q4" s="287"/>
      <c r="R4" s="288"/>
      <c r="S4" s="1254" t="e">
        <f>INDEX(PT_DIFFERENTIATION_NUM_CS,MATCH(C4,PT_DIFFERENTIATION_CS_ID,0))</f>
        <v>#N/A</v>
      </c>
      <c r="T4" s="245" t="s">
        <v>420</v>
      </c>
      <c r="U4" s="236"/>
      <c r="V4" s="4406"/>
      <c r="W4" s="4407"/>
      <c r="X4" s="4407"/>
      <c r="Y4" s="4407"/>
      <c r="Z4" s="4407"/>
      <c r="AA4" s="4407"/>
      <c r="AB4" s="4407"/>
      <c r="AC4" s="4408"/>
      <c r="AD4" s="4406" t="e">
        <f>INDEX(PT_DIFFERENTIATION_CS,MATCH(C4,PT_DIFFERENTIATION_CS_ID,0))</f>
        <v>#N/A</v>
      </c>
      <c r="AE4" s="4407"/>
      <c r="AF4" s="4407"/>
      <c r="AG4" s="4407"/>
      <c r="AH4" s="4407"/>
      <c r="AI4" s="4407"/>
      <c r="AJ4" s="4407"/>
      <c r="AK4" s="4407"/>
      <c r="AL4" s="4408"/>
      <c r="AM4" s="1176" t="s">
        <v>421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4413"/>
      <c r="F5" s="4413"/>
      <c r="G5" s="4413"/>
      <c r="H5" s="4412">
        <v>1</v>
      </c>
      <c r="I5" s="1281"/>
      <c r="J5" s="1281"/>
      <c r="K5" s="1281"/>
      <c r="L5" s="1282"/>
      <c r="M5" s="1283"/>
      <c r="N5" s="1283"/>
      <c r="O5" s="1283"/>
      <c r="P5" s="289"/>
      <c r="Q5" s="287"/>
      <c r="R5" s="288"/>
      <c r="S5" s="1254" t="e">
        <f>INDEX(PT_DIFFERENTIATION_NUM_IST_TE,MATCH(D5,PT_DIFFERENTIATION_IST_TE_ID,0))</f>
        <v>#N/A</v>
      </c>
      <c r="T5" s="246" t="s">
        <v>422</v>
      </c>
      <c r="U5" s="236"/>
      <c r="V5" s="4406"/>
      <c r="W5" s="4407"/>
      <c r="X5" s="4407"/>
      <c r="Y5" s="4407"/>
      <c r="Z5" s="4407"/>
      <c r="AA5" s="4407"/>
      <c r="AB5" s="4407"/>
      <c r="AC5" s="4408"/>
      <c r="AD5" s="4406" t="e">
        <f>INDEX(PT_DIFFERENTIATION_IST_TE,MATCH(D5,PT_DIFFERENTIATION_IST_TE_ID,0))</f>
        <v>#N/A</v>
      </c>
      <c r="AE5" s="4407"/>
      <c r="AF5" s="4407"/>
      <c r="AG5" s="4407"/>
      <c r="AH5" s="4407"/>
      <c r="AI5" s="4407"/>
      <c r="AJ5" s="4407"/>
      <c r="AK5" s="4407"/>
      <c r="AL5" s="4408"/>
      <c r="AM5" s="1176" t="s">
        <v>423</v>
      </c>
      <c r="AO5" s="435"/>
      <c r="AP5" s="435" t="str">
        <f t="shared" si="0"/>
        <v xml:space="preserve">Источник тепловой энергии  </v>
      </c>
      <c r="AQ5" s="435"/>
      <c r="AR5" s="435"/>
      <c r="AS5" s="1073">
        <v>0</v>
      </c>
    </row>
    <row r="6" spans="1:45" ht="14.25" hidden="1" customHeight="1">
      <c r="A6" s="1281"/>
      <c r="B6" s="1281"/>
      <c r="C6" s="1281"/>
      <c r="D6" s="1281"/>
      <c r="E6" s="4413"/>
      <c r="F6" s="4413"/>
      <c r="G6" s="4413"/>
      <c r="H6" s="4413"/>
      <c r="I6" s="4414" t="e">
        <f>S5&amp;".1"</f>
        <v>#N/A</v>
      </c>
      <c r="J6" s="1281"/>
      <c r="K6" s="1281"/>
      <c r="L6" s="1282" t="s">
        <v>424</v>
      </c>
      <c r="M6" s="472"/>
      <c r="P6" s="4416">
        <v>1</v>
      </c>
      <c r="Q6" s="1249"/>
      <c r="R6" s="291"/>
      <c r="S6" s="964"/>
      <c r="T6" s="1301"/>
      <c r="U6" s="1302"/>
      <c r="V6" s="4443"/>
      <c r="W6" s="4444"/>
      <c r="X6" s="4444"/>
      <c r="Y6" s="4444"/>
      <c r="Z6" s="4444"/>
      <c r="AA6" s="4444"/>
      <c r="AB6" s="4444"/>
      <c r="AC6" s="4445"/>
      <c r="AD6" s="4443"/>
      <c r="AE6" s="4444"/>
      <c r="AF6" s="4444"/>
      <c r="AG6" s="4444"/>
      <c r="AH6" s="4444"/>
      <c r="AI6" s="4444"/>
      <c r="AJ6" s="4444"/>
      <c r="AK6" s="4444"/>
      <c r="AL6" s="4445"/>
      <c r="AM6" s="1303"/>
      <c r="AO6" s="435"/>
      <c r="AP6" s="435" t="str">
        <f t="shared" si="0"/>
        <v/>
      </c>
      <c r="AQ6" s="435"/>
      <c r="AR6" s="435"/>
      <c r="AS6" s="1073">
        <v>0</v>
      </c>
    </row>
    <row r="7" spans="1:45" ht="21" hidden="1" customHeight="1">
      <c r="A7" s="1281"/>
      <c r="B7" s="1281"/>
      <c r="C7" s="1281"/>
      <c r="D7" s="1281"/>
      <c r="E7" s="4413"/>
      <c r="F7" s="4413"/>
      <c r="G7" s="4413"/>
      <c r="H7" s="4413"/>
      <c r="I7" s="4415"/>
      <c r="J7" s="4414" t="e">
        <f>I6&amp;".1"</f>
        <v>#N/A</v>
      </c>
      <c r="K7" s="1281"/>
      <c r="L7" s="1282" t="s">
        <v>427</v>
      </c>
      <c r="M7" s="472"/>
      <c r="N7" s="1284"/>
      <c r="P7" s="4416"/>
      <c r="Q7" s="4416">
        <v>1</v>
      </c>
      <c r="R7" s="292"/>
      <c r="S7" s="1254" t="e">
        <f>$J7</f>
        <v>#N/A</v>
      </c>
      <c r="T7" s="222" t="s">
        <v>428</v>
      </c>
      <c r="U7" s="236"/>
      <c r="V7" s="4400"/>
      <c r="W7" s="4401"/>
      <c r="X7" s="4401"/>
      <c r="Y7" s="4401"/>
      <c r="Z7" s="4401"/>
      <c r="AA7" s="4401"/>
      <c r="AB7" s="4401"/>
      <c r="AC7" s="4402"/>
      <c r="AD7" s="4400"/>
      <c r="AE7" s="4401"/>
      <c r="AF7" s="4401"/>
      <c r="AG7" s="4401"/>
      <c r="AH7" s="4401"/>
      <c r="AI7" s="4401"/>
      <c r="AJ7" s="4401"/>
      <c r="AK7" s="4401"/>
      <c r="AL7" s="4402"/>
      <c r="AM7" s="1176" t="s">
        <v>429</v>
      </c>
      <c r="AO7" s="435"/>
      <c r="AP7" s="435" t="str">
        <f t="shared" si="0"/>
        <v>Группа потребителей</v>
      </c>
      <c r="AQ7" s="435"/>
      <c r="AR7" s="435"/>
      <c r="AS7" s="1073">
        <v>0</v>
      </c>
    </row>
    <row r="8" spans="1:45" ht="21" hidden="1" customHeight="1">
      <c r="A8" s="1281"/>
      <c r="B8" s="1281"/>
      <c r="C8" s="1281"/>
      <c r="D8" s="1281"/>
      <c r="E8" s="4413"/>
      <c r="F8" s="4413"/>
      <c r="G8" s="4413"/>
      <c r="H8" s="4413"/>
      <c r="I8" s="4415"/>
      <c r="J8" s="4415"/>
      <c r="K8" s="4414" t="e">
        <f>J7&amp;".1"</f>
        <v>#N/A</v>
      </c>
      <c r="L8" s="1282" t="s">
        <v>430</v>
      </c>
      <c r="M8" s="472"/>
      <c r="N8" s="1284"/>
      <c r="O8" s="1284"/>
      <c r="P8" s="4416"/>
      <c r="Q8" s="4416"/>
      <c r="R8" s="292">
        <v>1</v>
      </c>
      <c r="S8" s="1254" t="e">
        <f>$K8</f>
        <v>#N/A</v>
      </c>
      <c r="T8" s="1265"/>
      <c r="U8" s="236"/>
      <c r="V8" s="686"/>
      <c r="W8" s="261"/>
      <c r="X8" s="686"/>
      <c r="Y8" s="1175"/>
      <c r="Z8" s="4417"/>
      <c r="AA8" s="4284" t="s">
        <v>65</v>
      </c>
      <c r="AB8" s="4417"/>
      <c r="AC8" s="4284" t="s">
        <v>65</v>
      </c>
      <c r="AD8" s="686"/>
      <c r="AE8" s="261"/>
      <c r="AF8" s="686"/>
      <c r="AG8" s="1175"/>
      <c r="AH8" s="4417"/>
      <c r="AI8" s="4284" t="s">
        <v>65</v>
      </c>
      <c r="AJ8" s="4417"/>
      <c r="AK8" s="4284" t="s">
        <v>65</v>
      </c>
      <c r="AL8" s="261"/>
      <c r="AM8" s="4435" t="s">
        <v>431</v>
      </c>
      <c r="AN8" s="446" t="e">
        <f ca="1">STRCHECKDATE(V9:AL9)</f>
        <v>#NAME?</v>
      </c>
      <c r="AO8" s="435"/>
      <c r="AP8" s="435" t="str">
        <f t="shared" si="0"/>
        <v/>
      </c>
      <c r="AQ8" s="435"/>
      <c r="AR8" s="435"/>
      <c r="AS8" s="1073">
        <v>0</v>
      </c>
    </row>
    <row r="9" spans="1:45" ht="14.25" hidden="1" customHeight="1">
      <c r="A9" s="1281"/>
      <c r="B9" s="1281"/>
      <c r="C9" s="1281"/>
      <c r="D9" s="1281"/>
      <c r="E9" s="4413"/>
      <c r="F9" s="4413"/>
      <c r="G9" s="4413"/>
      <c r="H9" s="4413"/>
      <c r="I9" s="4415"/>
      <c r="J9" s="4415"/>
      <c r="K9" s="4414"/>
      <c r="L9" s="1282"/>
      <c r="M9" s="472"/>
      <c r="N9" s="1284"/>
      <c r="O9" s="1284"/>
      <c r="P9" s="4416"/>
      <c r="Q9" s="4416"/>
      <c r="R9" s="292"/>
      <c r="S9" s="1260"/>
      <c r="T9" s="236"/>
      <c r="U9" s="236"/>
      <c r="V9" s="261"/>
      <c r="W9" s="261"/>
      <c r="X9" s="261"/>
      <c r="Y9" s="264" t="str">
        <f>Z8&amp;"-"&amp;AB8</f>
        <v>-</v>
      </c>
      <c r="Z9" s="4418"/>
      <c r="AA9" s="4284"/>
      <c r="AB9" s="4418"/>
      <c r="AC9" s="4284"/>
      <c r="AD9" s="261"/>
      <c r="AE9" s="261"/>
      <c r="AF9" s="261"/>
      <c r="AG9" s="264" t="str">
        <f>AH8&amp;"-"&amp;AJ8</f>
        <v>-</v>
      </c>
      <c r="AH9" s="4418"/>
      <c r="AI9" s="4284"/>
      <c r="AJ9" s="4418"/>
      <c r="AK9" s="4284"/>
      <c r="AL9" s="261"/>
      <c r="AM9" s="4436"/>
      <c r="AO9" s="435"/>
      <c r="AP9" s="435" t="str">
        <f t="shared" si="0"/>
        <v/>
      </c>
      <c r="AQ9" s="435"/>
      <c r="AR9" s="435"/>
      <c r="AS9" s="1073">
        <v>0</v>
      </c>
    </row>
    <row r="10" spans="1:45" ht="15" hidden="1" customHeight="1">
      <c r="A10" s="1281"/>
      <c r="B10" s="1281"/>
      <c r="C10" s="1281"/>
      <c r="D10" s="1281"/>
      <c r="E10" s="4413"/>
      <c r="F10" s="4413"/>
      <c r="G10" s="4413"/>
      <c r="H10" s="4413"/>
      <c r="I10" s="4415"/>
      <c r="J10" s="4414"/>
      <c r="K10" s="1281"/>
      <c r="L10" s="1282"/>
      <c r="M10" s="472"/>
      <c r="N10" s="1284"/>
      <c r="P10" s="4416"/>
      <c r="Q10" s="4416"/>
      <c r="R10" s="291"/>
      <c r="S10" s="1196"/>
      <c r="T10" s="223" t="s">
        <v>432</v>
      </c>
      <c r="U10" s="302"/>
      <c r="V10" s="302"/>
      <c r="W10" s="302"/>
      <c r="X10" s="302"/>
      <c r="Y10" s="302"/>
      <c r="Z10" s="302"/>
      <c r="AA10" s="302"/>
      <c r="AB10" s="302"/>
      <c r="AC10" s="302"/>
      <c r="AD10" s="302"/>
      <c r="AE10" s="302"/>
      <c r="AF10" s="302"/>
      <c r="AG10" s="302"/>
      <c r="AH10" s="302"/>
      <c r="AI10" s="302"/>
      <c r="AJ10" s="302"/>
      <c r="AK10" s="302"/>
      <c r="AL10" s="260"/>
      <c r="AM10" s="443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4413"/>
      <c r="F11" s="4413"/>
      <c r="G11" s="4413"/>
      <c r="H11" s="4413"/>
      <c r="I11" s="4414"/>
      <c r="J11" s="1281"/>
      <c r="K11" s="1281"/>
      <c r="L11" s="1282"/>
      <c r="M11" s="472"/>
      <c r="P11" s="4416"/>
      <c r="Q11" s="1249"/>
      <c r="R11" s="291"/>
      <c r="S11" s="1196"/>
      <c r="T11" s="300" t="s">
        <v>433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4413"/>
      <c r="F12" s="4413"/>
      <c r="G12" s="4413"/>
      <c r="H12" s="441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4140" customFormat="1" ht="14.25" hidden="1" customHeight="1">
      <c r="A13" s="1232"/>
      <c r="B13" s="1232"/>
      <c r="C13" s="1232"/>
      <c r="D13" s="1232"/>
      <c r="E13" s="4413"/>
      <c r="F13" s="4413"/>
      <c r="G13" s="4412"/>
      <c r="H13" s="1232"/>
      <c r="I13" s="1232"/>
      <c r="J13" s="1232"/>
      <c r="K13" s="1232"/>
      <c r="L13" s="1257"/>
      <c r="M13" s="1233"/>
      <c r="N13" s="1233"/>
      <c r="P13" s="1234"/>
      <c r="Q13" s="1235"/>
      <c r="R13" s="1234"/>
      <c r="S13" s="1236"/>
      <c r="T13" s="1237" t="s">
        <v>172</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4140" customFormat="1" ht="14.25" hidden="1" customHeight="1">
      <c r="A14" s="1232"/>
      <c r="B14" s="1232"/>
      <c r="C14" s="1232"/>
      <c r="D14" s="1232"/>
      <c r="E14" s="4413"/>
      <c r="F14" s="4412"/>
      <c r="G14" s="1232"/>
      <c r="H14" s="1232"/>
      <c r="I14" s="1232"/>
      <c r="J14" s="1232"/>
      <c r="K14" s="1232"/>
      <c r="L14" s="1257"/>
      <c r="M14" s="1239"/>
      <c r="N14" s="1239"/>
      <c r="P14" s="1234"/>
      <c r="Q14" s="1235"/>
      <c r="R14" s="1234"/>
      <c r="S14" s="1240"/>
      <c r="T14" s="1241" t="s">
        <v>173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4140" customFormat="1" ht="14.25" hidden="1" customHeight="1">
      <c r="A15" s="1232"/>
      <c r="B15" s="1232"/>
      <c r="C15" s="1232"/>
      <c r="D15" s="1232"/>
      <c r="E15" s="4412"/>
      <c r="F15" s="1232"/>
      <c r="G15" s="1232"/>
      <c r="H15" s="1232"/>
      <c r="I15" s="1232"/>
      <c r="J15" s="1232"/>
      <c r="K15" s="1232"/>
      <c r="L15" s="1257"/>
      <c r="M15" s="1239"/>
      <c r="N15" s="1239"/>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4410"/>
      <c r="AI17" s="4409" t="s">
        <v>65</v>
      </c>
      <c r="AJ17" s="4410"/>
      <c r="AK17" s="4409" t="s">
        <v>65</v>
      </c>
      <c r="AS17" s="1073">
        <v>0</v>
      </c>
    </row>
    <row r="18" spans="1:45" ht="14.25" hidden="1" customHeight="1">
      <c r="AD18" s="1278"/>
      <c r="AE18" s="1278"/>
      <c r="AF18" s="1278"/>
      <c r="AG18" s="264" t="str">
        <f>AH17&amp;"-"&amp;AJ17</f>
        <v>-</v>
      </c>
      <c r="AH18" s="4409"/>
      <c r="AI18" s="4409"/>
      <c r="AJ18" s="4409"/>
      <c r="AK18" s="4409"/>
      <c r="AS18" s="1073">
        <v>0</v>
      </c>
    </row>
    <row r="19" spans="1:45" ht="14.25" hidden="1" customHeight="1">
      <c r="AK19" s="263"/>
      <c r="AS19" s="1073">
        <v>0</v>
      </c>
    </row>
    <row r="20" spans="1:45" s="4139" customFormat="1" ht="22.5" hidden="1" customHeight="1">
      <c r="L20" s="1247"/>
      <c r="M20" s="1280"/>
      <c r="N20" s="1280"/>
      <c r="O20" s="1285" t="s">
        <v>435</v>
      </c>
      <c r="P20" s="1280"/>
      <c r="Q20" s="1289"/>
      <c r="R20" s="1289"/>
      <c r="S20" s="664"/>
      <c r="Z20" s="1285"/>
      <c r="AB20" s="1285"/>
      <c r="AC20" s="1284"/>
      <c r="AH20" s="1285"/>
      <c r="AJ20" s="1285"/>
      <c r="AK20" s="1284"/>
      <c r="AN20" s="446"/>
      <c r="AO20" s="446"/>
      <c r="AP20" s="446"/>
      <c r="AQ20" s="446"/>
      <c r="AR20" s="446"/>
      <c r="AS20" s="1078">
        <v>0</v>
      </c>
    </row>
    <row r="21" spans="1:45" s="413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4139" customFormat="1" ht="14.25" hidden="1" customHeight="1">
      <c r="L22" s="1247"/>
      <c r="M22" s="1280"/>
      <c r="N22" s="1280"/>
      <c r="O22" s="1282" t="s">
        <v>436</v>
      </c>
      <c r="P22" s="1280"/>
      <c r="Q22" s="1289"/>
      <c r="R22" s="1289"/>
      <c r="S22" s="664"/>
      <c r="T22" s="1078" t="s">
        <v>437</v>
      </c>
      <c r="AA22" s="123" t="s">
        <v>438</v>
      </c>
      <c r="AC22" s="123" t="s">
        <v>439</v>
      </c>
      <c r="AD22" s="1078" t="s">
        <v>437</v>
      </c>
      <c r="AI22" s="123" t="s">
        <v>440</v>
      </c>
      <c r="AK22" s="123" t="s">
        <v>439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43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393"/>
      <c r="U26" s="4393"/>
      <c r="V26" s="4393"/>
      <c r="W26" s="4393"/>
      <c r="X26" s="4393"/>
      <c r="Y26" s="4393"/>
      <c r="Z26" s="4393"/>
      <c r="AA26" s="4393"/>
      <c r="AB26" s="4393"/>
      <c r="AC26" s="4393"/>
      <c r="AD26" s="4393"/>
      <c r="AE26" s="4393"/>
      <c r="AF26" s="4393"/>
      <c r="AG26" s="4393"/>
      <c r="AH26" s="4393"/>
      <c r="AI26" s="4393"/>
      <c r="AJ26" s="4393"/>
      <c r="AK26" s="1161"/>
      <c r="AS26" s="1073">
        <v>51</v>
      </c>
    </row>
    <row r="27" spans="1:45" ht="14.65" customHeight="1">
      <c r="Q27" s="311"/>
      <c r="R27" s="311"/>
      <c r="S27" s="4365" t="str">
        <f>IF(org=0,"Не определено",org)</f>
        <v>АО "Мурманэнергосбыт"</v>
      </c>
      <c r="T27" s="4365"/>
      <c r="U27" s="4365"/>
      <c r="V27" s="4365"/>
      <c r="W27" s="4365"/>
      <c r="X27" s="4365"/>
      <c r="Y27" s="4365"/>
      <c r="Z27" s="4365"/>
      <c r="AA27" s="4365"/>
      <c r="AB27" s="4365"/>
      <c r="AC27" s="4365"/>
      <c r="AD27" s="4365"/>
      <c r="AE27" s="4365"/>
      <c r="AF27" s="4365"/>
      <c r="AG27" s="4365"/>
      <c r="AH27" s="4365"/>
      <c r="AI27" s="4365"/>
      <c r="AJ27" s="4365"/>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4149" customFormat="1" ht="25.5" customHeight="1">
      <c r="A29" s="1286"/>
      <c r="B29" s="1286"/>
      <c r="C29" s="1286"/>
      <c r="D29" s="1286"/>
      <c r="E29" s="1286"/>
      <c r="F29" s="1286"/>
      <c r="G29" s="1286"/>
      <c r="H29" s="1286"/>
      <c r="I29" s="1286"/>
      <c r="J29" s="1286"/>
      <c r="K29" s="1286"/>
      <c r="L29" s="1287"/>
      <c r="M29" s="1286"/>
      <c r="N29" s="1286"/>
      <c r="O29" s="1286"/>
      <c r="S29" s="4403" t="s">
        <v>42</v>
      </c>
      <c r="T29" s="4403"/>
      <c r="U29" s="1290"/>
      <c r="V29" s="4405" t="str">
        <f>IF(TITLE_NAME_OR_PR_CHANGE="",IF(TITLE_NAME_OR_PR="","",TITLE_NAME_OR_PR),TITLE_NAME_OR_PR_CHANGE)</f>
        <v>Комитет по тарифному регулированию Мурманской области</v>
      </c>
      <c r="W29" s="4405"/>
      <c r="X29" s="4405"/>
      <c r="Y29" s="4405"/>
      <c r="Z29" s="4405"/>
      <c r="AA29" s="4405"/>
      <c r="AB29" s="4405"/>
      <c r="AC29" s="262"/>
      <c r="AD29" s="4405" t="str">
        <f>IF(TITLE_NAME_OR_PR_CHANGE="",IF(TITLE_NAME_OR_PR="","",TITLE_NAME_OR_PR),TITLE_NAME_OR_PR_CHANGE)</f>
        <v>Комитет по тарифному регулированию Мурманской области</v>
      </c>
      <c r="AE29" s="4405"/>
      <c r="AF29" s="4405"/>
      <c r="AG29" s="4405"/>
      <c r="AH29" s="4405"/>
      <c r="AI29" s="4405"/>
      <c r="AJ29" s="4405"/>
      <c r="AK29" s="262"/>
      <c r="AL29" s="262"/>
      <c r="AM29" s="216"/>
      <c r="AN29" s="303"/>
      <c r="AO29" s="303"/>
      <c r="AP29" s="303"/>
      <c r="AQ29" s="303"/>
      <c r="AR29" s="303"/>
      <c r="AS29" s="353">
        <v>0</v>
      </c>
    </row>
    <row r="30" spans="1:45" s="4149" customFormat="1" ht="18.75" customHeight="1">
      <c r="A30" s="1286"/>
      <c r="B30" s="1286"/>
      <c r="C30" s="1286"/>
      <c r="D30" s="1286"/>
      <c r="E30" s="1286"/>
      <c r="F30" s="1286"/>
      <c r="G30" s="1286"/>
      <c r="H30" s="1286"/>
      <c r="I30" s="1286"/>
      <c r="J30" s="1286"/>
      <c r="K30" s="1286"/>
      <c r="L30" s="1287"/>
      <c r="M30" s="1286"/>
      <c r="N30" s="1286"/>
      <c r="O30" s="1286"/>
      <c r="S30" s="4403" t="s">
        <v>441</v>
      </c>
      <c r="T30" s="4403"/>
      <c r="U30" s="1290"/>
      <c r="V30" s="4404">
        <f>IF(TITLE_DATE_PR_CHANGE="",IF(TITLE_DATE_PR="","",TITLE_DATE_PR),TITLE_DATE_PR_CHANGE)</f>
        <v>45646</v>
      </c>
      <c r="W30" s="4404"/>
      <c r="X30" s="4404"/>
      <c r="Y30" s="4404"/>
      <c r="Z30" s="4404"/>
      <c r="AA30" s="4404"/>
      <c r="AB30" s="4404"/>
      <c r="AC30" s="262"/>
      <c r="AD30" s="4404">
        <f>IF(TITLE_DATE_PR_CHANGE="",IF(TITLE_DATE_PR="","",TITLE_DATE_PR),TITLE_DATE_PR_CHANGE)</f>
        <v>45646</v>
      </c>
      <c r="AE30" s="4404"/>
      <c r="AF30" s="4404"/>
      <c r="AG30" s="4404"/>
      <c r="AH30" s="4404"/>
      <c r="AI30" s="4404"/>
      <c r="AJ30" s="4404"/>
      <c r="AK30" s="262"/>
      <c r="AL30" s="262"/>
      <c r="AM30" s="216"/>
      <c r="AN30" s="303"/>
      <c r="AO30" s="303"/>
      <c r="AP30" s="303"/>
      <c r="AQ30" s="303"/>
      <c r="AR30" s="303"/>
      <c r="AS30" s="353">
        <v>0</v>
      </c>
    </row>
    <row r="31" spans="1:45" s="4149" customFormat="1" ht="18.75" customHeight="1">
      <c r="A31" s="1286"/>
      <c r="B31" s="1286"/>
      <c r="C31" s="1286"/>
      <c r="D31" s="1286"/>
      <c r="E31" s="1286"/>
      <c r="F31" s="1286"/>
      <c r="G31" s="1286"/>
      <c r="H31" s="1286"/>
      <c r="I31" s="1286"/>
      <c r="J31" s="1286"/>
      <c r="K31" s="1286"/>
      <c r="L31" s="1287"/>
      <c r="M31" s="1286"/>
      <c r="N31" s="1286"/>
      <c r="O31" s="1286"/>
      <c r="S31" s="4403" t="s">
        <v>442</v>
      </c>
      <c r="T31" s="4403"/>
      <c r="U31" s="1290"/>
      <c r="V31" s="4405" t="str">
        <f>IF(TITLE_NUMBER_PR_CHANGE="",IF(TITLE_NUMBER_PR="","",TITLE_NUMBER_PR),TITLE_NUMBER_PR_CHANGE)</f>
        <v>51/110</v>
      </c>
      <c r="W31" s="4405"/>
      <c r="X31" s="4405"/>
      <c r="Y31" s="4405"/>
      <c r="Z31" s="4405"/>
      <c r="AA31" s="4405"/>
      <c r="AB31" s="4405"/>
      <c r="AC31" s="262"/>
      <c r="AD31" s="4405" t="str">
        <f>IF(TITLE_NUMBER_PR_CHANGE="",IF(TITLE_NUMBER_PR="","",TITLE_NUMBER_PR),TITLE_NUMBER_PR_CHANGE)</f>
        <v>51/110</v>
      </c>
      <c r="AE31" s="4405"/>
      <c r="AF31" s="4405"/>
      <c r="AG31" s="4405"/>
      <c r="AH31" s="4405"/>
      <c r="AI31" s="4405"/>
      <c r="AJ31" s="4405"/>
      <c r="AK31" s="262"/>
      <c r="AL31" s="262"/>
      <c r="AM31" s="216"/>
      <c r="AN31" s="303"/>
      <c r="AO31" s="303"/>
      <c r="AP31" s="303"/>
      <c r="AQ31" s="303"/>
      <c r="AR31" s="303"/>
      <c r="AS31" s="353">
        <v>0</v>
      </c>
    </row>
    <row r="32" spans="1:45" s="4149" customFormat="1" ht="18.75" customHeight="1">
      <c r="A32" s="1286"/>
      <c r="B32" s="1286"/>
      <c r="C32" s="1286"/>
      <c r="D32" s="1286"/>
      <c r="E32" s="1286"/>
      <c r="F32" s="1286"/>
      <c r="G32" s="1286"/>
      <c r="H32" s="1286"/>
      <c r="I32" s="1286"/>
      <c r="J32" s="1286"/>
      <c r="K32" s="1286"/>
      <c r="L32" s="1287"/>
      <c r="M32" s="1286"/>
      <c r="N32" s="1286"/>
      <c r="O32" s="1286"/>
      <c r="S32" s="4403" t="s">
        <v>44</v>
      </c>
      <c r="T32" s="4403"/>
      <c r="U32" s="1290"/>
      <c r="V32" s="4405" t="str">
        <f>IF(TITLE_IST_PUB_CHANGE="",IF(TITLE_IST_PUB="","",TITLE_IST_PUB),TITLE_IST_PUB_CHANGE)</f>
        <v>https://npa.gov-murman.ru/bitrix/components/b1team/govmurman.element.file/download.php?ID=537820&amp;FID=814582</v>
      </c>
      <c r="W32" s="4405"/>
      <c r="X32" s="4405"/>
      <c r="Y32" s="4405"/>
      <c r="Z32" s="4405"/>
      <c r="AA32" s="4405"/>
      <c r="AB32" s="4405"/>
      <c r="AC32" s="262"/>
      <c r="AD32" s="4405" t="str">
        <f>IF(TITLE_IST_PUB_CHANGE="",IF(TITLE_IST_PUB="","",TITLE_IST_PUB),TITLE_IST_PUB_CHANGE)</f>
        <v>https://npa.gov-murman.ru/bitrix/components/b1team/govmurman.element.file/download.php?ID=537820&amp;FID=814582</v>
      </c>
      <c r="AE32" s="4405"/>
      <c r="AF32" s="4405"/>
      <c r="AG32" s="4405"/>
      <c r="AH32" s="4405"/>
      <c r="AI32" s="4405"/>
      <c r="AJ32" s="440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4149" customFormat="1" ht="18.75" hidden="1" customHeight="1">
      <c r="A34" s="1286"/>
      <c r="B34" s="1286"/>
      <c r="C34" s="1286"/>
      <c r="D34" s="1286"/>
      <c r="E34" s="1286"/>
      <c r="F34" s="1286"/>
      <c r="G34" s="1286"/>
      <c r="H34" s="1286"/>
      <c r="I34" s="1286"/>
      <c r="J34" s="1286"/>
      <c r="K34" s="1286"/>
      <c r="L34" s="1287"/>
      <c r="M34" s="1286"/>
      <c r="N34" s="1286"/>
      <c r="O34" s="1286"/>
      <c r="S34" s="4403" t="s">
        <v>443</v>
      </c>
      <c r="T34" s="4403"/>
      <c r="U34" s="1290"/>
      <c r="V34" s="4404">
        <f>IF(TITLE_DATE_PR_CHANGE="",IF(TITLE_DATE_PR="","",TITLE_DATE_PR),TITLE_DATE_PR_CHANGE)</f>
        <v>45646</v>
      </c>
      <c r="W34" s="4404"/>
      <c r="X34" s="4404"/>
      <c r="Y34" s="4404"/>
      <c r="Z34" s="4404"/>
      <c r="AA34" s="4404"/>
      <c r="AB34" s="4404"/>
      <c r="AC34" s="262"/>
      <c r="AD34" s="4404">
        <f>IF(TITLE_DATE_PR_CHANGE="",IF(TITLE_DATE_PR="","",TITLE_DATE_PR),TITLE_DATE_PR_CHANGE)</f>
        <v>45646</v>
      </c>
      <c r="AE34" s="4404"/>
      <c r="AF34" s="4404"/>
      <c r="AG34" s="4404"/>
      <c r="AH34" s="4404"/>
      <c r="AI34" s="4404"/>
      <c r="AJ34" s="4404"/>
      <c r="AK34" s="262"/>
      <c r="AL34" s="262"/>
      <c r="AM34" s="216"/>
      <c r="AN34" s="303"/>
      <c r="AO34" s="303"/>
      <c r="AP34" s="303"/>
      <c r="AQ34" s="303"/>
      <c r="AR34" s="303"/>
      <c r="AS34" s="353">
        <v>0</v>
      </c>
    </row>
    <row r="35" spans="1:45" s="4149" customFormat="1" ht="25.5" hidden="1" customHeight="1">
      <c r="A35" s="1286"/>
      <c r="B35" s="1286"/>
      <c r="C35" s="1286"/>
      <c r="D35" s="1286"/>
      <c r="E35" s="1286"/>
      <c r="F35" s="1286"/>
      <c r="G35" s="1286"/>
      <c r="H35" s="1286"/>
      <c r="I35" s="1286"/>
      <c r="J35" s="1286"/>
      <c r="K35" s="1286"/>
      <c r="L35" s="1287"/>
      <c r="M35" s="1286"/>
      <c r="N35" s="1286"/>
      <c r="O35" s="1286"/>
      <c r="S35" s="4403" t="s">
        <v>444</v>
      </c>
      <c r="T35" s="4403"/>
      <c r="U35" s="1290"/>
      <c r="V35" s="4405" t="str">
        <f>IF(TITLE_NUMBER_PR_CHANGE="",IF(TITLE_NUMBER_PR="","",TITLE_NUMBER_PR),TITLE_NUMBER_PR_CHANGE)</f>
        <v>51/110</v>
      </c>
      <c r="W35" s="4405"/>
      <c r="X35" s="4405"/>
      <c r="Y35" s="4405"/>
      <c r="Z35" s="4405"/>
      <c r="AA35" s="4405"/>
      <c r="AB35" s="4405"/>
      <c r="AC35" s="262"/>
      <c r="AD35" s="4405" t="str">
        <f>IF(TITLE_NUMBER_PR_CHANGE="",IF(TITLE_NUMBER_PR="","",TITLE_NUMBER_PR),TITLE_NUMBER_PR_CHANGE)</f>
        <v>51/110</v>
      </c>
      <c r="AE35" s="4405"/>
      <c r="AF35" s="4405"/>
      <c r="AG35" s="4405"/>
      <c r="AH35" s="4405"/>
      <c r="AI35" s="4405"/>
      <c r="AJ35" s="4405"/>
      <c r="AK35" s="262"/>
      <c r="AL35" s="262"/>
      <c r="AM35" s="216"/>
      <c r="AN35" s="303"/>
      <c r="AO35" s="303"/>
      <c r="AP35" s="303"/>
      <c r="AQ35" s="303"/>
      <c r="AR35" s="303"/>
      <c r="AS35" s="353">
        <v>0</v>
      </c>
    </row>
    <row r="36" spans="1:45" s="4149"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445</v>
      </c>
      <c r="AD36" s="262"/>
      <c r="AE36" s="262"/>
      <c r="AF36" s="262"/>
      <c r="AG36" s="262"/>
      <c r="AH36" s="262"/>
      <c r="AI36" s="262"/>
      <c r="AJ36" s="262"/>
      <c r="AK36" s="214" t="s">
        <v>445</v>
      </c>
      <c r="AN36" s="303"/>
      <c r="AO36" s="303"/>
      <c r="AP36" s="303"/>
      <c r="AQ36" s="303"/>
      <c r="AR36" s="303"/>
      <c r="AS36" s="353">
        <v>0</v>
      </c>
    </row>
    <row r="37" spans="1:45" ht="14.65" customHeight="1">
      <c r="Q37" s="311"/>
      <c r="R37" s="311"/>
      <c r="S37" s="1193"/>
      <c r="T37" s="298"/>
      <c r="U37" s="1162"/>
      <c r="V37" s="4424"/>
      <c r="W37" s="4424"/>
      <c r="X37" s="4424"/>
      <c r="Y37" s="4424"/>
      <c r="Z37" s="4424"/>
      <c r="AA37" s="4424"/>
      <c r="AB37" s="4424"/>
      <c r="AC37" s="4424"/>
      <c r="AD37" s="4424"/>
      <c r="AE37" s="4424"/>
      <c r="AF37" s="4424"/>
      <c r="AG37" s="4424"/>
      <c r="AH37" s="4424"/>
      <c r="AI37" s="4424"/>
      <c r="AJ37" s="4424"/>
      <c r="AK37" s="4424"/>
      <c r="AS37" s="1073">
        <v>14</v>
      </c>
    </row>
    <row r="38" spans="1:45" ht="14.65" customHeight="1">
      <c r="Q38" s="311"/>
      <c r="R38" s="311"/>
      <c r="S38" s="4274" t="s">
        <v>321</v>
      </c>
      <c r="T38" s="4274"/>
      <c r="U38" s="4274"/>
      <c r="V38" s="4274"/>
      <c r="W38" s="4274"/>
      <c r="X38" s="4274"/>
      <c r="Y38" s="4274"/>
      <c r="Z38" s="4274"/>
      <c r="AA38" s="4274"/>
      <c r="AB38" s="4274"/>
      <c r="AC38" s="4274"/>
      <c r="AD38" s="4274"/>
      <c r="AE38" s="4274"/>
      <c r="AF38" s="4274"/>
      <c r="AG38" s="4274"/>
      <c r="AH38" s="4274"/>
      <c r="AI38" s="4274"/>
      <c r="AJ38" s="4274"/>
      <c r="AK38" s="4274"/>
      <c r="AL38" s="4274"/>
      <c r="AM38" s="4274" t="s">
        <v>322</v>
      </c>
      <c r="AS38" s="1073">
        <v>14</v>
      </c>
    </row>
    <row r="39" spans="1:45" ht="14.65" customHeight="1">
      <c r="Q39" s="311"/>
      <c r="R39" s="311"/>
      <c r="S39" s="4425" t="s">
        <v>92</v>
      </c>
      <c r="T39" s="4373" t="s">
        <v>446</v>
      </c>
      <c r="U39" s="237"/>
      <c r="V39" s="4426" t="s">
        <v>447</v>
      </c>
      <c r="W39" s="4427"/>
      <c r="X39" s="4427"/>
      <c r="Y39" s="4427"/>
      <c r="Z39" s="4427"/>
      <c r="AA39" s="4427"/>
      <c r="AB39" s="4428"/>
      <c r="AC39" s="4429" t="s">
        <v>448</v>
      </c>
      <c r="AD39" s="4426" t="s">
        <v>447</v>
      </c>
      <c r="AE39" s="4427"/>
      <c r="AF39" s="4427"/>
      <c r="AG39" s="4427"/>
      <c r="AH39" s="4427"/>
      <c r="AI39" s="4427"/>
      <c r="AJ39" s="4428"/>
      <c r="AK39" s="4429" t="s">
        <v>449</v>
      </c>
      <c r="AL39" s="4432" t="s">
        <v>450</v>
      </c>
      <c r="AM39" s="4274"/>
      <c r="AS39" s="1073">
        <v>14</v>
      </c>
    </row>
    <row r="40" spans="1:45" ht="35.65" customHeight="1">
      <c r="Q40" s="311"/>
      <c r="R40" s="311"/>
      <c r="S40" s="4425"/>
      <c r="T40" s="4373"/>
      <c r="U40" s="953"/>
      <c r="V40" s="4345" t="s">
        <v>451</v>
      </c>
      <c r="W40" s="4421"/>
      <c r="X40" s="4256" t="s">
        <v>453</v>
      </c>
      <c r="Y40" s="4255"/>
      <c r="Z40" s="4256" t="s">
        <v>454</v>
      </c>
      <c r="AA40" s="4261"/>
      <c r="AB40" s="4255"/>
      <c r="AC40" s="4430"/>
      <c r="AD40" s="4345" t="s">
        <v>471</v>
      </c>
      <c r="AE40" s="4421"/>
      <c r="AF40" s="4256" t="s">
        <v>453</v>
      </c>
      <c r="AG40" s="4255"/>
      <c r="AH40" s="4256" t="s">
        <v>454</v>
      </c>
      <c r="AI40" s="4261"/>
      <c r="AJ40" s="4255"/>
      <c r="AK40" s="4430"/>
      <c r="AL40" s="4433"/>
      <c r="AM40" s="4274"/>
      <c r="AS40" s="1073">
        <v>34</v>
      </c>
    </row>
    <row r="41" spans="1:45" ht="35.65" customHeight="1">
      <c r="A41" s="1288"/>
      <c r="B41" s="1288" t="s">
        <v>138</v>
      </c>
      <c r="C41" s="1288" t="s">
        <v>139</v>
      </c>
      <c r="D41" s="1288" t="s">
        <v>140</v>
      </c>
      <c r="E41" s="1282" t="s">
        <v>455</v>
      </c>
      <c r="F41" s="1282" t="s">
        <v>456</v>
      </c>
      <c r="G41" s="1282" t="s">
        <v>457</v>
      </c>
      <c r="H41" s="1282" t="s">
        <v>458</v>
      </c>
      <c r="I41" s="1282" t="s">
        <v>459</v>
      </c>
      <c r="J41" s="1282" t="s">
        <v>460</v>
      </c>
      <c r="K41" s="1282" t="s">
        <v>461</v>
      </c>
      <c r="L41" s="1282" t="s">
        <v>436</v>
      </c>
      <c r="Q41" s="311"/>
      <c r="R41" s="311"/>
      <c r="S41" s="4425"/>
      <c r="T41" s="4373"/>
      <c r="U41" s="238"/>
      <c r="V41" s="4398"/>
      <c r="W41" s="4422"/>
      <c r="X41" s="1140" t="s">
        <v>462</v>
      </c>
      <c r="Y41" s="1140" t="s">
        <v>463</v>
      </c>
      <c r="Z41" s="1256" t="s">
        <v>464</v>
      </c>
      <c r="AA41" s="4378" t="s">
        <v>465</v>
      </c>
      <c r="AB41" s="4392"/>
      <c r="AC41" s="4431"/>
      <c r="AD41" s="4398"/>
      <c r="AE41" s="4422"/>
      <c r="AF41" s="1140" t="s">
        <v>462</v>
      </c>
      <c r="AG41" s="1140" t="s">
        <v>463</v>
      </c>
      <c r="AH41" s="1256" t="s">
        <v>464</v>
      </c>
      <c r="AI41" s="4378" t="s">
        <v>465</v>
      </c>
      <c r="AJ41" s="4392"/>
      <c r="AK41" s="4431"/>
      <c r="AL41" s="4434"/>
      <c r="AM41" s="4274"/>
      <c r="AS41" s="1073">
        <v>34</v>
      </c>
    </row>
    <row r="42" spans="1:45" s="416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114</v>
      </c>
      <c r="U42" s="1163" t="str">
        <f ca="1">OFFSET(U42,0,-1)</f>
        <v>2</v>
      </c>
      <c r="V42" s="1253">
        <f ca="1">OFFSET(V42,0,-1)+1</f>
        <v>3</v>
      </c>
      <c r="W42" s="1253"/>
      <c r="X42" s="1253">
        <f ca="1">OFFSET(X42,0,-1)+1</f>
        <v>1</v>
      </c>
      <c r="Y42" s="1253">
        <f ca="1">OFFSET(Y42,0,-1)+1</f>
        <v>2</v>
      </c>
      <c r="Z42" s="1253">
        <f ca="1">OFFSET(Z42,0,-1)+1</f>
        <v>3</v>
      </c>
      <c r="AA42" s="4423">
        <f ca="1">OFFSET(AA42,0,-1)+1</f>
        <v>4</v>
      </c>
      <c r="AB42" s="4423"/>
      <c r="AC42" s="1253">
        <f ca="1">OFFSET(AC42,0,-2)+1</f>
        <v>5</v>
      </c>
      <c r="AD42" s="1253">
        <f ca="1">OFFSET(AD42,0,-1)+1</f>
        <v>6</v>
      </c>
      <c r="AE42" s="1253"/>
      <c r="AF42" s="1253">
        <f ca="1">OFFSET(AF42,0,-1)+1</f>
        <v>1</v>
      </c>
      <c r="AG42" s="1253">
        <f ca="1">OFFSET(AG42,0,-1)+1</f>
        <v>2</v>
      </c>
      <c r="AH42" s="1253">
        <f ca="1">OFFSET(AH42,0,-1)+1</f>
        <v>3</v>
      </c>
      <c r="AI42" s="4423">
        <f ca="1">OFFSET(AI42,0,-1)+1</f>
        <v>4</v>
      </c>
      <c r="AJ42" s="4423"/>
      <c r="AK42" s="1253">
        <f ca="1">OFFSET(AK42,0,-2)+1</f>
        <v>5</v>
      </c>
      <c r="AL42" s="1163">
        <f ca="1">OFFSET(AL42,0,-1)</f>
        <v>5</v>
      </c>
      <c r="AM42" s="1253">
        <f ca="1">OFFSET(AM42,0,-1)+1</f>
        <v>6</v>
      </c>
      <c r="AN42" s="446"/>
      <c r="AO42" s="446"/>
      <c r="AP42" s="446"/>
      <c r="AQ42" s="446"/>
      <c r="AR42" s="446"/>
      <c r="AS42" s="431">
        <v>0</v>
      </c>
    </row>
    <row r="43" spans="1:45" ht="21.95" customHeight="1">
      <c r="A43" s="1281" t="s">
        <v>209</v>
      </c>
      <c r="B43" s="1281"/>
      <c r="C43" s="1281"/>
      <c r="D43" s="1281"/>
      <c r="E43" s="441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126</v>
      </c>
      <c r="U43" s="236"/>
      <c r="V43" s="4406"/>
      <c r="W43" s="4407"/>
      <c r="X43" s="4407"/>
      <c r="Y43" s="4407"/>
      <c r="Z43" s="4407"/>
      <c r="AA43" s="4407"/>
      <c r="AB43" s="4407"/>
      <c r="AC43" s="4408"/>
      <c r="AD43" s="4406" t="str">
        <f>INDEX(PT_DIFFERENTIATION_NTAR,MATCH(A43,PT_DIFFERENTIATION_NTAR_ID,0))</f>
        <v/>
      </c>
      <c r="AE43" s="4407"/>
      <c r="AF43" s="4407"/>
      <c r="AG43" s="4407"/>
      <c r="AH43" s="4407"/>
      <c r="AI43" s="4407"/>
      <c r="AJ43" s="4407"/>
      <c r="AK43" s="4407"/>
      <c r="AL43" s="440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209</v>
      </c>
      <c r="B44" s="1281" t="s">
        <v>210</v>
      </c>
      <c r="C44" s="1281"/>
      <c r="D44" s="1281"/>
      <c r="E44" s="4413"/>
      <c r="F44" s="4412">
        <v>1</v>
      </c>
      <c r="G44" s="1281"/>
      <c r="H44" s="1281"/>
      <c r="I44" s="1281"/>
      <c r="J44" s="1281"/>
      <c r="K44" s="1281"/>
      <c r="L44" s="1282"/>
      <c r="M44" s="1283"/>
      <c r="N44" s="1283"/>
      <c r="O44" s="1283"/>
      <c r="P44" s="1250"/>
      <c r="Q44" s="287"/>
      <c r="R44" s="288"/>
      <c r="S44" s="1254" t="str">
        <f>INDEX(PT_DIFFERENTIATION_NUM_TER,MATCH(B44,PT_DIFFERENTIATION_TER_ID,0))</f>
        <v>.</v>
      </c>
      <c r="T44" s="244" t="s">
        <v>418</v>
      </c>
      <c r="U44" s="236"/>
      <c r="V44" s="4406"/>
      <c r="W44" s="4407"/>
      <c r="X44" s="4407"/>
      <c r="Y44" s="4407"/>
      <c r="Z44" s="4407"/>
      <c r="AA44" s="4407"/>
      <c r="AB44" s="4407"/>
      <c r="AC44" s="4408"/>
      <c r="AD44" s="4406" t="str">
        <f>INDEX(PT_DIFFERENTIATION_TER,MATCH(B44,PT_DIFFERENTIATION_TER_ID,0))</f>
        <v/>
      </c>
      <c r="AE44" s="4407"/>
      <c r="AF44" s="4407"/>
      <c r="AG44" s="4407"/>
      <c r="AH44" s="4407"/>
      <c r="AI44" s="4407"/>
      <c r="AJ44" s="4407"/>
      <c r="AK44" s="4407"/>
      <c r="AL44" s="4408"/>
      <c r="AM44" s="1176" t="s">
        <v>419</v>
      </c>
      <c r="AO44" s="435"/>
      <c r="AP44" s="435" t="str">
        <f t="shared" si="1"/>
        <v>Территория действия тарифа</v>
      </c>
      <c r="AQ44" s="435"/>
      <c r="AR44" s="435"/>
      <c r="AS44" s="1073">
        <v>21</v>
      </c>
    </row>
    <row r="45" spans="1:45" ht="24" customHeight="1">
      <c r="A45" s="1281" t="s">
        <v>209</v>
      </c>
      <c r="B45" s="1281" t="s">
        <v>210</v>
      </c>
      <c r="C45" s="1281" t="s">
        <v>211</v>
      </c>
      <c r="D45" s="1281"/>
      <c r="E45" s="4413"/>
      <c r="F45" s="4413"/>
      <c r="G45" s="4412">
        <v>1</v>
      </c>
      <c r="H45" s="1281"/>
      <c r="I45" s="1281"/>
      <c r="J45" s="1281"/>
      <c r="K45" s="1281"/>
      <c r="L45" s="1282"/>
      <c r="M45" s="1283"/>
      <c r="N45" s="1283"/>
      <c r="O45" s="1283"/>
      <c r="P45" s="289"/>
      <c r="Q45" s="287"/>
      <c r="R45" s="288"/>
      <c r="S45" s="1254" t="str">
        <f>INDEX(PT_DIFFERENTIATION_NUM_CS,MATCH(C45,PT_DIFFERENTIATION_CS_ID,0))</f>
        <v>..</v>
      </c>
      <c r="T45" s="245" t="s">
        <v>420</v>
      </c>
      <c r="U45" s="236"/>
      <c r="V45" s="4406"/>
      <c r="W45" s="4407"/>
      <c r="X45" s="4407"/>
      <c r="Y45" s="4407"/>
      <c r="Z45" s="4407"/>
      <c r="AA45" s="4407"/>
      <c r="AB45" s="4407"/>
      <c r="AC45" s="4408"/>
      <c r="AD45" s="4406" t="str">
        <f>INDEX(PT_DIFFERENTIATION_CS,MATCH(C45,PT_DIFFERENTIATION_CS_ID,0))</f>
        <v/>
      </c>
      <c r="AE45" s="4407"/>
      <c r="AF45" s="4407"/>
      <c r="AG45" s="4407"/>
      <c r="AH45" s="4407"/>
      <c r="AI45" s="4407"/>
      <c r="AJ45" s="4407"/>
      <c r="AK45" s="4407"/>
      <c r="AL45" s="4408"/>
      <c r="AM45" s="1176" t="s">
        <v>421</v>
      </c>
      <c r="AO45" s="435"/>
      <c r="AP45" s="435" t="str">
        <f t="shared" si="1"/>
        <v xml:space="preserve">Наименование системы теплоснабжения </v>
      </c>
      <c r="AQ45" s="435"/>
      <c r="AR45" s="435"/>
      <c r="AS45" s="1073">
        <v>23</v>
      </c>
    </row>
    <row r="46" spans="1:45" ht="21.95" customHeight="1">
      <c r="A46" s="1281" t="s">
        <v>209</v>
      </c>
      <c r="B46" s="1281" t="s">
        <v>210</v>
      </c>
      <c r="C46" s="1281" t="s">
        <v>211</v>
      </c>
      <c r="D46" s="1281" t="s">
        <v>212</v>
      </c>
      <c r="E46" s="4413"/>
      <c r="F46" s="4413"/>
      <c r="G46" s="4413"/>
      <c r="H46" s="4412">
        <v>1</v>
      </c>
      <c r="I46" s="1281"/>
      <c r="J46" s="1281"/>
      <c r="K46" s="1281"/>
      <c r="L46" s="1282"/>
      <c r="M46" s="1283"/>
      <c r="N46" s="1283"/>
      <c r="O46" s="1283"/>
      <c r="P46" s="289"/>
      <c r="Q46" s="287"/>
      <c r="R46" s="288"/>
      <c r="S46" s="1254" t="str">
        <f>INDEX(PT_DIFFERENTIATION_NUM_IST_TE,MATCH(D46,PT_DIFFERENTIATION_IST_TE_ID,0))</f>
        <v>...</v>
      </c>
      <c r="T46" s="246" t="s">
        <v>422</v>
      </c>
      <c r="U46" s="236"/>
      <c r="V46" s="4406"/>
      <c r="W46" s="4407"/>
      <c r="X46" s="4407"/>
      <c r="Y46" s="4407"/>
      <c r="Z46" s="4407"/>
      <c r="AA46" s="4407"/>
      <c r="AB46" s="4407"/>
      <c r="AC46" s="4408"/>
      <c r="AD46" s="4406" t="str">
        <f>INDEX(PT_DIFFERENTIATION_IST_TE,MATCH(D46,PT_DIFFERENTIATION_IST_TE_ID,0))</f>
        <v/>
      </c>
      <c r="AE46" s="4407"/>
      <c r="AF46" s="4407"/>
      <c r="AG46" s="4407"/>
      <c r="AH46" s="4407"/>
      <c r="AI46" s="4407"/>
      <c r="AJ46" s="4407"/>
      <c r="AK46" s="4407"/>
      <c r="AL46" s="4408"/>
      <c r="AM46" s="1176" t="s">
        <v>423</v>
      </c>
      <c r="AO46" s="435"/>
      <c r="AP46" s="435" t="str">
        <f t="shared" si="1"/>
        <v xml:space="preserve">Источник тепловой энергии  </v>
      </c>
      <c r="AQ46" s="435"/>
      <c r="AR46" s="435"/>
      <c r="AS46" s="1073">
        <v>21</v>
      </c>
    </row>
    <row r="47" spans="1:45" s="4140" customFormat="1" ht="0" hidden="1" customHeight="1">
      <c r="A47" s="1261" t="s">
        <v>209</v>
      </c>
      <c r="B47" s="1261" t="s">
        <v>210</v>
      </c>
      <c r="C47" s="1261" t="s">
        <v>211</v>
      </c>
      <c r="D47" s="1261" t="s">
        <v>212</v>
      </c>
      <c r="E47" s="4413"/>
      <c r="F47" s="4413"/>
      <c r="G47" s="4413"/>
      <c r="H47" s="4413"/>
      <c r="I47" s="4414" t="str">
        <f>S46&amp;".1"</f>
        <v>....1</v>
      </c>
      <c r="J47" s="1261"/>
      <c r="K47" s="1261"/>
      <c r="L47" s="1264" t="s">
        <v>424</v>
      </c>
      <c r="M47" s="445"/>
      <c r="N47" s="445"/>
      <c r="O47" s="445"/>
      <c r="P47" s="4416">
        <v>1</v>
      </c>
      <c r="Q47" s="1249"/>
      <c r="R47" s="291"/>
      <c r="S47" s="964"/>
      <c r="T47" s="1301"/>
      <c r="U47" s="1302"/>
      <c r="V47" s="4443"/>
      <c r="W47" s="4444"/>
      <c r="X47" s="4444"/>
      <c r="Y47" s="4444"/>
      <c r="Z47" s="4444"/>
      <c r="AA47" s="4444"/>
      <c r="AB47" s="4444"/>
      <c r="AC47" s="4445"/>
      <c r="AD47" s="4443"/>
      <c r="AE47" s="4444"/>
      <c r="AF47" s="4444"/>
      <c r="AG47" s="4444"/>
      <c r="AH47" s="4444"/>
      <c r="AI47" s="4444"/>
      <c r="AJ47" s="4444"/>
      <c r="AK47" s="4444"/>
      <c r="AL47" s="4445"/>
      <c r="AM47" s="1303"/>
      <c r="AO47" s="435"/>
      <c r="AP47" s="435" t="str">
        <f t="shared" si="1"/>
        <v/>
      </c>
      <c r="AQ47" s="435"/>
      <c r="AR47" s="435"/>
      <c r="AS47" s="446">
        <v>0</v>
      </c>
    </row>
    <row r="48" spans="1:45" ht="21.95" customHeight="1">
      <c r="A48" s="1281" t="s">
        <v>209</v>
      </c>
      <c r="B48" s="1281" t="s">
        <v>210</v>
      </c>
      <c r="C48" s="1281" t="s">
        <v>211</v>
      </c>
      <c r="D48" s="1281" t="s">
        <v>212</v>
      </c>
      <c r="E48" s="4413"/>
      <c r="F48" s="4413"/>
      <c r="G48" s="4413"/>
      <c r="H48" s="4413"/>
      <c r="I48" s="4415"/>
      <c r="J48" s="4414" t="str">
        <f>S46&amp;".1"</f>
        <v>....1</v>
      </c>
      <c r="K48" s="1281"/>
      <c r="L48" s="1282" t="s">
        <v>427</v>
      </c>
      <c r="P48" s="4416"/>
      <c r="Q48" s="4416">
        <v>1</v>
      </c>
      <c r="R48" s="292"/>
      <c r="S48" s="1254" t="str">
        <f>$J48</f>
        <v>....1</v>
      </c>
      <c r="T48" s="222" t="s">
        <v>428</v>
      </c>
      <c r="U48" s="236"/>
      <c r="V48" s="4400"/>
      <c r="W48" s="4401"/>
      <c r="X48" s="4401"/>
      <c r="Y48" s="4401"/>
      <c r="Z48" s="4401"/>
      <c r="AA48" s="4401"/>
      <c r="AB48" s="4401"/>
      <c r="AC48" s="4402"/>
      <c r="AD48" s="4400"/>
      <c r="AE48" s="4401"/>
      <c r="AF48" s="4401"/>
      <c r="AG48" s="4401"/>
      <c r="AH48" s="4401"/>
      <c r="AI48" s="4401"/>
      <c r="AJ48" s="4401"/>
      <c r="AK48" s="4401"/>
      <c r="AL48" s="4402"/>
      <c r="AM48" s="1176" t="s">
        <v>429</v>
      </c>
      <c r="AO48" s="435"/>
      <c r="AP48" s="435" t="str">
        <f t="shared" si="1"/>
        <v>Группа потребителей</v>
      </c>
      <c r="AQ48" s="435"/>
      <c r="AR48" s="435"/>
      <c r="AS48" s="1073">
        <v>21</v>
      </c>
    </row>
    <row r="49" spans="1:45" ht="21.95" customHeight="1">
      <c r="A49" s="1281" t="s">
        <v>209</v>
      </c>
      <c r="B49" s="1281" t="s">
        <v>210</v>
      </c>
      <c r="C49" s="1281" t="s">
        <v>211</v>
      </c>
      <c r="D49" s="1281" t="s">
        <v>212</v>
      </c>
      <c r="E49" s="4413"/>
      <c r="F49" s="4413"/>
      <c r="G49" s="4413"/>
      <c r="H49" s="4413"/>
      <c r="I49" s="4415"/>
      <c r="J49" s="4415"/>
      <c r="K49" s="4414" t="str">
        <f>J48&amp;".1"</f>
        <v>....1.1</v>
      </c>
      <c r="L49" s="1282" t="s">
        <v>430</v>
      </c>
      <c r="P49" s="4416"/>
      <c r="Q49" s="4416"/>
      <c r="R49" s="292">
        <v>1</v>
      </c>
      <c r="S49" s="1254" t="str">
        <f>$K49</f>
        <v>....1.1</v>
      </c>
      <c r="T49" s="1265"/>
      <c r="U49" s="236"/>
      <c r="V49" s="686"/>
      <c r="W49" s="261"/>
      <c r="X49" s="686"/>
      <c r="Y49" s="1175"/>
      <c r="Z49" s="4417"/>
      <c r="AA49" s="4284" t="s">
        <v>65</v>
      </c>
      <c r="AB49" s="4417"/>
      <c r="AC49" s="4284" t="s">
        <v>65</v>
      </c>
      <c r="AD49" s="686"/>
      <c r="AE49" s="261"/>
      <c r="AF49" s="686"/>
      <c r="AG49" s="1175"/>
      <c r="AH49" s="4417"/>
      <c r="AI49" s="4284" t="s">
        <v>65</v>
      </c>
      <c r="AJ49" s="4419"/>
      <c r="AK49" s="4284" t="s">
        <v>65</v>
      </c>
      <c r="AL49" s="1266"/>
      <c r="AM49" s="4435" t="s">
        <v>472</v>
      </c>
      <c r="AN49" s="446" t="e">
        <f ca="1">STRCHECKDATE(V50:AL50)</f>
        <v>#NAME?</v>
      </c>
      <c r="AO49" s="435"/>
      <c r="AP49" s="435" t="str">
        <f t="shared" si="1"/>
        <v/>
      </c>
      <c r="AQ49" s="435"/>
      <c r="AR49" s="435"/>
      <c r="AS49" s="1073">
        <v>21</v>
      </c>
    </row>
    <row r="50" spans="1:45" ht="0" hidden="1" customHeight="1">
      <c r="A50" s="1281" t="s">
        <v>209</v>
      </c>
      <c r="B50" s="1281" t="s">
        <v>210</v>
      </c>
      <c r="C50" s="1281" t="s">
        <v>211</v>
      </c>
      <c r="D50" s="1281" t="s">
        <v>212</v>
      </c>
      <c r="E50" s="4413"/>
      <c r="F50" s="4413"/>
      <c r="G50" s="4413"/>
      <c r="H50" s="4413"/>
      <c r="I50" s="4415"/>
      <c r="J50" s="4415"/>
      <c r="K50" s="4414"/>
      <c r="L50" s="1282"/>
      <c r="P50" s="4416"/>
      <c r="Q50" s="4416"/>
      <c r="R50" s="292"/>
      <c r="S50" s="1260"/>
      <c r="T50" s="236"/>
      <c r="U50" s="236"/>
      <c r="V50" s="261"/>
      <c r="W50" s="261"/>
      <c r="X50" s="261"/>
      <c r="Y50" s="264" t="str">
        <f>Z49&amp;"-"&amp;AB49</f>
        <v>-</v>
      </c>
      <c r="Z50" s="4418"/>
      <c r="AA50" s="4284"/>
      <c r="AB50" s="4418"/>
      <c r="AC50" s="4284"/>
      <c r="AD50" s="261"/>
      <c r="AE50" s="261"/>
      <c r="AF50" s="261"/>
      <c r="AG50" s="264" t="str">
        <f>AH49&amp;"-"&amp;AJ49</f>
        <v>-</v>
      </c>
      <c r="AH50" s="4418"/>
      <c r="AI50" s="4284"/>
      <c r="AJ50" s="4420"/>
      <c r="AK50" s="4284"/>
      <c r="AL50" s="1267"/>
      <c r="AM50" s="4436"/>
      <c r="AO50" s="435"/>
      <c r="AP50" s="435" t="str">
        <f t="shared" si="1"/>
        <v/>
      </c>
      <c r="AQ50" s="435"/>
      <c r="AR50" s="435"/>
      <c r="AS50" s="1073">
        <v>0</v>
      </c>
    </row>
    <row r="51" spans="1:45" ht="11.45" customHeight="1">
      <c r="A51" s="1281" t="s">
        <v>209</v>
      </c>
      <c r="B51" s="1281" t="s">
        <v>210</v>
      </c>
      <c r="C51" s="1281" t="s">
        <v>211</v>
      </c>
      <c r="D51" s="1281" t="s">
        <v>212</v>
      </c>
      <c r="E51" s="4413"/>
      <c r="F51" s="4413"/>
      <c r="G51" s="4413"/>
      <c r="H51" s="4413"/>
      <c r="I51" s="4415"/>
      <c r="J51" s="4414"/>
      <c r="K51" s="1281"/>
      <c r="L51" s="1282"/>
      <c r="P51" s="4416"/>
      <c r="Q51" s="4416"/>
      <c r="R51" s="291"/>
      <c r="S51" s="1196"/>
      <c r="T51" s="223" t="s">
        <v>432</v>
      </c>
      <c r="U51" s="302"/>
      <c r="V51" s="302"/>
      <c r="W51" s="302"/>
      <c r="X51" s="302"/>
      <c r="Y51" s="302"/>
      <c r="Z51" s="302"/>
      <c r="AA51" s="302"/>
      <c r="AB51" s="302"/>
      <c r="AC51" s="302"/>
      <c r="AD51" s="302"/>
      <c r="AE51" s="302"/>
      <c r="AF51" s="302"/>
      <c r="AG51" s="302"/>
      <c r="AH51" s="302"/>
      <c r="AI51" s="302"/>
      <c r="AJ51" s="302"/>
      <c r="AK51" s="302"/>
      <c r="AL51" s="260"/>
      <c r="AM51" s="4437"/>
      <c r="AO51" s="435"/>
      <c r="AP51" s="435" t="str">
        <f t="shared" si="1"/>
        <v>Добавить вид теплоносителя (параметры теплоносителя)</v>
      </c>
      <c r="AQ51" s="435"/>
      <c r="AR51" s="435"/>
      <c r="AS51" s="1073">
        <v>11</v>
      </c>
    </row>
    <row r="52" spans="1:45" ht="11.45" customHeight="1">
      <c r="A52" s="1281" t="s">
        <v>209</v>
      </c>
      <c r="B52" s="1281" t="s">
        <v>210</v>
      </c>
      <c r="C52" s="1281" t="s">
        <v>211</v>
      </c>
      <c r="D52" s="1281" t="s">
        <v>212</v>
      </c>
      <c r="E52" s="4413"/>
      <c r="F52" s="4413"/>
      <c r="G52" s="4413"/>
      <c r="H52" s="4413"/>
      <c r="I52" s="4414"/>
      <c r="J52" s="1281"/>
      <c r="K52" s="1281"/>
      <c r="L52" s="1282"/>
      <c r="P52" s="4416"/>
      <c r="Q52" s="1249"/>
      <c r="R52" s="291"/>
      <c r="S52" s="1196"/>
      <c r="T52" s="300" t="s">
        <v>433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209</v>
      </c>
      <c r="B53" s="1281" t="s">
        <v>210</v>
      </c>
      <c r="C53" s="1281" t="s">
        <v>211</v>
      </c>
      <c r="D53" s="1281" t="s">
        <v>212</v>
      </c>
      <c r="E53" s="4413"/>
      <c r="F53" s="4413"/>
      <c r="G53" s="4413"/>
      <c r="H53" s="441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4140" customFormat="1" ht="0" hidden="1" customHeight="1">
      <c r="A54" s="1261" t="s">
        <v>209</v>
      </c>
      <c r="B54" s="1261" t="s">
        <v>210</v>
      </c>
      <c r="C54" s="1261" t="s">
        <v>211</v>
      </c>
      <c r="D54" s="1232"/>
      <c r="E54" s="4413"/>
      <c r="F54" s="4413"/>
      <c r="G54" s="4412"/>
      <c r="H54" s="1232"/>
      <c r="I54" s="1232"/>
      <c r="J54" s="1232"/>
      <c r="K54" s="1232"/>
      <c r="L54" s="1257"/>
      <c r="M54" s="1233"/>
      <c r="N54" s="1233"/>
      <c r="P54" s="1234"/>
      <c r="Q54" s="1235"/>
      <c r="R54" s="1234"/>
      <c r="S54" s="1240"/>
      <c r="T54" s="1243" t="s">
        <v>172</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4140" customFormat="1" ht="0" hidden="1" customHeight="1">
      <c r="A55" s="1261" t="s">
        <v>209</v>
      </c>
      <c r="B55" s="1261" t="s">
        <v>210</v>
      </c>
      <c r="C55" s="1232"/>
      <c r="D55" s="1232"/>
      <c r="E55" s="4413"/>
      <c r="F55" s="4412"/>
      <c r="G55" s="1232"/>
      <c r="H55" s="1232"/>
      <c r="I55" s="1232"/>
      <c r="J55" s="1232"/>
      <c r="K55" s="1232"/>
      <c r="L55" s="1257"/>
      <c r="M55" s="1239"/>
      <c r="N55" s="1239"/>
      <c r="P55" s="1234"/>
      <c r="Q55" s="1235"/>
      <c r="R55" s="1234"/>
      <c r="S55" s="1240"/>
      <c r="T55" s="1243" t="s">
        <v>173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4140" customFormat="1" ht="0" hidden="1" customHeight="1">
      <c r="A56" s="1261" t="s">
        <v>209</v>
      </c>
      <c r="B56" s="1261"/>
      <c r="C56" s="1261"/>
      <c r="D56" s="1261"/>
      <c r="E56" s="4412"/>
      <c r="F56" s="1261"/>
      <c r="G56" s="1261"/>
      <c r="H56" s="1261"/>
      <c r="I56" s="1261"/>
      <c r="J56" s="1261"/>
      <c r="K56" s="1261"/>
      <c r="L56" s="1264"/>
      <c r="M56" s="1239"/>
      <c r="N56" s="1239"/>
      <c r="O56" s="453"/>
      <c r="P56" s="315"/>
      <c r="Q56" s="1262"/>
      <c r="R56" s="315"/>
      <c r="S56" s="1240"/>
      <c r="T56" s="1243" t="s">
        <v>174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4140"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4411"/>
      <c r="U59" s="4411"/>
      <c r="V59" s="4411"/>
      <c r="W59" s="4411"/>
      <c r="X59" s="4411"/>
      <c r="Y59" s="4411"/>
      <c r="Z59" s="4411"/>
      <c r="AA59" s="4411"/>
      <c r="AB59" s="4411"/>
      <c r="AC59" s="4411"/>
      <c r="AD59" s="4411"/>
      <c r="AE59" s="4411"/>
      <c r="AF59" s="4411"/>
      <c r="AG59" s="4411"/>
      <c r="AH59" s="4411"/>
      <c r="AI59" s="4411"/>
      <c r="AJ59" s="4411"/>
      <c r="AK59" s="4411"/>
      <c r="AL59" s="4411"/>
      <c r="AM59" s="4411"/>
      <c r="AS59" s="1073">
        <v>14</v>
      </c>
    </row>
    <row r="60" spans="1:45" ht="14.65" customHeight="1">
      <c r="O60" s="472"/>
      <c r="T60" s="4411"/>
      <c r="U60" s="4411"/>
      <c r="V60" s="4411"/>
      <c r="W60" s="4411"/>
      <c r="X60" s="4411"/>
      <c r="Y60" s="4411"/>
      <c r="Z60" s="4411"/>
      <c r="AA60" s="4411"/>
      <c r="AB60" s="4411"/>
      <c r="AC60" s="4411"/>
      <c r="AD60" s="4411"/>
      <c r="AE60" s="4411"/>
      <c r="AF60" s="4411"/>
      <c r="AG60" s="4411"/>
      <c r="AH60" s="4411"/>
      <c r="AI60" s="4411"/>
      <c r="AJ60" s="4411"/>
      <c r="AK60" s="4411"/>
      <c r="AL60" s="4411"/>
      <c r="AM60" s="4411"/>
      <c r="AS60" s="1073">
        <v>14</v>
      </c>
    </row>
    <row r="61" spans="1:45" ht="14.65" customHeight="1">
      <c r="O61" s="472"/>
      <c r="T61" s="4411"/>
      <c r="U61" s="4411"/>
      <c r="V61" s="4411"/>
      <c r="W61" s="4411"/>
      <c r="X61" s="4411"/>
      <c r="Y61" s="4411"/>
      <c r="Z61" s="4411"/>
      <c r="AA61" s="4411"/>
      <c r="AB61" s="4411"/>
      <c r="AC61" s="4411"/>
      <c r="AD61" s="4411"/>
      <c r="AE61" s="4411"/>
      <c r="AF61" s="4411"/>
      <c r="AG61" s="4411"/>
      <c r="AH61" s="4411"/>
      <c r="AI61" s="4411"/>
      <c r="AJ61" s="4411"/>
      <c r="AK61" s="4411"/>
      <c r="AL61" s="4411"/>
      <c r="AM61" s="4411"/>
      <c r="AS61" s="1073">
        <v>14</v>
      </c>
    </row>
    <row r="62" spans="1:45" ht="14.65" customHeight="1">
      <c r="O62" s="472"/>
      <c r="AS62" s="1073">
        <v>14</v>
      </c>
    </row>
    <row r="63" spans="1:45" ht="14.65" customHeight="1">
      <c r="O63" s="472"/>
      <c r="S63" s="1171"/>
      <c r="T63" s="4314"/>
      <c r="U63" s="4411"/>
      <c r="V63" s="4411"/>
      <c r="W63" s="4411"/>
      <c r="X63" s="4411"/>
      <c r="Y63" s="4411"/>
      <c r="Z63" s="4411"/>
      <c r="AA63" s="4411"/>
      <c r="AB63" s="4411"/>
      <c r="AC63" s="4411"/>
      <c r="AD63" s="4411"/>
      <c r="AE63" s="4411"/>
      <c r="AF63" s="4411"/>
      <c r="AG63" s="4411"/>
      <c r="AH63" s="4411"/>
      <c r="AI63" s="4411"/>
      <c r="AJ63" s="4411"/>
      <c r="AK63" s="4411"/>
      <c r="AL63" s="4411"/>
      <c r="AM63" s="4411"/>
      <c r="AS63" s="1073">
        <v>14</v>
      </c>
    </row>
    <row r="64" spans="1:45" ht="14.65" customHeight="1">
      <c r="O64" s="472"/>
      <c r="T64" s="4411"/>
      <c r="U64" s="4411"/>
      <c r="V64" s="4411"/>
      <c r="W64" s="4411"/>
      <c r="X64" s="4411"/>
      <c r="Y64" s="4411"/>
      <c r="Z64" s="4411"/>
      <c r="AA64" s="4411"/>
      <c r="AB64" s="4411"/>
      <c r="AC64" s="4411"/>
      <c r="AD64" s="4411"/>
      <c r="AE64" s="4411"/>
      <c r="AF64" s="4411"/>
      <c r="AG64" s="4411"/>
      <c r="AH64" s="4411"/>
      <c r="AI64" s="4411"/>
      <c r="AJ64" s="4411"/>
      <c r="AK64" s="4411"/>
      <c r="AL64" s="4411"/>
      <c r="AM64" s="4411"/>
      <c r="AS64" s="1073">
        <v>14</v>
      </c>
    </row>
    <row r="65" spans="1:45" ht="14.65" customHeight="1">
      <c r="T65" s="4411"/>
      <c r="U65" s="4411"/>
      <c r="V65" s="4411"/>
      <c r="W65" s="4411"/>
      <c r="X65" s="4411"/>
      <c r="Y65" s="4411"/>
      <c r="Z65" s="4411"/>
      <c r="AA65" s="4411"/>
      <c r="AB65" s="4411"/>
      <c r="AC65" s="4411"/>
      <c r="AD65" s="4411"/>
      <c r="AE65" s="4411"/>
      <c r="AF65" s="4411"/>
      <c r="AG65" s="4411"/>
      <c r="AH65" s="4411"/>
      <c r="AI65" s="4411"/>
      <c r="AJ65" s="4411"/>
      <c r="AK65" s="4411"/>
      <c r="AL65" s="4411"/>
      <c r="AM65" s="4411"/>
      <c r="AS65" s="1073">
        <v>14</v>
      </c>
    </row>
    <row r="66" spans="1:45" ht="22.5" hidden="1" customHeight="1">
      <c r="A66" s="1078" t="s">
        <v>86</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4133" hidden="1"/>
    <col min="2" max="2" width="11" style="4133" hidden="1" customWidth="1"/>
    <col min="3" max="3" width="10.5703125" style="4133" hidden="1"/>
    <col min="4" max="4" width="11.85546875" style="4133" hidden="1" customWidth="1"/>
    <col min="5" max="5" width="10" style="4133" hidden="1" customWidth="1"/>
    <col min="6" max="6" width="8.7109375" style="4133" hidden="1" customWidth="1"/>
    <col min="7" max="7" width="7.5703125" style="4133" hidden="1" customWidth="1"/>
    <col min="8" max="8" width="11.42578125" style="4133" hidden="1" customWidth="1"/>
    <col min="9" max="9" width="12" style="4133" hidden="1" customWidth="1"/>
    <col min="10" max="10" width="9.85546875" style="4133" hidden="1" customWidth="1"/>
    <col min="11" max="12" width="11.42578125" style="4133" hidden="1" customWidth="1"/>
    <col min="13" max="13" width="19.140625" style="4137" hidden="1" customWidth="1"/>
    <col min="14" max="15" width="12.28515625" style="4167" hidden="1" customWidth="1"/>
    <col min="16" max="16" width="23.42578125" style="4167" hidden="1" customWidth="1"/>
    <col min="17" max="17" width="3.7109375" style="4167" hidden="1" customWidth="1"/>
    <col min="18" max="20" width="3" style="4168" customWidth="1"/>
    <col min="21" max="21" width="12" style="4169" customWidth="1"/>
    <col min="22" max="22" width="31" style="4133" customWidth="1"/>
    <col min="23" max="23" width="0.140625" style="4133" customWidth="1"/>
    <col min="24" max="28" width="21.7109375" style="4133" hidden="1" customWidth="1"/>
    <col min="29" max="29" width="11.7109375" style="4133" hidden="1" customWidth="1"/>
    <col min="30" max="30" width="3.7109375" style="4133" hidden="1" customWidth="1"/>
    <col min="31" max="31" width="11.7109375" style="4133" hidden="1" customWidth="1"/>
    <col min="32" max="32" width="8.5703125" style="4133" hidden="1" customWidth="1"/>
    <col min="33" max="33" width="21.7109375" style="4133" customWidth="1"/>
    <col min="34" max="37" width="21" style="4133" customWidth="1"/>
    <col min="38" max="38" width="11" style="4133" customWidth="1"/>
    <col min="39" max="39" width="3.7109375" style="4133" customWidth="1"/>
    <col min="40" max="40" width="11" style="4133" customWidth="1"/>
    <col min="41" max="41" width="8.5703125" style="4133" hidden="1" customWidth="1"/>
    <col min="42" max="42" width="4" style="4133" customWidth="1"/>
    <col min="43" max="43" width="115" style="4133" customWidth="1"/>
    <col min="44" max="48" width="10" style="4140" customWidth="1"/>
    <col min="49" max="49" width="10.5703125" style="4133" hidden="1"/>
  </cols>
  <sheetData>
    <row r="1" spans="1:49" ht="22.5" hidden="1" customHeight="1">
      <c r="AB1" s="263"/>
      <c r="AC1" s="263"/>
      <c r="AK1" s="263"/>
      <c r="AL1" s="263"/>
      <c r="AW1" s="1073" t="s">
        <v>14</v>
      </c>
    </row>
    <row r="2" spans="1:49" ht="21" hidden="1" customHeight="1">
      <c r="A2" s="1185"/>
      <c r="B2" s="1185"/>
      <c r="C2" s="1185"/>
      <c r="D2" s="1185"/>
      <c r="E2" s="443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126</v>
      </c>
      <c r="W2" s="236"/>
      <c r="X2" s="4406"/>
      <c r="Y2" s="4407"/>
      <c r="Z2" s="4407"/>
      <c r="AA2" s="4407"/>
      <c r="AB2" s="4407"/>
      <c r="AC2" s="4407"/>
      <c r="AD2" s="4407"/>
      <c r="AE2" s="4407"/>
      <c r="AF2" s="4408"/>
      <c r="AG2" s="4406" t="e">
        <f>INDEX(PT_DIFFERENTIATION_NTAR,MATCH(A2,PT_DIFFERENTIATION_NTAR_ID,0))</f>
        <v>#N/A</v>
      </c>
      <c r="AH2" s="4407"/>
      <c r="AI2" s="4407"/>
      <c r="AJ2" s="4407"/>
      <c r="AK2" s="4407"/>
      <c r="AL2" s="4407"/>
      <c r="AM2" s="4407"/>
      <c r="AN2" s="4407"/>
      <c r="AO2" s="4407"/>
      <c r="AP2" s="4408"/>
      <c r="AQ2" s="1176" t="s">
        <v>417</v>
      </c>
      <c r="AS2" s="435"/>
      <c r="AT2" s="435" t="str">
        <f t="shared" ref="AT2:AT8" si="0">IF(V2="","",V2)</f>
        <v>Наименование тарифа</v>
      </c>
      <c r="AU2" s="435"/>
      <c r="AV2" s="435"/>
      <c r="AW2" s="1073">
        <v>0</v>
      </c>
    </row>
    <row r="3" spans="1:49" ht="21" hidden="1" customHeight="1">
      <c r="A3" s="1185"/>
      <c r="B3" s="1185"/>
      <c r="C3" s="1185"/>
      <c r="D3" s="1185"/>
      <c r="E3" s="4439"/>
      <c r="F3" s="4438">
        <v>1</v>
      </c>
      <c r="G3" s="1185"/>
      <c r="H3" s="1185"/>
      <c r="I3" s="1185"/>
      <c r="J3" s="1185"/>
      <c r="K3" s="1185"/>
      <c r="L3" s="1185"/>
      <c r="M3" s="1228"/>
      <c r="N3" s="623"/>
      <c r="O3" s="623"/>
      <c r="P3" s="623"/>
      <c r="Q3" s="1250"/>
      <c r="R3" s="287"/>
      <c r="S3" s="444"/>
      <c r="T3" s="288"/>
      <c r="U3" s="1254" t="e">
        <f>INDEX(PT_DIFFERENTIATION_NUM_TER,MATCH(B3,PT_DIFFERENTIATION_TER_ID,0))</f>
        <v>#N/A</v>
      </c>
      <c r="V3" s="244" t="s">
        <v>418</v>
      </c>
      <c r="W3" s="236"/>
      <c r="X3" s="4406"/>
      <c r="Y3" s="4407"/>
      <c r="Z3" s="4407"/>
      <c r="AA3" s="4407"/>
      <c r="AB3" s="4407"/>
      <c r="AC3" s="4407"/>
      <c r="AD3" s="4407"/>
      <c r="AE3" s="4407"/>
      <c r="AF3" s="4408"/>
      <c r="AG3" s="4406" t="e">
        <f>INDEX(PT_DIFFERENTIATION_TER,MATCH(B3,PT_DIFFERENTIATION_TER_ID,0))</f>
        <v>#N/A</v>
      </c>
      <c r="AH3" s="4407"/>
      <c r="AI3" s="4407"/>
      <c r="AJ3" s="4407"/>
      <c r="AK3" s="4407"/>
      <c r="AL3" s="4407"/>
      <c r="AM3" s="4407"/>
      <c r="AN3" s="4407"/>
      <c r="AO3" s="4407"/>
      <c r="AP3" s="4408"/>
      <c r="AQ3" s="1176" t="s">
        <v>419</v>
      </c>
      <c r="AS3" s="435"/>
      <c r="AT3" s="435" t="str">
        <f t="shared" si="0"/>
        <v>Территория действия тарифа</v>
      </c>
      <c r="AU3" s="435"/>
      <c r="AV3" s="435"/>
      <c r="AW3" s="1073">
        <v>0</v>
      </c>
    </row>
    <row r="4" spans="1:49" ht="22.5" hidden="1" customHeight="1">
      <c r="A4" s="1185"/>
      <c r="B4" s="1185"/>
      <c r="C4" s="1185"/>
      <c r="D4" s="1185"/>
      <c r="E4" s="4439"/>
      <c r="F4" s="4439"/>
      <c r="G4" s="4438">
        <v>1</v>
      </c>
      <c r="H4" s="1185"/>
      <c r="I4" s="1185"/>
      <c r="J4" s="1185"/>
      <c r="K4" s="1185"/>
      <c r="L4" s="1185"/>
      <c r="M4" s="1228"/>
      <c r="N4" s="623"/>
      <c r="O4" s="623"/>
      <c r="P4" s="623"/>
      <c r="Q4" s="289"/>
      <c r="R4" s="287"/>
      <c r="S4" s="444"/>
      <c r="T4" s="288"/>
      <c r="U4" s="1254" t="e">
        <f>INDEX(PT_DIFFERENTIATION_NUM_CS,MATCH(C4,PT_DIFFERENTIATION_CS_ID,0))</f>
        <v>#N/A</v>
      </c>
      <c r="V4" s="245" t="s">
        <v>420</v>
      </c>
      <c r="W4" s="236"/>
      <c r="X4" s="4406"/>
      <c r="Y4" s="4407"/>
      <c r="Z4" s="4407"/>
      <c r="AA4" s="4407"/>
      <c r="AB4" s="4407"/>
      <c r="AC4" s="4407"/>
      <c r="AD4" s="4407"/>
      <c r="AE4" s="4407"/>
      <c r="AF4" s="4408"/>
      <c r="AG4" s="4406" t="e">
        <f>INDEX(PT_DIFFERENTIATION_CS,MATCH(C4,PT_DIFFERENTIATION_CS_ID,0))</f>
        <v>#N/A</v>
      </c>
      <c r="AH4" s="4407"/>
      <c r="AI4" s="4407"/>
      <c r="AJ4" s="4407"/>
      <c r="AK4" s="4407"/>
      <c r="AL4" s="4407"/>
      <c r="AM4" s="4407"/>
      <c r="AN4" s="4407"/>
      <c r="AO4" s="4407"/>
      <c r="AP4" s="4408"/>
      <c r="AQ4" s="1176" t="s">
        <v>421</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4439"/>
      <c r="F5" s="4439"/>
      <c r="G5" s="4439"/>
      <c r="H5" s="4438">
        <v>1</v>
      </c>
      <c r="I5" s="1185"/>
      <c r="J5" s="1185"/>
      <c r="K5" s="1185"/>
      <c r="L5" s="1185"/>
      <c r="M5" s="1228"/>
      <c r="N5" s="623"/>
      <c r="O5" s="623"/>
      <c r="P5" s="623"/>
      <c r="Q5" s="289"/>
      <c r="R5" s="287"/>
      <c r="S5" s="444"/>
      <c r="T5" s="288"/>
      <c r="U5" s="1254" t="e">
        <f>INDEX(PT_DIFFERENTIATION_NUM_IST_TE,MATCH(D5,PT_DIFFERENTIATION_IST_TE_ID,0))</f>
        <v>#N/A</v>
      </c>
      <c r="V5" s="246" t="s">
        <v>422</v>
      </c>
      <c r="W5" s="236"/>
      <c r="X5" s="4406"/>
      <c r="Y5" s="4407"/>
      <c r="Z5" s="4407"/>
      <c r="AA5" s="4407"/>
      <c r="AB5" s="4407"/>
      <c r="AC5" s="4407"/>
      <c r="AD5" s="4407"/>
      <c r="AE5" s="4407"/>
      <c r="AF5" s="4408"/>
      <c r="AG5" s="4406" t="e">
        <f>INDEX(PT_DIFFERENTIATION_IST_TE,MATCH(D5,PT_DIFFERENTIATION_IST_TE_ID,0))</f>
        <v>#N/A</v>
      </c>
      <c r="AH5" s="4407"/>
      <c r="AI5" s="4407"/>
      <c r="AJ5" s="4407"/>
      <c r="AK5" s="4407"/>
      <c r="AL5" s="4407"/>
      <c r="AM5" s="4407"/>
      <c r="AN5" s="4407"/>
      <c r="AO5" s="4407"/>
      <c r="AP5" s="4408"/>
      <c r="AQ5" s="1176" t="s">
        <v>423</v>
      </c>
      <c r="AS5" s="435"/>
      <c r="AT5" s="435" t="str">
        <f t="shared" si="0"/>
        <v xml:space="preserve">Источник тепловой энергии  </v>
      </c>
      <c r="AU5" s="435"/>
      <c r="AV5" s="435"/>
      <c r="AW5" s="1073">
        <v>0</v>
      </c>
    </row>
    <row r="6" spans="1:49" ht="14.25" hidden="1" customHeight="1">
      <c r="A6" s="1185"/>
      <c r="B6" s="1185"/>
      <c r="C6" s="1185"/>
      <c r="D6" s="1185"/>
      <c r="E6" s="4439"/>
      <c r="F6" s="4439"/>
      <c r="G6" s="4439"/>
      <c r="H6" s="4439"/>
      <c r="I6" s="4274" t="e">
        <f>U5&amp;".1"</f>
        <v>#N/A</v>
      </c>
      <c r="J6" s="1185"/>
      <c r="K6" s="1185"/>
      <c r="L6" s="1185"/>
      <c r="M6" s="1228" t="s">
        <v>424</v>
      </c>
      <c r="N6" s="444"/>
      <c r="Q6" s="4416">
        <v>1</v>
      </c>
      <c r="R6" s="1249"/>
      <c r="S6" s="1249"/>
      <c r="T6" s="291"/>
      <c r="U6" s="964"/>
      <c r="V6" s="1301"/>
      <c r="W6" s="1302"/>
      <c r="X6" s="4443"/>
      <c r="Y6" s="4444"/>
      <c r="Z6" s="4444"/>
      <c r="AA6" s="4444"/>
      <c r="AB6" s="4444"/>
      <c r="AC6" s="4444"/>
      <c r="AD6" s="4444"/>
      <c r="AE6" s="4444"/>
      <c r="AF6" s="4445"/>
      <c r="AG6" s="4443"/>
      <c r="AH6" s="4444"/>
      <c r="AI6" s="4444"/>
      <c r="AJ6" s="4444"/>
      <c r="AK6" s="4444"/>
      <c r="AL6" s="4444"/>
      <c r="AM6" s="4444"/>
      <c r="AN6" s="4444"/>
      <c r="AO6" s="4444"/>
      <c r="AP6" s="4445"/>
      <c r="AQ6" s="1303"/>
      <c r="AS6" s="435"/>
      <c r="AT6" s="435" t="str">
        <f t="shared" si="0"/>
        <v/>
      </c>
      <c r="AU6" s="435"/>
      <c r="AV6" s="435"/>
      <c r="AW6" s="1073">
        <v>0</v>
      </c>
    </row>
    <row r="7" spans="1:49" ht="21" hidden="1" customHeight="1">
      <c r="A7" s="1185"/>
      <c r="B7" s="1185"/>
      <c r="C7" s="1185"/>
      <c r="D7" s="1185"/>
      <c r="E7" s="4439"/>
      <c r="F7" s="4439"/>
      <c r="G7" s="4439"/>
      <c r="H7" s="4439"/>
      <c r="I7" s="4256"/>
      <c r="J7" s="4274" t="e">
        <f>I6&amp;".1"</f>
        <v>#N/A</v>
      </c>
      <c r="K7" s="1185"/>
      <c r="L7" s="1185"/>
      <c r="M7" s="1228" t="s">
        <v>427</v>
      </c>
      <c r="N7" s="444"/>
      <c r="O7" s="263"/>
      <c r="Q7" s="4416"/>
      <c r="R7" s="4416">
        <v>1</v>
      </c>
      <c r="S7" s="453"/>
      <c r="T7" s="292"/>
      <c r="U7" s="1254" t="e">
        <f>$J7</f>
        <v>#N/A</v>
      </c>
      <c r="V7" s="222" t="s">
        <v>428</v>
      </c>
      <c r="W7" s="236"/>
      <c r="X7" s="4400"/>
      <c r="Y7" s="4401"/>
      <c r="Z7" s="4401"/>
      <c r="AA7" s="4401"/>
      <c r="AB7" s="4401"/>
      <c r="AC7" s="4396"/>
      <c r="AD7" s="4396"/>
      <c r="AE7" s="4396"/>
      <c r="AF7" s="4456"/>
      <c r="AG7" s="4400"/>
      <c r="AH7" s="4401"/>
      <c r="AI7" s="4401"/>
      <c r="AJ7" s="4401"/>
      <c r="AK7" s="4401"/>
      <c r="AL7" s="4401"/>
      <c r="AM7" s="4401"/>
      <c r="AN7" s="4401"/>
      <c r="AO7" s="4401"/>
      <c r="AP7" s="4402"/>
      <c r="AQ7" s="1176" t="s">
        <v>429</v>
      </c>
      <c r="AS7" s="435"/>
      <c r="AT7" s="435" t="str">
        <f t="shared" si="0"/>
        <v>Группа потребителей</v>
      </c>
      <c r="AU7" s="435"/>
      <c r="AV7" s="435"/>
      <c r="AW7" s="1073">
        <v>0</v>
      </c>
    </row>
    <row r="8" spans="1:49" ht="21" hidden="1" customHeight="1">
      <c r="A8" s="1185"/>
      <c r="B8" s="1185"/>
      <c r="C8" s="1185"/>
      <c r="D8" s="1185"/>
      <c r="E8" s="4439"/>
      <c r="F8" s="4439"/>
      <c r="G8" s="4439"/>
      <c r="H8" s="4439"/>
      <c r="I8" s="4256"/>
      <c r="J8" s="4256"/>
      <c r="K8" s="4274" t="e">
        <f>J7&amp;".1"</f>
        <v>#N/A</v>
      </c>
      <c r="L8" s="78"/>
      <c r="M8" s="1228" t="s">
        <v>430</v>
      </c>
      <c r="N8" s="444"/>
      <c r="O8" s="263"/>
      <c r="P8" s="263"/>
      <c r="Q8" s="4416"/>
      <c r="R8" s="4416"/>
      <c r="S8" s="4416">
        <v>1</v>
      </c>
      <c r="T8" s="292"/>
      <c r="U8" s="1254" t="e">
        <f>$K8</f>
        <v>#N/A</v>
      </c>
      <c r="V8" s="1265"/>
      <c r="W8" s="236"/>
      <c r="X8" s="686"/>
      <c r="Y8" s="686"/>
      <c r="Z8" s="686"/>
      <c r="AA8" s="686"/>
      <c r="AB8" s="1323"/>
      <c r="AC8" s="4417"/>
      <c r="AD8" s="4284" t="s">
        <v>65</v>
      </c>
      <c r="AE8" s="4417"/>
      <c r="AF8" s="4284" t="s">
        <v>65</v>
      </c>
      <c r="AG8" s="1325"/>
      <c r="AH8" s="686"/>
      <c r="AI8" s="686"/>
      <c r="AJ8" s="686"/>
      <c r="AK8" s="1175"/>
      <c r="AL8" s="4417"/>
      <c r="AM8" s="4284" t="s">
        <v>65</v>
      </c>
      <c r="AN8" s="4417"/>
      <c r="AO8" s="4284" t="s">
        <v>65</v>
      </c>
      <c r="AP8" s="261"/>
      <c r="AQ8" s="1225" t="s">
        <v>473</v>
      </c>
      <c r="AR8" s="446" t="e">
        <f ca="1">STRCHECKDATE(X10:AP10)</f>
        <v>#NAME?</v>
      </c>
      <c r="AS8" s="435"/>
      <c r="AT8" s="435" t="str">
        <f t="shared" si="0"/>
        <v/>
      </c>
      <c r="AU8" s="435"/>
      <c r="AV8" s="435"/>
      <c r="AW8" s="1073">
        <v>0</v>
      </c>
    </row>
    <row r="9" spans="1:49" ht="21" hidden="1" customHeight="1">
      <c r="A9" s="1185"/>
      <c r="B9" s="1185"/>
      <c r="C9" s="1185"/>
      <c r="D9" s="1185"/>
      <c r="E9" s="4439"/>
      <c r="F9" s="4439"/>
      <c r="G9" s="4439"/>
      <c r="H9" s="4439"/>
      <c r="I9" s="4256"/>
      <c r="J9" s="4256"/>
      <c r="K9" s="4256"/>
      <c r="L9" s="4274" t="e">
        <f>K8&amp;".1"</f>
        <v>#N/A</v>
      </c>
      <c r="M9" s="1228"/>
      <c r="N9" s="444"/>
      <c r="O9" s="263"/>
      <c r="P9" s="263"/>
      <c r="Q9" s="4416"/>
      <c r="R9" s="4416"/>
      <c r="S9" s="4416"/>
      <c r="T9" s="292"/>
      <c r="U9" s="1254" t="e">
        <f>$L9</f>
        <v>#N/A</v>
      </c>
      <c r="V9" s="1309"/>
      <c r="W9" s="236"/>
      <c r="X9" s="261"/>
      <c r="Y9" s="686"/>
      <c r="Z9" s="686"/>
      <c r="AA9" s="686"/>
      <c r="AB9" s="1323"/>
      <c r="AC9" s="4418"/>
      <c r="AD9" s="4284"/>
      <c r="AE9" s="4418"/>
      <c r="AF9" s="4284"/>
      <c r="AG9" s="1325"/>
      <c r="AH9" s="686"/>
      <c r="AI9" s="686"/>
      <c r="AJ9" s="686"/>
      <c r="AK9" s="1175"/>
      <c r="AL9" s="4418"/>
      <c r="AM9" s="4284"/>
      <c r="AN9" s="4418"/>
      <c r="AO9" s="4284"/>
      <c r="AP9" s="261"/>
      <c r="AQ9" s="4435" t="s">
        <v>474</v>
      </c>
      <c r="AS9" s="435"/>
      <c r="AT9" s="435"/>
      <c r="AU9" s="435"/>
      <c r="AV9" s="435"/>
      <c r="AW9" s="1073">
        <v>0</v>
      </c>
    </row>
    <row r="10" spans="1:49" ht="14.25" hidden="1" customHeight="1">
      <c r="A10" s="1185"/>
      <c r="B10" s="1185"/>
      <c r="C10" s="1185"/>
      <c r="D10" s="1185"/>
      <c r="E10" s="4439"/>
      <c r="F10" s="4439"/>
      <c r="G10" s="4439"/>
      <c r="H10" s="4439"/>
      <c r="I10" s="4256"/>
      <c r="J10" s="4256"/>
      <c r="K10" s="4256"/>
      <c r="L10" s="4274"/>
      <c r="M10" s="1228"/>
      <c r="N10" s="444"/>
      <c r="O10" s="263"/>
      <c r="P10" s="263"/>
      <c r="Q10" s="4416"/>
      <c r="R10" s="4416"/>
      <c r="S10" s="4416"/>
      <c r="T10" s="292"/>
      <c r="U10" s="1260"/>
      <c r="V10" s="236"/>
      <c r="W10" s="236"/>
      <c r="X10" s="261"/>
      <c r="Y10" s="261"/>
      <c r="Z10" s="261"/>
      <c r="AA10" s="261"/>
      <c r="AB10" s="1324" t="str">
        <f>AC8&amp;"-"&amp;AE8</f>
        <v>-</v>
      </c>
      <c r="AC10" s="4418"/>
      <c r="AD10" s="4284"/>
      <c r="AE10" s="4418"/>
      <c r="AF10" s="4284"/>
      <c r="AG10" s="1300"/>
      <c r="AH10" s="261"/>
      <c r="AI10" s="261"/>
      <c r="AJ10" s="261"/>
      <c r="AK10" s="264" t="str">
        <f>AL8&amp;"-"&amp;AN8</f>
        <v>-</v>
      </c>
      <c r="AL10" s="4418"/>
      <c r="AM10" s="4284"/>
      <c r="AN10" s="4418"/>
      <c r="AO10" s="4284"/>
      <c r="AP10" s="261"/>
      <c r="AQ10" s="4436"/>
      <c r="AS10" s="435"/>
      <c r="AT10" s="435" t="str">
        <f>IF(V10="","",V10)</f>
        <v/>
      </c>
      <c r="AU10" s="435"/>
      <c r="AV10" s="435"/>
      <c r="AW10" s="1073">
        <v>0</v>
      </c>
    </row>
    <row r="11" spans="1:49" ht="11.25" hidden="1" customHeight="1">
      <c r="A11" s="1185"/>
      <c r="B11" s="1185"/>
      <c r="C11" s="1185"/>
      <c r="D11" s="1185"/>
      <c r="E11" s="4439"/>
      <c r="F11" s="4439"/>
      <c r="G11" s="4439"/>
      <c r="H11" s="4439"/>
      <c r="I11" s="4256"/>
      <c r="J11" s="4256"/>
      <c r="K11" s="4274"/>
      <c r="L11" s="1185"/>
      <c r="M11" s="1228"/>
      <c r="N11" s="444"/>
      <c r="O11" s="263"/>
      <c r="P11" s="263"/>
      <c r="Q11" s="4416"/>
      <c r="R11" s="4416"/>
      <c r="S11" s="4416"/>
      <c r="T11" s="292"/>
      <c r="U11" s="1196"/>
      <c r="V11" s="224" t="s">
        <v>475</v>
      </c>
      <c r="W11" s="1310"/>
      <c r="X11" s="1311"/>
      <c r="Y11" s="1311"/>
      <c r="Z11" s="1311"/>
      <c r="AA11" s="1311"/>
      <c r="AB11" s="1312"/>
      <c r="AC11" s="4418"/>
      <c r="AD11" s="4284"/>
      <c r="AE11" s="4418"/>
      <c r="AF11" s="4284"/>
      <c r="AG11" s="1311"/>
      <c r="AH11" s="1311"/>
      <c r="AI11" s="1311"/>
      <c r="AJ11" s="1311"/>
      <c r="AK11" s="1312"/>
      <c r="AL11" s="4418"/>
      <c r="AM11" s="4284"/>
      <c r="AN11" s="4418"/>
      <c r="AO11" s="4284"/>
      <c r="AP11" s="1313"/>
      <c r="AQ11" s="4436"/>
      <c r="AS11" s="435"/>
      <c r="AT11" s="435"/>
      <c r="AU11" s="435"/>
      <c r="AV11" s="435"/>
      <c r="AW11" s="1073">
        <v>0</v>
      </c>
    </row>
    <row r="12" spans="1:49" ht="15" hidden="1" customHeight="1">
      <c r="A12" s="1185"/>
      <c r="B12" s="1185"/>
      <c r="C12" s="1185"/>
      <c r="D12" s="1185"/>
      <c r="E12" s="4439"/>
      <c r="F12" s="4439"/>
      <c r="G12" s="4439"/>
      <c r="H12" s="4439"/>
      <c r="I12" s="4256"/>
      <c r="J12" s="4274"/>
      <c r="K12" s="1185"/>
      <c r="L12" s="1185"/>
      <c r="M12" s="1228"/>
      <c r="N12" s="444"/>
      <c r="O12" s="263"/>
      <c r="Q12" s="4416"/>
      <c r="R12" s="4416"/>
      <c r="S12" s="1249"/>
      <c r="T12" s="291"/>
      <c r="U12" s="1196"/>
      <c r="V12" s="223" t="s">
        <v>432</v>
      </c>
      <c r="W12" s="302"/>
      <c r="X12" s="302"/>
      <c r="Y12" s="302"/>
      <c r="Z12" s="302"/>
      <c r="AA12" s="302"/>
      <c r="AB12" s="302"/>
      <c r="AC12" s="1326"/>
      <c r="AD12" s="1326"/>
      <c r="AE12" s="1326"/>
      <c r="AF12" s="1326"/>
      <c r="AG12" s="302"/>
      <c r="AH12" s="302"/>
      <c r="AI12" s="302"/>
      <c r="AJ12" s="302"/>
      <c r="AK12" s="302"/>
      <c r="AL12" s="302"/>
      <c r="AM12" s="302"/>
      <c r="AN12" s="302"/>
      <c r="AO12" s="302"/>
      <c r="AP12" s="260"/>
      <c r="AQ12" s="443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4439"/>
      <c r="F13" s="4439"/>
      <c r="G13" s="4439"/>
      <c r="H13" s="4439"/>
      <c r="I13" s="4274"/>
      <c r="J13" s="1185"/>
      <c r="K13" s="1185"/>
      <c r="L13" s="1185"/>
      <c r="M13" s="1228"/>
      <c r="N13" s="444"/>
      <c r="Q13" s="4416"/>
      <c r="R13" s="1249"/>
      <c r="S13" s="1249"/>
      <c r="T13" s="291"/>
      <c r="U13" s="1196"/>
      <c r="V13" s="300" t="s">
        <v>433</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4439"/>
      <c r="F14" s="4439"/>
      <c r="G14" s="4439"/>
      <c r="H14" s="443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4140" customFormat="1" ht="14.25" hidden="1" customHeight="1">
      <c r="A15" s="1292"/>
      <c r="B15" s="1292"/>
      <c r="C15" s="1292"/>
      <c r="D15" s="1292"/>
      <c r="E15" s="4439"/>
      <c r="F15" s="4439"/>
      <c r="G15" s="4438"/>
      <c r="H15" s="1292"/>
      <c r="I15" s="1292"/>
      <c r="J15" s="1292"/>
      <c r="K15" s="1292"/>
      <c r="L15" s="1292"/>
      <c r="M15" s="1295"/>
      <c r="N15" s="1296"/>
      <c r="O15" s="1296"/>
      <c r="P15" s="286"/>
      <c r="Q15" s="1234"/>
      <c r="R15" s="1235"/>
      <c r="S15" s="1234"/>
      <c r="T15" s="1234"/>
      <c r="U15" s="1236"/>
      <c r="V15" s="1237" t="s">
        <v>172</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4140" customFormat="1" ht="14.25" hidden="1" customHeight="1">
      <c r="A16" s="1292"/>
      <c r="B16" s="1292"/>
      <c r="C16" s="1292"/>
      <c r="D16" s="1292"/>
      <c r="E16" s="4439"/>
      <c r="F16" s="4438"/>
      <c r="G16" s="1292"/>
      <c r="H16" s="1292"/>
      <c r="I16" s="1292"/>
      <c r="J16" s="1292"/>
      <c r="K16" s="1292"/>
      <c r="L16" s="1292"/>
      <c r="M16" s="1295"/>
      <c r="N16" s="1297"/>
      <c r="O16" s="1297"/>
      <c r="P16" s="286"/>
      <c r="Q16" s="1234"/>
      <c r="R16" s="1235"/>
      <c r="S16" s="1234"/>
      <c r="T16" s="1234"/>
      <c r="U16" s="1240"/>
      <c r="V16" s="1241" t="s">
        <v>173</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4140" customFormat="1" ht="14.25" hidden="1" customHeight="1">
      <c r="A17" s="1292"/>
      <c r="B17" s="1292"/>
      <c r="C17" s="1292"/>
      <c r="D17" s="1292"/>
      <c r="E17" s="4438"/>
      <c r="F17" s="1292"/>
      <c r="G17" s="1292"/>
      <c r="H17" s="1292"/>
      <c r="I17" s="1292"/>
      <c r="J17" s="1292"/>
      <c r="K17" s="1292"/>
      <c r="L17" s="1292"/>
      <c r="M17" s="1295"/>
      <c r="N17" s="1297"/>
      <c r="O17" s="1297"/>
      <c r="P17" s="286"/>
      <c r="Q17" s="1234"/>
      <c r="R17" s="1235"/>
      <c r="S17" s="1234"/>
      <c r="T17" s="1234"/>
      <c r="U17" s="1240"/>
      <c r="V17" s="1243" t="s">
        <v>174</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4410"/>
      <c r="AM19" s="4409" t="s">
        <v>65</v>
      </c>
      <c r="AN19" s="4410"/>
      <c r="AO19" s="4409" t="s">
        <v>65</v>
      </c>
      <c r="AW19" s="1073">
        <v>0</v>
      </c>
    </row>
    <row r="20" spans="1:49" ht="14.25" hidden="1" customHeight="1">
      <c r="AG20" s="1278"/>
      <c r="AH20" s="1278"/>
      <c r="AI20" s="1278"/>
      <c r="AJ20" s="1278"/>
      <c r="AK20" s="1279"/>
      <c r="AL20" s="4410"/>
      <c r="AM20" s="4409"/>
      <c r="AN20" s="4410"/>
      <c r="AO20" s="4409"/>
      <c r="AW20" s="1073">
        <v>0</v>
      </c>
    </row>
    <row r="21" spans="1:49" ht="14.25" hidden="1" customHeight="1">
      <c r="AG21" s="1278"/>
      <c r="AH21" s="1278"/>
      <c r="AI21" s="1278"/>
      <c r="AJ21" s="1278"/>
      <c r="AK21" s="1279"/>
      <c r="AL21" s="4410"/>
      <c r="AM21" s="4409"/>
      <c r="AN21" s="4410"/>
      <c r="AO21" s="4409"/>
      <c r="AW21" s="1073">
        <v>0</v>
      </c>
    </row>
    <row r="22" spans="1:49" ht="14.25" hidden="1" customHeight="1">
      <c r="AG22" s="1278"/>
      <c r="AH22" s="1278"/>
      <c r="AI22" s="1278"/>
      <c r="AJ22" s="1278"/>
      <c r="AK22" s="264" t="str">
        <f>AL19&amp;"-"&amp;AN19</f>
        <v>-</v>
      </c>
      <c r="AL22" s="4409"/>
      <c r="AM22" s="4409"/>
      <c r="AN22" s="4409"/>
      <c r="AO22" s="4409"/>
      <c r="AW22" s="1073">
        <v>0</v>
      </c>
    </row>
    <row r="23" spans="1:49" ht="14.25" hidden="1" customHeight="1">
      <c r="AO23" s="263"/>
      <c r="AW23" s="1073">
        <v>0</v>
      </c>
    </row>
    <row r="24" spans="1:49" s="4139" customFormat="1" ht="22.5" hidden="1" customHeight="1">
      <c r="A24" s="1073"/>
      <c r="B24" s="1073"/>
      <c r="C24" s="1073"/>
      <c r="D24" s="1073"/>
      <c r="E24" s="1073"/>
      <c r="F24" s="1073"/>
      <c r="G24" s="1073"/>
      <c r="H24" s="1073"/>
      <c r="I24" s="1073"/>
      <c r="J24" s="1073"/>
      <c r="K24" s="1073"/>
      <c r="L24" s="1073"/>
      <c r="M24" s="1245"/>
      <c r="N24" s="1246"/>
      <c r="O24" s="1246"/>
      <c r="P24" s="1263" t="s">
        <v>435</v>
      </c>
      <c r="Q24" s="1280"/>
      <c r="R24" s="1289"/>
      <c r="S24" s="1289"/>
      <c r="T24" s="1289"/>
      <c r="U24" s="664"/>
      <c r="AC24" s="1285"/>
      <c r="AE24" s="1285"/>
      <c r="AF24" s="1284"/>
      <c r="AL24" s="1285"/>
      <c r="AN24" s="1285"/>
      <c r="AO24" s="1284"/>
      <c r="AR24" s="446"/>
      <c r="AS24" s="446"/>
      <c r="AT24" s="446"/>
      <c r="AU24" s="446"/>
      <c r="AV24" s="446"/>
      <c r="AW24" s="1078">
        <v>0</v>
      </c>
    </row>
    <row r="25" spans="1:49" s="413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4139" customFormat="1" ht="14.25" hidden="1" customHeight="1">
      <c r="A26" s="1073"/>
      <c r="B26" s="1073"/>
      <c r="C26" s="1073"/>
      <c r="D26" s="1073"/>
      <c r="E26" s="1073"/>
      <c r="F26" s="1073"/>
      <c r="G26" s="1073"/>
      <c r="H26" s="1073"/>
      <c r="I26" s="1073"/>
      <c r="J26" s="1073"/>
      <c r="K26" s="1073"/>
      <c r="L26" s="1073"/>
      <c r="M26" s="1245"/>
      <c r="N26" s="1246"/>
      <c r="O26" s="1246"/>
      <c r="P26" s="1228" t="s">
        <v>436</v>
      </c>
      <c r="Q26" s="1280"/>
      <c r="R26" s="1289"/>
      <c r="S26" s="1289"/>
      <c r="T26" s="1289"/>
      <c r="U26" s="664"/>
      <c r="V26" s="1078" t="s">
        <v>437</v>
      </c>
      <c r="AD26" s="123" t="s">
        <v>438</v>
      </c>
      <c r="AF26" s="123" t="s">
        <v>439</v>
      </c>
      <c r="AG26" s="1078" t="s">
        <v>437</v>
      </c>
      <c r="AM26" s="123" t="s">
        <v>440</v>
      </c>
      <c r="AO26" s="123" t="s">
        <v>439</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439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393"/>
      <c r="W30" s="4393"/>
      <c r="X30" s="4393"/>
      <c r="Y30" s="4393"/>
      <c r="Z30" s="4393"/>
      <c r="AA30" s="4393"/>
      <c r="AB30" s="4393"/>
      <c r="AC30" s="4393"/>
      <c r="AD30" s="4393"/>
      <c r="AE30" s="4393"/>
      <c r="AF30" s="4393"/>
      <c r="AG30" s="4393"/>
      <c r="AH30" s="4393"/>
      <c r="AI30" s="4393"/>
      <c r="AJ30" s="4393"/>
      <c r="AK30" s="4393"/>
      <c r="AL30" s="4393"/>
      <c r="AM30" s="4393"/>
      <c r="AN30" s="4393"/>
      <c r="AO30" s="1161"/>
      <c r="AW30" s="1073">
        <v>54</v>
      </c>
    </row>
    <row r="31" spans="1:49" ht="14.65" customHeight="1">
      <c r="R31" s="311"/>
      <c r="S31" s="311"/>
      <c r="T31" s="311"/>
      <c r="U31" s="4365" t="str">
        <f>IF(org=0,"Не определено",org)</f>
        <v>АО "Мурманэнергосбыт"</v>
      </c>
      <c r="V31" s="4365"/>
      <c r="W31" s="4365"/>
      <c r="X31" s="4365"/>
      <c r="Y31" s="4365"/>
      <c r="Z31" s="4365"/>
      <c r="AA31" s="4365"/>
      <c r="AB31" s="4365"/>
      <c r="AC31" s="4365"/>
      <c r="AD31" s="4365"/>
      <c r="AE31" s="4365"/>
      <c r="AF31" s="4365"/>
      <c r="AG31" s="4365"/>
      <c r="AH31" s="4365"/>
      <c r="AI31" s="4365"/>
      <c r="AJ31" s="4365"/>
      <c r="AK31" s="4365"/>
      <c r="AL31" s="4365"/>
      <c r="AM31" s="4365"/>
      <c r="AN31" s="4365"/>
      <c r="AO31" s="1161"/>
      <c r="AW31" s="1073">
        <v>14</v>
      </c>
    </row>
    <row r="32" spans="1:49"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4149" customFormat="1" ht="25.5" customHeight="1">
      <c r="A33" s="1166"/>
      <c r="B33" s="1166"/>
      <c r="C33" s="1166"/>
      <c r="D33" s="1166"/>
      <c r="E33" s="1166"/>
      <c r="F33" s="1166"/>
      <c r="G33" s="1166"/>
      <c r="H33" s="1166"/>
      <c r="I33" s="1166"/>
      <c r="J33" s="1166"/>
      <c r="K33" s="1166"/>
      <c r="L33" s="1166"/>
      <c r="M33" s="1298"/>
      <c r="N33" s="1166"/>
      <c r="O33" s="1166"/>
      <c r="P33" s="1166"/>
      <c r="U33" s="4403" t="s">
        <v>42</v>
      </c>
      <c r="V33" s="4403"/>
      <c r="W33" s="1290"/>
      <c r="X33" s="4405" t="str">
        <f>IF(TITLE_NAME_OR_PR_CHANGE="",IF(TITLE_NAME_OR_PR="","",TITLE_NAME_OR_PR),TITLE_NAME_OR_PR_CHANGE)</f>
        <v>Комитет по тарифному регулированию Мурманской области</v>
      </c>
      <c r="Y33" s="4405"/>
      <c r="Z33" s="4405"/>
      <c r="AA33" s="4405"/>
      <c r="AB33" s="4405"/>
      <c r="AC33" s="4405"/>
      <c r="AD33" s="4405"/>
      <c r="AE33" s="4405"/>
      <c r="AF33" s="262"/>
      <c r="AG33" s="4405" t="str">
        <f>IF(TITLE_NAME_OR_PR_CHANGE="",IF(TITLE_NAME_OR_PR="","",TITLE_NAME_OR_PR),TITLE_NAME_OR_PR_CHANGE)</f>
        <v>Комитет по тарифному регулированию Мурманской области</v>
      </c>
      <c r="AH33" s="4405"/>
      <c r="AI33" s="4405"/>
      <c r="AJ33" s="4405"/>
      <c r="AK33" s="4405"/>
      <c r="AL33" s="4405"/>
      <c r="AM33" s="4405"/>
      <c r="AN33" s="4405"/>
      <c r="AO33" s="262"/>
      <c r="AP33" s="262"/>
      <c r="AQ33" s="216"/>
      <c r="AR33" s="303"/>
      <c r="AS33" s="303"/>
      <c r="AT33" s="303"/>
      <c r="AU33" s="303"/>
      <c r="AV33" s="303"/>
      <c r="AW33" s="353">
        <v>0</v>
      </c>
    </row>
    <row r="34" spans="1:49" s="4149" customFormat="1" ht="18.75" customHeight="1">
      <c r="A34" s="1166"/>
      <c r="B34" s="1166"/>
      <c r="C34" s="1166"/>
      <c r="D34" s="1166"/>
      <c r="E34" s="1166"/>
      <c r="F34" s="1166"/>
      <c r="G34" s="1166"/>
      <c r="H34" s="1166"/>
      <c r="I34" s="1166"/>
      <c r="J34" s="1166"/>
      <c r="K34" s="1166"/>
      <c r="L34" s="1166"/>
      <c r="M34" s="1298"/>
      <c r="N34" s="1166"/>
      <c r="O34" s="1166"/>
      <c r="P34" s="1166"/>
      <c r="U34" s="4403" t="s">
        <v>441</v>
      </c>
      <c r="V34" s="4403"/>
      <c r="W34" s="1290"/>
      <c r="X34" s="4404">
        <f>IF(TITLE_DATE_PR_CHANGE="",IF(TITLE_DATE_PR="","",TITLE_DATE_PR),TITLE_DATE_PR_CHANGE)</f>
        <v>45646</v>
      </c>
      <c r="Y34" s="4404"/>
      <c r="Z34" s="4404"/>
      <c r="AA34" s="4404"/>
      <c r="AB34" s="4404"/>
      <c r="AC34" s="4404"/>
      <c r="AD34" s="4404"/>
      <c r="AE34" s="4404"/>
      <c r="AF34" s="262"/>
      <c r="AG34" s="4404">
        <f>IF(TITLE_DATE_PR_CHANGE="",IF(TITLE_DATE_PR="","",TITLE_DATE_PR),TITLE_DATE_PR_CHANGE)</f>
        <v>45646</v>
      </c>
      <c r="AH34" s="4404"/>
      <c r="AI34" s="4404"/>
      <c r="AJ34" s="4404"/>
      <c r="AK34" s="4404"/>
      <c r="AL34" s="4404"/>
      <c r="AM34" s="4404"/>
      <c r="AN34" s="4404"/>
      <c r="AO34" s="262"/>
      <c r="AP34" s="262"/>
      <c r="AQ34" s="216"/>
      <c r="AR34" s="303"/>
      <c r="AS34" s="303"/>
      <c r="AT34" s="303"/>
      <c r="AU34" s="303"/>
      <c r="AV34" s="303"/>
      <c r="AW34" s="353">
        <v>0</v>
      </c>
    </row>
    <row r="35" spans="1:49" s="4149" customFormat="1" ht="18.75" customHeight="1">
      <c r="A35" s="1166"/>
      <c r="B35" s="1166"/>
      <c r="C35" s="1166"/>
      <c r="D35" s="1166"/>
      <c r="E35" s="1166"/>
      <c r="F35" s="1166"/>
      <c r="G35" s="1166"/>
      <c r="H35" s="1166"/>
      <c r="I35" s="1166"/>
      <c r="J35" s="1166"/>
      <c r="K35" s="1166"/>
      <c r="L35" s="1166"/>
      <c r="M35" s="1298"/>
      <c r="N35" s="1166"/>
      <c r="O35" s="1166"/>
      <c r="P35" s="1166"/>
      <c r="U35" s="4403" t="s">
        <v>442</v>
      </c>
      <c r="V35" s="4403"/>
      <c r="W35" s="1290"/>
      <c r="X35" s="4405" t="str">
        <f>IF(TITLE_NUMBER_PR_CHANGE="",IF(TITLE_NUMBER_PR="","",TITLE_NUMBER_PR),TITLE_NUMBER_PR_CHANGE)</f>
        <v>51/110</v>
      </c>
      <c r="Y35" s="4405"/>
      <c r="Z35" s="4405"/>
      <c r="AA35" s="4405"/>
      <c r="AB35" s="4405"/>
      <c r="AC35" s="4405"/>
      <c r="AD35" s="4405"/>
      <c r="AE35" s="4405"/>
      <c r="AF35" s="262"/>
      <c r="AG35" s="4405" t="str">
        <f>IF(TITLE_NUMBER_PR_CHANGE="",IF(TITLE_NUMBER_PR="","",TITLE_NUMBER_PR),TITLE_NUMBER_PR_CHANGE)</f>
        <v>51/110</v>
      </c>
      <c r="AH35" s="4405"/>
      <c r="AI35" s="4405"/>
      <c r="AJ35" s="4405"/>
      <c r="AK35" s="4405"/>
      <c r="AL35" s="4405"/>
      <c r="AM35" s="4405"/>
      <c r="AN35" s="4405"/>
      <c r="AO35" s="262"/>
      <c r="AP35" s="262"/>
      <c r="AQ35" s="216"/>
      <c r="AR35" s="303"/>
      <c r="AS35" s="303"/>
      <c r="AT35" s="303"/>
      <c r="AU35" s="303"/>
      <c r="AV35" s="303"/>
      <c r="AW35" s="353">
        <v>0</v>
      </c>
    </row>
    <row r="36" spans="1:49" s="4149" customFormat="1" ht="18.75" customHeight="1">
      <c r="A36" s="1166"/>
      <c r="B36" s="1166"/>
      <c r="C36" s="1166"/>
      <c r="D36" s="1166"/>
      <c r="E36" s="1166"/>
      <c r="F36" s="1166"/>
      <c r="G36" s="1166"/>
      <c r="H36" s="1166"/>
      <c r="I36" s="1166"/>
      <c r="J36" s="1166"/>
      <c r="K36" s="1166"/>
      <c r="L36" s="1166"/>
      <c r="M36" s="1298"/>
      <c r="N36" s="1166"/>
      <c r="O36" s="1166"/>
      <c r="P36" s="1166"/>
      <c r="U36" s="4403" t="s">
        <v>44</v>
      </c>
      <c r="V36" s="4403"/>
      <c r="W36" s="1290"/>
      <c r="X36" s="4405" t="str">
        <f>IF(TITLE_IST_PUB_CHANGE="",IF(TITLE_IST_PUB="","",TITLE_IST_PUB),TITLE_IST_PUB_CHANGE)</f>
        <v>https://npa.gov-murman.ru/bitrix/components/b1team/govmurman.element.file/download.php?ID=537820&amp;FID=814582</v>
      </c>
      <c r="Y36" s="4405"/>
      <c r="Z36" s="4405"/>
      <c r="AA36" s="4405"/>
      <c r="AB36" s="4405"/>
      <c r="AC36" s="4405"/>
      <c r="AD36" s="4405"/>
      <c r="AE36" s="4405"/>
      <c r="AF36" s="262"/>
      <c r="AG36" s="4405" t="str">
        <f>IF(TITLE_IST_PUB_CHANGE="",IF(TITLE_IST_PUB="","",TITLE_IST_PUB),TITLE_IST_PUB_CHANGE)</f>
        <v>https://npa.gov-murman.ru/bitrix/components/b1team/govmurman.element.file/download.php?ID=537820&amp;FID=814582</v>
      </c>
      <c r="AH36" s="4405"/>
      <c r="AI36" s="4405"/>
      <c r="AJ36" s="4405"/>
      <c r="AK36" s="4405"/>
      <c r="AL36" s="4405"/>
      <c r="AM36" s="4405"/>
      <c r="AN36" s="4405"/>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4149" customFormat="1" ht="18.75" hidden="1" customHeight="1">
      <c r="A38" s="1166"/>
      <c r="B38" s="1166"/>
      <c r="C38" s="1166"/>
      <c r="D38" s="1166"/>
      <c r="E38" s="1166"/>
      <c r="F38" s="1166"/>
      <c r="G38" s="1166"/>
      <c r="H38" s="1166"/>
      <c r="I38" s="1166"/>
      <c r="J38" s="1166"/>
      <c r="K38" s="1166"/>
      <c r="L38" s="1166"/>
      <c r="M38" s="1298"/>
      <c r="N38" s="1166"/>
      <c r="O38" s="1166"/>
      <c r="P38" s="1166"/>
      <c r="U38" s="4403" t="s">
        <v>443</v>
      </c>
      <c r="V38" s="4403"/>
      <c r="W38" s="1290"/>
      <c r="X38" s="4404">
        <f>IF(TITLE_DATE_PR_CHANGE="",IF(TITLE_DATE_PR="","",TITLE_DATE_PR),TITLE_DATE_PR_CHANGE)</f>
        <v>45646</v>
      </c>
      <c r="Y38" s="4404"/>
      <c r="Z38" s="4404"/>
      <c r="AA38" s="4404"/>
      <c r="AB38" s="4404"/>
      <c r="AC38" s="4404"/>
      <c r="AD38" s="4404"/>
      <c r="AE38" s="4404"/>
      <c r="AF38" s="262"/>
      <c r="AG38" s="4404">
        <f>IF(TITLE_DATE_PR_CHANGE="",IF(TITLE_DATE_PR="","",TITLE_DATE_PR),TITLE_DATE_PR_CHANGE)</f>
        <v>45646</v>
      </c>
      <c r="AH38" s="4404"/>
      <c r="AI38" s="4404"/>
      <c r="AJ38" s="4404"/>
      <c r="AK38" s="4404"/>
      <c r="AL38" s="4404"/>
      <c r="AM38" s="4404"/>
      <c r="AN38" s="4404"/>
      <c r="AO38" s="262"/>
      <c r="AP38" s="262"/>
      <c r="AQ38" s="216"/>
      <c r="AR38" s="303"/>
      <c r="AS38" s="303"/>
      <c r="AT38" s="303"/>
      <c r="AU38" s="303"/>
      <c r="AV38" s="303"/>
      <c r="AW38" s="353">
        <v>0</v>
      </c>
    </row>
    <row r="39" spans="1:49" s="4149" customFormat="1" ht="18.75" hidden="1" customHeight="1">
      <c r="A39" s="1166"/>
      <c r="B39" s="1166"/>
      <c r="C39" s="1166"/>
      <c r="D39" s="1166"/>
      <c r="E39" s="1166"/>
      <c r="F39" s="1166"/>
      <c r="G39" s="1166"/>
      <c r="H39" s="1166"/>
      <c r="I39" s="1166"/>
      <c r="J39" s="1166"/>
      <c r="K39" s="1166"/>
      <c r="L39" s="1166"/>
      <c r="M39" s="1298"/>
      <c r="N39" s="1166"/>
      <c r="O39" s="1166"/>
      <c r="P39" s="1166"/>
      <c r="U39" s="4403" t="s">
        <v>444</v>
      </c>
      <c r="V39" s="4403"/>
      <c r="W39" s="1290"/>
      <c r="X39" s="4405" t="str">
        <f>IF(TITLE_NUMBER_PR_CHANGE="",IF(TITLE_NUMBER_PR="","",TITLE_NUMBER_PR),TITLE_NUMBER_PR_CHANGE)</f>
        <v>51/110</v>
      </c>
      <c r="Y39" s="4405"/>
      <c r="Z39" s="4405"/>
      <c r="AA39" s="4405"/>
      <c r="AB39" s="4405"/>
      <c r="AC39" s="4405"/>
      <c r="AD39" s="4405"/>
      <c r="AE39" s="4405"/>
      <c r="AF39" s="262"/>
      <c r="AG39" s="4405" t="str">
        <f>IF(TITLE_NUMBER_PR_CHANGE="",IF(TITLE_NUMBER_PR="","",TITLE_NUMBER_PR),TITLE_NUMBER_PR_CHANGE)</f>
        <v>51/110</v>
      </c>
      <c r="AH39" s="4405"/>
      <c r="AI39" s="4405"/>
      <c r="AJ39" s="4405"/>
      <c r="AK39" s="4405"/>
      <c r="AL39" s="4405"/>
      <c r="AM39" s="4405"/>
      <c r="AN39" s="4405"/>
      <c r="AO39" s="262"/>
      <c r="AP39" s="262"/>
      <c r="AQ39" s="216"/>
      <c r="AR39" s="303"/>
      <c r="AS39" s="303"/>
      <c r="AT39" s="303"/>
      <c r="AU39" s="303"/>
      <c r="AV39" s="303"/>
      <c r="AW39" s="353">
        <v>0</v>
      </c>
    </row>
    <row r="40" spans="1:49" s="4149"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445</v>
      </c>
      <c r="AG40" s="262"/>
      <c r="AH40" s="262"/>
      <c r="AI40" s="262"/>
      <c r="AJ40" s="262"/>
      <c r="AK40" s="262"/>
      <c r="AL40" s="262"/>
      <c r="AM40" s="262"/>
      <c r="AN40" s="262"/>
      <c r="AO40" s="214" t="s">
        <v>445</v>
      </c>
      <c r="AR40" s="303"/>
      <c r="AS40" s="303"/>
      <c r="AT40" s="303"/>
      <c r="AU40" s="303"/>
      <c r="AV40" s="303"/>
      <c r="AW40" s="353">
        <v>0</v>
      </c>
    </row>
    <row r="41" spans="1:49" ht="14.65" customHeight="1">
      <c r="R41" s="311"/>
      <c r="S41" s="311"/>
      <c r="T41" s="311"/>
      <c r="U41" s="1193"/>
      <c r="V41" s="298"/>
      <c r="W41" s="1162"/>
      <c r="X41" s="4424"/>
      <c r="Y41" s="4424"/>
      <c r="Z41" s="4424"/>
      <c r="AA41" s="4424"/>
      <c r="AB41" s="4424"/>
      <c r="AC41" s="4424"/>
      <c r="AD41" s="4424"/>
      <c r="AE41" s="4424"/>
      <c r="AF41" s="4424"/>
      <c r="AG41" s="4424"/>
      <c r="AH41" s="4424"/>
      <c r="AI41" s="4424"/>
      <c r="AJ41" s="4424"/>
      <c r="AK41" s="4424"/>
      <c r="AL41" s="4424"/>
      <c r="AM41" s="4424"/>
      <c r="AN41" s="4424"/>
      <c r="AO41" s="4424"/>
      <c r="AW41" s="1073">
        <v>14</v>
      </c>
    </row>
    <row r="42" spans="1:49" ht="14.65" customHeight="1">
      <c r="R42" s="311"/>
      <c r="S42" s="311"/>
      <c r="T42" s="311"/>
      <c r="U42" s="4274" t="s">
        <v>321</v>
      </c>
      <c r="V42" s="4274"/>
      <c r="W42" s="4274"/>
      <c r="X42" s="4274"/>
      <c r="Y42" s="4274"/>
      <c r="Z42" s="4274"/>
      <c r="AA42" s="4274"/>
      <c r="AB42" s="4274"/>
      <c r="AC42" s="4274"/>
      <c r="AD42" s="4274"/>
      <c r="AE42" s="4274"/>
      <c r="AF42" s="4274"/>
      <c r="AG42" s="4274"/>
      <c r="AH42" s="4274"/>
      <c r="AI42" s="4274"/>
      <c r="AJ42" s="4274"/>
      <c r="AK42" s="4274"/>
      <c r="AL42" s="4274"/>
      <c r="AM42" s="4274"/>
      <c r="AN42" s="4274"/>
      <c r="AO42" s="4274"/>
      <c r="AP42" s="4274"/>
      <c r="AQ42" s="4274" t="s">
        <v>322</v>
      </c>
      <c r="AW42" s="1073">
        <v>14</v>
      </c>
    </row>
    <row r="43" spans="1:49" ht="14.65" customHeight="1">
      <c r="R43" s="311"/>
      <c r="S43" s="311"/>
      <c r="T43" s="311"/>
      <c r="U43" s="4425" t="s">
        <v>92</v>
      </c>
      <c r="V43" s="4373" t="s">
        <v>446</v>
      </c>
      <c r="W43" s="237"/>
      <c r="X43" s="4426" t="s">
        <v>447</v>
      </c>
      <c r="Y43" s="4442"/>
      <c r="Z43" s="4442"/>
      <c r="AA43" s="4442"/>
      <c r="AB43" s="4442"/>
      <c r="AC43" s="4427"/>
      <c r="AD43" s="4427"/>
      <c r="AE43" s="4428"/>
      <c r="AF43" s="4429" t="s">
        <v>448</v>
      </c>
      <c r="AG43" s="4426" t="s">
        <v>447</v>
      </c>
      <c r="AH43" s="4442"/>
      <c r="AI43" s="4442"/>
      <c r="AJ43" s="4442"/>
      <c r="AK43" s="4442"/>
      <c r="AL43" s="4427"/>
      <c r="AM43" s="4427"/>
      <c r="AN43" s="4428"/>
      <c r="AO43" s="4429" t="s">
        <v>449</v>
      </c>
      <c r="AP43" s="4432" t="s">
        <v>450</v>
      </c>
      <c r="AQ43" s="4274"/>
      <c r="AW43" s="1073">
        <v>14</v>
      </c>
    </row>
    <row r="44" spans="1:49" ht="35.65" customHeight="1">
      <c r="R44" s="311"/>
      <c r="S44" s="311"/>
      <c r="T44" s="311"/>
      <c r="U44" s="4425"/>
      <c r="V44" s="4373"/>
      <c r="W44" s="953"/>
      <c r="X44" s="4346" t="s">
        <v>476</v>
      </c>
      <c r="Y44" s="4274" t="s">
        <v>477</v>
      </c>
      <c r="Z44" s="4274"/>
      <c r="AA44" s="4274"/>
      <c r="AB44" s="4274"/>
      <c r="AC44" s="4346" t="s">
        <v>454</v>
      </c>
      <c r="AD44" s="4454"/>
      <c r="AE44" s="4347"/>
      <c r="AF44" s="4430"/>
      <c r="AG44" s="4346" t="s">
        <v>476</v>
      </c>
      <c r="AH44" s="4274" t="s">
        <v>477</v>
      </c>
      <c r="AI44" s="4274"/>
      <c r="AJ44" s="4274"/>
      <c r="AK44" s="4274"/>
      <c r="AL44" s="4346" t="s">
        <v>454</v>
      </c>
      <c r="AM44" s="4454"/>
      <c r="AN44" s="4347"/>
      <c r="AO44" s="4430"/>
      <c r="AP44" s="4433"/>
      <c r="AQ44" s="4274"/>
      <c r="AW44" s="1073">
        <v>34</v>
      </c>
    </row>
    <row r="45" spans="1:49" ht="14.65" customHeight="1">
      <c r="R45" s="311"/>
      <c r="S45" s="311"/>
      <c r="T45" s="311"/>
      <c r="U45" s="4425"/>
      <c r="V45" s="4373"/>
      <c r="W45" s="953"/>
      <c r="X45" s="4348"/>
      <c r="Y45" s="4379" t="s">
        <v>478</v>
      </c>
      <c r="Z45" s="4378" t="s">
        <v>479</v>
      </c>
      <c r="AA45" s="4391"/>
      <c r="AB45" s="4392"/>
      <c r="AC45" s="4351"/>
      <c r="AD45" s="4455"/>
      <c r="AE45" s="4352"/>
      <c r="AF45" s="4430"/>
      <c r="AG45" s="4348"/>
      <c r="AH45" s="4379" t="s">
        <v>478</v>
      </c>
      <c r="AI45" s="4378" t="s">
        <v>479</v>
      </c>
      <c r="AJ45" s="4391"/>
      <c r="AK45" s="4392"/>
      <c r="AL45" s="4351"/>
      <c r="AM45" s="4455"/>
      <c r="AN45" s="4352"/>
      <c r="AO45" s="4430"/>
      <c r="AP45" s="4433"/>
      <c r="AQ45" s="4274"/>
      <c r="AW45" s="1073">
        <v>14</v>
      </c>
    </row>
    <row r="46" spans="1:49" ht="27.4" customHeight="1">
      <c r="R46" s="311"/>
      <c r="S46" s="311"/>
      <c r="T46" s="311"/>
      <c r="U46" s="4425"/>
      <c r="V46" s="4373"/>
      <c r="W46" s="953"/>
      <c r="X46" s="4348"/>
      <c r="Y46" s="4453"/>
      <c r="Z46" s="4379" t="s">
        <v>480</v>
      </c>
      <c r="AA46" s="4378" t="s">
        <v>481</v>
      </c>
      <c r="AB46" s="4392"/>
      <c r="AC46" s="4379" t="s">
        <v>464</v>
      </c>
      <c r="AD46" s="4383" t="s">
        <v>465</v>
      </c>
      <c r="AE46" s="4381"/>
      <c r="AF46" s="4430"/>
      <c r="AG46" s="4348"/>
      <c r="AH46" s="4453"/>
      <c r="AI46" s="4379" t="s">
        <v>480</v>
      </c>
      <c r="AJ46" s="4378" t="s">
        <v>481</v>
      </c>
      <c r="AK46" s="4392"/>
      <c r="AL46" s="4379" t="s">
        <v>464</v>
      </c>
      <c r="AM46" s="4383" t="s">
        <v>465</v>
      </c>
      <c r="AN46" s="4381"/>
      <c r="AO46" s="4430"/>
      <c r="AP46" s="4433"/>
      <c r="AQ46" s="4274"/>
      <c r="AW46" s="1073">
        <v>26</v>
      </c>
    </row>
    <row r="47" spans="1:49" ht="65.25" customHeight="1">
      <c r="A47" s="1177"/>
      <c r="B47" s="1177" t="s">
        <v>138</v>
      </c>
      <c r="C47" s="1177" t="s">
        <v>139</v>
      </c>
      <c r="D47" s="1177" t="s">
        <v>140</v>
      </c>
      <c r="E47" s="1228" t="s">
        <v>455</v>
      </c>
      <c r="F47" s="1228" t="s">
        <v>456</v>
      </c>
      <c r="G47" s="1228" t="s">
        <v>457</v>
      </c>
      <c r="H47" s="1228" t="s">
        <v>458</v>
      </c>
      <c r="I47" s="1228" t="s">
        <v>459</v>
      </c>
      <c r="J47" s="1228" t="s">
        <v>460</v>
      </c>
      <c r="K47" s="1228" t="s">
        <v>461</v>
      </c>
      <c r="L47" s="1228" t="s">
        <v>482</v>
      </c>
      <c r="M47" s="1228" t="s">
        <v>436</v>
      </c>
      <c r="R47" s="311"/>
      <c r="S47" s="311"/>
      <c r="T47" s="311"/>
      <c r="U47" s="4425"/>
      <c r="V47" s="4373"/>
      <c r="W47" s="238"/>
      <c r="X47" s="4351"/>
      <c r="Y47" s="4380"/>
      <c r="Z47" s="4380"/>
      <c r="AA47" s="1140" t="s">
        <v>483</v>
      </c>
      <c r="AB47" s="1140" t="s">
        <v>484</v>
      </c>
      <c r="AC47" s="4380"/>
      <c r="AD47" s="4384"/>
      <c r="AE47" s="4382"/>
      <c r="AF47" s="4431"/>
      <c r="AG47" s="4351"/>
      <c r="AH47" s="4380"/>
      <c r="AI47" s="4380"/>
      <c r="AJ47" s="1140" t="s">
        <v>483</v>
      </c>
      <c r="AK47" s="1140" t="s">
        <v>484</v>
      </c>
      <c r="AL47" s="4380"/>
      <c r="AM47" s="4384"/>
      <c r="AN47" s="4382"/>
      <c r="AO47" s="4431"/>
      <c r="AP47" s="4434"/>
      <c r="AQ47" s="4274"/>
      <c r="AW47" s="1073">
        <v>62</v>
      </c>
    </row>
    <row r="48" spans="1:49" s="4164"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113</v>
      </c>
      <c r="V48" s="1173" t="s">
        <v>114</v>
      </c>
      <c r="W48" s="1163" t="str">
        <f ca="1">OFFSET(W48,0,-1)</f>
        <v>2</v>
      </c>
      <c r="X48" s="1253">
        <f ca="1">OFFSET(X48,0,-1)+1</f>
        <v>3</v>
      </c>
      <c r="Y48" s="1259"/>
      <c r="Z48" s="1259"/>
      <c r="AA48" s="1259">
        <f ca="1">OFFSET(AA48,0,-1)+1</f>
        <v>1</v>
      </c>
      <c r="AB48" s="1259">
        <f ca="1">OFFSET(AB48,0,-1)+1</f>
        <v>2</v>
      </c>
      <c r="AC48" s="1253">
        <f ca="1">OFFSET(AC48,0,-1)+1</f>
        <v>3</v>
      </c>
      <c r="AD48" s="4423">
        <f ca="1">OFFSET(AD48,0,-1)+1</f>
        <v>4</v>
      </c>
      <c r="AE48" s="4423"/>
      <c r="AF48" s="1253">
        <f ca="1">OFFSET(AF48,0,-2)+1</f>
        <v>5</v>
      </c>
      <c r="AG48" s="1253">
        <f ca="1">OFFSET(AG48,0,-1)+1</f>
        <v>6</v>
      </c>
      <c r="AH48" s="1253"/>
      <c r="AI48" s="1253"/>
      <c r="AJ48" s="1253">
        <f ca="1">OFFSET(AJ48,0,-1)+1</f>
        <v>1</v>
      </c>
      <c r="AK48" s="1253">
        <f ca="1">OFFSET(AK48,0,-1)+1</f>
        <v>2</v>
      </c>
      <c r="AL48" s="1253">
        <f ca="1">OFFSET(AL48,0,-1)+1</f>
        <v>3</v>
      </c>
      <c r="AM48" s="4423">
        <f ca="1">OFFSET(AM48,0,-1)+1</f>
        <v>4</v>
      </c>
      <c r="AN48" s="4423"/>
      <c r="AO48" s="1253">
        <f ca="1">OFFSET(AO48,0,-2)+1</f>
        <v>5</v>
      </c>
      <c r="AP48" s="1163">
        <f ca="1">OFFSET(AP48,0,-1)</f>
        <v>5</v>
      </c>
      <c r="AQ48" s="1253">
        <f ca="1">OFFSET(AQ48,0,-1)+1</f>
        <v>6</v>
      </c>
      <c r="AR48" s="446"/>
      <c r="AS48" s="446"/>
      <c r="AT48" s="446"/>
      <c r="AU48" s="446"/>
      <c r="AV48" s="446"/>
      <c r="AW48" s="431">
        <v>0</v>
      </c>
    </row>
    <row r="49" spans="1:49" ht="21.95" customHeight="1">
      <c r="A49" s="1185" t="s">
        <v>197</v>
      </c>
      <c r="B49" s="1185"/>
      <c r="C49" s="1185"/>
      <c r="D49" s="1185"/>
      <c r="E49" s="443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126</v>
      </c>
      <c r="W49" s="236"/>
      <c r="X49" s="4406"/>
      <c r="Y49" s="4407"/>
      <c r="Z49" s="4407"/>
      <c r="AA49" s="4407"/>
      <c r="AB49" s="4407"/>
      <c r="AC49" s="4407"/>
      <c r="AD49" s="4407"/>
      <c r="AE49" s="4407"/>
      <c r="AF49" s="4408"/>
      <c r="AG49" s="4406" t="str">
        <f>INDEX(PT_DIFFERENTIATION_NTAR,MATCH(A49,PT_DIFFERENTIATION_NTAR_ID,0))</f>
        <v/>
      </c>
      <c r="AH49" s="4407"/>
      <c r="AI49" s="4407"/>
      <c r="AJ49" s="4407"/>
      <c r="AK49" s="4407"/>
      <c r="AL49" s="4407"/>
      <c r="AM49" s="4407"/>
      <c r="AN49" s="4407"/>
      <c r="AO49" s="4407"/>
      <c r="AP49" s="440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197</v>
      </c>
      <c r="B50" s="1185" t="s">
        <v>198</v>
      </c>
      <c r="C50" s="1185"/>
      <c r="D50" s="1185"/>
      <c r="E50" s="4439"/>
      <c r="F50" s="443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418</v>
      </c>
      <c r="W50" s="236"/>
      <c r="X50" s="4406"/>
      <c r="Y50" s="4407"/>
      <c r="Z50" s="4407"/>
      <c r="AA50" s="4407"/>
      <c r="AB50" s="4407"/>
      <c r="AC50" s="4407"/>
      <c r="AD50" s="4407"/>
      <c r="AE50" s="4407"/>
      <c r="AF50" s="4408"/>
      <c r="AG50" s="4406" t="str">
        <f>INDEX(PT_DIFFERENTIATION_TER,MATCH(B50,PT_DIFFERENTIATION_TER_ID,0))</f>
        <v/>
      </c>
      <c r="AH50" s="4407"/>
      <c r="AI50" s="4407"/>
      <c r="AJ50" s="4407"/>
      <c r="AK50" s="4407"/>
      <c r="AL50" s="4407"/>
      <c r="AM50" s="4407"/>
      <c r="AN50" s="4407"/>
      <c r="AO50" s="4407"/>
      <c r="AP50" s="4408"/>
      <c r="AQ50" s="1176" t="s">
        <v>419</v>
      </c>
      <c r="AS50" s="435"/>
      <c r="AT50" s="435" t="str">
        <f t="shared" si="2"/>
        <v>Территория действия тарифа</v>
      </c>
      <c r="AU50" s="435"/>
      <c r="AV50" s="435"/>
      <c r="AW50" s="1073">
        <v>21</v>
      </c>
    </row>
    <row r="51" spans="1:49" ht="24" customHeight="1">
      <c r="A51" s="1185" t="s">
        <v>197</v>
      </c>
      <c r="B51" s="1185" t="s">
        <v>198</v>
      </c>
      <c r="C51" s="1185" t="s">
        <v>199</v>
      </c>
      <c r="D51" s="1185"/>
      <c r="E51" s="4439"/>
      <c r="F51" s="4439"/>
      <c r="G51" s="4438">
        <v>1</v>
      </c>
      <c r="H51" s="1185"/>
      <c r="I51" s="1185"/>
      <c r="J51" s="1185"/>
      <c r="K51" s="1185"/>
      <c r="L51" s="1185"/>
      <c r="M51" s="1228"/>
      <c r="N51" s="623"/>
      <c r="O51" s="623"/>
      <c r="P51" s="623"/>
      <c r="Q51" s="289"/>
      <c r="R51" s="287"/>
      <c r="S51" s="444"/>
      <c r="T51" s="288"/>
      <c r="U51" s="1254" t="str">
        <f>INDEX(PT_DIFFERENTIATION_NUM_CS,MATCH(C51,PT_DIFFERENTIATION_CS_ID,0))</f>
        <v>..</v>
      </c>
      <c r="V51" s="245" t="s">
        <v>420</v>
      </c>
      <c r="W51" s="236"/>
      <c r="X51" s="4406"/>
      <c r="Y51" s="4407"/>
      <c r="Z51" s="4407"/>
      <c r="AA51" s="4407"/>
      <c r="AB51" s="4407"/>
      <c r="AC51" s="4407"/>
      <c r="AD51" s="4407"/>
      <c r="AE51" s="4407"/>
      <c r="AF51" s="4408"/>
      <c r="AG51" s="4406" t="str">
        <f>INDEX(PT_DIFFERENTIATION_CS,MATCH(C51,PT_DIFFERENTIATION_CS_ID,0))</f>
        <v/>
      </c>
      <c r="AH51" s="4407"/>
      <c r="AI51" s="4407"/>
      <c r="AJ51" s="4407"/>
      <c r="AK51" s="4407"/>
      <c r="AL51" s="4407"/>
      <c r="AM51" s="4407"/>
      <c r="AN51" s="4407"/>
      <c r="AO51" s="4407"/>
      <c r="AP51" s="4408"/>
      <c r="AQ51" s="1176" t="s">
        <v>421</v>
      </c>
      <c r="AS51" s="435"/>
      <c r="AT51" s="435" t="str">
        <f t="shared" si="2"/>
        <v xml:space="preserve">Наименование системы теплоснабжения </v>
      </c>
      <c r="AU51" s="435"/>
      <c r="AV51" s="435"/>
      <c r="AW51" s="1073">
        <v>23</v>
      </c>
    </row>
    <row r="52" spans="1:49" ht="21.95" customHeight="1">
      <c r="A52" s="1185" t="s">
        <v>197</v>
      </c>
      <c r="B52" s="1185" t="s">
        <v>198</v>
      </c>
      <c r="C52" s="1185" t="s">
        <v>199</v>
      </c>
      <c r="D52" s="1185" t="s">
        <v>200</v>
      </c>
      <c r="E52" s="4439"/>
      <c r="F52" s="4439"/>
      <c r="G52" s="4439"/>
      <c r="H52" s="4438">
        <v>1</v>
      </c>
      <c r="I52" s="1185"/>
      <c r="J52" s="1185"/>
      <c r="K52" s="1185"/>
      <c r="L52" s="1185"/>
      <c r="M52" s="1228"/>
      <c r="N52" s="623"/>
      <c r="O52" s="623"/>
      <c r="P52" s="623"/>
      <c r="Q52" s="289"/>
      <c r="R52" s="287"/>
      <c r="S52" s="444"/>
      <c r="T52" s="288"/>
      <c r="U52" s="1254" t="str">
        <f>INDEX(PT_DIFFERENTIATION_NUM_IST_TE,MATCH(D52,PT_DIFFERENTIATION_IST_TE_ID,0))</f>
        <v>...</v>
      </c>
      <c r="V52" s="246" t="s">
        <v>422</v>
      </c>
      <c r="W52" s="236"/>
      <c r="X52" s="4406"/>
      <c r="Y52" s="4407"/>
      <c r="Z52" s="4407"/>
      <c r="AA52" s="4407"/>
      <c r="AB52" s="4407"/>
      <c r="AC52" s="4407"/>
      <c r="AD52" s="4407"/>
      <c r="AE52" s="4407"/>
      <c r="AF52" s="4408"/>
      <c r="AG52" s="4406" t="str">
        <f>INDEX(PT_DIFFERENTIATION_IST_TE,MATCH(D52,PT_DIFFERENTIATION_IST_TE_ID,0))</f>
        <v/>
      </c>
      <c r="AH52" s="4407"/>
      <c r="AI52" s="4407"/>
      <c r="AJ52" s="4407"/>
      <c r="AK52" s="4407"/>
      <c r="AL52" s="4407"/>
      <c r="AM52" s="4407"/>
      <c r="AN52" s="4407"/>
      <c r="AO52" s="4407"/>
      <c r="AP52" s="4408"/>
      <c r="AQ52" s="1176" t="s">
        <v>423</v>
      </c>
      <c r="AS52" s="435"/>
      <c r="AT52" s="435" t="str">
        <f t="shared" si="2"/>
        <v xml:space="preserve">Источник тепловой энергии  </v>
      </c>
      <c r="AU52" s="435"/>
      <c r="AV52" s="435"/>
      <c r="AW52" s="1073">
        <v>21</v>
      </c>
    </row>
    <row r="53" spans="1:49" s="4140" customFormat="1" ht="0" hidden="1" customHeight="1">
      <c r="A53" s="1293" t="s">
        <v>197</v>
      </c>
      <c r="B53" s="1293" t="s">
        <v>198</v>
      </c>
      <c r="C53" s="1293" t="s">
        <v>199</v>
      </c>
      <c r="D53" s="1293" t="s">
        <v>200</v>
      </c>
      <c r="E53" s="4439"/>
      <c r="F53" s="4439"/>
      <c r="G53" s="4439"/>
      <c r="H53" s="4439"/>
      <c r="I53" s="4274" t="str">
        <f>U52&amp;".1"</f>
        <v>....1</v>
      </c>
      <c r="J53" s="1293"/>
      <c r="K53" s="1293"/>
      <c r="L53" s="1293"/>
      <c r="M53" s="1299" t="s">
        <v>424</v>
      </c>
      <c r="N53" s="1164"/>
      <c r="O53" s="1164"/>
      <c r="P53" s="1164"/>
      <c r="Q53" s="4416">
        <v>1</v>
      </c>
      <c r="R53" s="1249"/>
      <c r="S53" s="1249"/>
      <c r="T53" s="291"/>
      <c r="U53" s="964"/>
      <c r="V53" s="1301"/>
      <c r="W53" s="1302"/>
      <c r="X53" s="4443"/>
      <c r="Y53" s="4444"/>
      <c r="Z53" s="4444"/>
      <c r="AA53" s="4444"/>
      <c r="AB53" s="4444"/>
      <c r="AC53" s="4444"/>
      <c r="AD53" s="4444"/>
      <c r="AE53" s="4444"/>
      <c r="AF53" s="4445"/>
      <c r="AG53" s="4443"/>
      <c r="AH53" s="4444"/>
      <c r="AI53" s="4444"/>
      <c r="AJ53" s="4444"/>
      <c r="AK53" s="4444"/>
      <c r="AL53" s="4444"/>
      <c r="AM53" s="4444"/>
      <c r="AN53" s="4444"/>
      <c r="AO53" s="4444"/>
      <c r="AP53" s="4445"/>
      <c r="AQ53" s="1303"/>
      <c r="AS53" s="435"/>
      <c r="AT53" s="435" t="str">
        <f t="shared" si="2"/>
        <v/>
      </c>
      <c r="AU53" s="435"/>
      <c r="AV53" s="435"/>
      <c r="AW53" s="446">
        <v>0</v>
      </c>
    </row>
    <row r="54" spans="1:49" ht="21.95" customHeight="1">
      <c r="A54" s="1185" t="s">
        <v>197</v>
      </c>
      <c r="B54" s="1185" t="s">
        <v>198</v>
      </c>
      <c r="C54" s="1185" t="s">
        <v>199</v>
      </c>
      <c r="D54" s="1185" t="s">
        <v>200</v>
      </c>
      <c r="E54" s="4439"/>
      <c r="F54" s="4439"/>
      <c r="G54" s="4439"/>
      <c r="H54" s="4439"/>
      <c r="I54" s="4256"/>
      <c r="J54" s="4274" t="str">
        <f>I53&amp;".1"</f>
        <v>....1.1</v>
      </c>
      <c r="K54" s="1185"/>
      <c r="L54" s="1185"/>
      <c r="M54" s="1228" t="s">
        <v>427</v>
      </c>
      <c r="Q54" s="4416"/>
      <c r="R54" s="4416">
        <v>1</v>
      </c>
      <c r="S54" s="453"/>
      <c r="T54" s="292"/>
      <c r="U54" s="1254" t="str">
        <f>$J54</f>
        <v>....1.1</v>
      </c>
      <c r="V54" s="222" t="s">
        <v>428</v>
      </c>
      <c r="W54" s="236"/>
      <c r="X54" s="4400"/>
      <c r="Y54" s="4401"/>
      <c r="Z54" s="4401"/>
      <c r="AA54" s="4401"/>
      <c r="AB54" s="4401"/>
      <c r="AC54" s="4396"/>
      <c r="AD54" s="4396"/>
      <c r="AE54" s="4396"/>
      <c r="AF54" s="4456"/>
      <c r="AG54" s="4400"/>
      <c r="AH54" s="4401"/>
      <c r="AI54" s="4401"/>
      <c r="AJ54" s="4401"/>
      <c r="AK54" s="4401"/>
      <c r="AL54" s="4401"/>
      <c r="AM54" s="4401"/>
      <c r="AN54" s="4401"/>
      <c r="AO54" s="4401"/>
      <c r="AP54" s="4402"/>
      <c r="AQ54" s="1176" t="s">
        <v>429</v>
      </c>
      <c r="AS54" s="435"/>
      <c r="AT54" s="435" t="str">
        <f t="shared" si="2"/>
        <v>Группа потребителей</v>
      </c>
      <c r="AU54" s="435"/>
      <c r="AV54" s="435"/>
      <c r="AW54" s="1073">
        <v>21</v>
      </c>
    </row>
    <row r="55" spans="1:49" ht="21.95" customHeight="1">
      <c r="A55" s="1185" t="s">
        <v>197</v>
      </c>
      <c r="B55" s="1185" t="s">
        <v>198</v>
      </c>
      <c r="C55" s="1185" t="s">
        <v>199</v>
      </c>
      <c r="D55" s="1185" t="s">
        <v>200</v>
      </c>
      <c r="E55" s="4439"/>
      <c r="F55" s="4439"/>
      <c r="G55" s="4439"/>
      <c r="H55" s="4439"/>
      <c r="I55" s="4256"/>
      <c r="J55" s="4256"/>
      <c r="K55" s="4274" t="str">
        <f>J54&amp;".1"</f>
        <v>....1.1.1</v>
      </c>
      <c r="L55" s="78"/>
      <c r="M55" s="1228" t="s">
        <v>430</v>
      </c>
      <c r="Q55" s="4416"/>
      <c r="R55" s="4416"/>
      <c r="S55" s="453">
        <v>1</v>
      </c>
      <c r="T55" s="292"/>
      <c r="U55" s="1254" t="str">
        <f>$K55</f>
        <v>....1.1.1</v>
      </c>
      <c r="V55" s="1265"/>
      <c r="W55" s="236"/>
      <c r="X55" s="686"/>
      <c r="Y55" s="686"/>
      <c r="Z55" s="686"/>
      <c r="AA55" s="686"/>
      <c r="AB55" s="1323"/>
      <c r="AC55" s="4417"/>
      <c r="AD55" s="4284" t="s">
        <v>65</v>
      </c>
      <c r="AE55" s="4417"/>
      <c r="AF55" s="4284" t="s">
        <v>65</v>
      </c>
      <c r="AG55" s="1325"/>
      <c r="AH55" s="686"/>
      <c r="AI55" s="686"/>
      <c r="AJ55" s="686"/>
      <c r="AK55" s="1175"/>
      <c r="AL55" s="4417"/>
      <c r="AM55" s="4284" t="s">
        <v>65</v>
      </c>
      <c r="AN55" s="4417"/>
      <c r="AO55" s="4284" t="s">
        <v>65</v>
      </c>
      <c r="AP55" s="1266"/>
      <c r="AQ55" s="1225" t="s">
        <v>473</v>
      </c>
      <c r="AR55" s="446" t="e">
        <f ca="1">STRCHECKDATE(X57:AP57)</f>
        <v>#NAME?</v>
      </c>
      <c r="AS55" s="435"/>
      <c r="AT55" s="435" t="str">
        <f t="shared" si="2"/>
        <v/>
      </c>
      <c r="AU55" s="435"/>
      <c r="AV55" s="435"/>
      <c r="AW55" s="1073">
        <v>21</v>
      </c>
    </row>
    <row r="56" spans="1:49" ht="11.45" customHeight="1">
      <c r="A56" s="1185" t="s">
        <v>197</v>
      </c>
      <c r="B56" s="1185" t="s">
        <v>198</v>
      </c>
      <c r="C56" s="1185" t="s">
        <v>199</v>
      </c>
      <c r="D56" s="1185" t="s">
        <v>200</v>
      </c>
      <c r="E56" s="4439"/>
      <c r="F56" s="4439"/>
      <c r="G56" s="4439"/>
      <c r="H56" s="4439"/>
      <c r="I56" s="4256"/>
      <c r="J56" s="4256"/>
      <c r="K56" s="4256"/>
      <c r="L56" s="4274" t="str">
        <f>K55&amp;".1"</f>
        <v>....1.1.1.1</v>
      </c>
      <c r="M56" s="1228"/>
      <c r="Q56" s="4416"/>
      <c r="R56" s="4416"/>
      <c r="S56" s="453">
        <v>1</v>
      </c>
      <c r="T56" s="292"/>
      <c r="U56" s="1254" t="str">
        <f>$L56</f>
        <v>....1.1.1.1</v>
      </c>
      <c r="V56" s="1309"/>
      <c r="W56" s="236"/>
      <c r="X56" s="261"/>
      <c r="Y56" s="686"/>
      <c r="Z56" s="686"/>
      <c r="AA56" s="686"/>
      <c r="AB56" s="1323"/>
      <c r="AC56" s="4418"/>
      <c r="AD56" s="4284"/>
      <c r="AE56" s="4418"/>
      <c r="AF56" s="4284"/>
      <c r="AG56" s="1325"/>
      <c r="AH56" s="686"/>
      <c r="AI56" s="686"/>
      <c r="AJ56" s="686"/>
      <c r="AK56" s="1175"/>
      <c r="AL56" s="4418"/>
      <c r="AM56" s="4284"/>
      <c r="AN56" s="4418"/>
      <c r="AO56" s="4284"/>
      <c r="AP56" s="1266"/>
      <c r="AQ56" s="4435" t="s">
        <v>474</v>
      </c>
      <c r="AR56" s="446" t="e">
        <f ca="1">STRCHECKDATE(X58:AP58)</f>
        <v>#NAME?</v>
      </c>
      <c r="AS56" s="435"/>
      <c r="AT56" s="435" t="str">
        <f t="shared" si="2"/>
        <v/>
      </c>
      <c r="AU56" s="435"/>
      <c r="AV56" s="435"/>
      <c r="AW56" s="1073">
        <v>11</v>
      </c>
    </row>
    <row r="57" spans="1:49" ht="0" hidden="1" customHeight="1">
      <c r="A57" s="1185" t="s">
        <v>197</v>
      </c>
      <c r="B57" s="1185" t="s">
        <v>198</v>
      </c>
      <c r="C57" s="1185" t="s">
        <v>199</v>
      </c>
      <c r="D57" s="1185" t="s">
        <v>200</v>
      </c>
      <c r="E57" s="4439"/>
      <c r="F57" s="4439"/>
      <c r="G57" s="4439"/>
      <c r="H57" s="4439"/>
      <c r="I57" s="4256"/>
      <c r="J57" s="4256"/>
      <c r="K57" s="4256"/>
      <c r="L57" s="4274"/>
      <c r="M57" s="1228"/>
      <c r="Q57" s="4416"/>
      <c r="R57" s="4416"/>
      <c r="S57" s="453"/>
      <c r="T57" s="292"/>
      <c r="U57" s="1260"/>
      <c r="V57" s="236"/>
      <c r="W57" s="236"/>
      <c r="X57" s="261"/>
      <c r="Y57" s="261"/>
      <c r="Z57" s="261"/>
      <c r="AA57" s="261"/>
      <c r="AB57" s="1324" t="str">
        <f>AC55&amp;"-"&amp;AE55</f>
        <v>-</v>
      </c>
      <c r="AC57" s="4418"/>
      <c r="AD57" s="4284"/>
      <c r="AE57" s="4418"/>
      <c r="AF57" s="4284"/>
      <c r="AG57" s="1300"/>
      <c r="AH57" s="261"/>
      <c r="AI57" s="261"/>
      <c r="AJ57" s="261"/>
      <c r="AK57" s="264" t="str">
        <f>AL55&amp;"-"&amp;AN55</f>
        <v>-</v>
      </c>
      <c r="AL57" s="4418"/>
      <c r="AM57" s="4284"/>
      <c r="AN57" s="4418"/>
      <c r="AO57" s="4284"/>
      <c r="AP57" s="1267"/>
      <c r="AQ57" s="4436"/>
      <c r="AS57" s="435"/>
      <c r="AT57" s="435" t="str">
        <f t="shared" si="2"/>
        <v/>
      </c>
      <c r="AU57" s="435"/>
      <c r="AV57" s="435"/>
      <c r="AW57" s="1073">
        <v>0</v>
      </c>
    </row>
    <row r="58" spans="1:49" ht="11.45" customHeight="1">
      <c r="A58" s="1185" t="s">
        <v>197</v>
      </c>
      <c r="B58" s="1185" t="s">
        <v>198</v>
      </c>
      <c r="C58" s="1185" t="s">
        <v>199</v>
      </c>
      <c r="D58" s="1185" t="s">
        <v>200</v>
      </c>
      <c r="E58" s="4439"/>
      <c r="F58" s="4439"/>
      <c r="G58" s="4439"/>
      <c r="H58" s="4439"/>
      <c r="I58" s="4256"/>
      <c r="J58" s="4256"/>
      <c r="K58" s="4274"/>
      <c r="L58" s="1185"/>
      <c r="M58" s="1228"/>
      <c r="Q58" s="4416"/>
      <c r="R58" s="4416"/>
      <c r="S58" s="1249"/>
      <c r="T58" s="291"/>
      <c r="U58" s="1196"/>
      <c r="V58" s="224" t="s">
        <v>475</v>
      </c>
      <c r="W58" s="302"/>
      <c r="X58" s="302"/>
      <c r="Y58" s="302"/>
      <c r="Z58" s="302"/>
      <c r="AA58" s="302"/>
      <c r="AB58" s="302"/>
      <c r="AC58" s="4418"/>
      <c r="AD58" s="4284"/>
      <c r="AE58" s="4418"/>
      <c r="AF58" s="4284"/>
      <c r="AG58" s="302"/>
      <c r="AH58" s="302"/>
      <c r="AI58" s="302"/>
      <c r="AJ58" s="302"/>
      <c r="AK58" s="302"/>
      <c r="AL58" s="4418"/>
      <c r="AM58" s="4284"/>
      <c r="AN58" s="4418"/>
      <c r="AO58" s="4284"/>
      <c r="AP58" s="260"/>
      <c r="AQ58" s="4436"/>
      <c r="AS58" s="435"/>
      <c r="AT58" s="435" t="str">
        <f t="shared" si="2"/>
        <v>Добавить наименование поставщика</v>
      </c>
      <c r="AU58" s="435"/>
      <c r="AV58" s="435"/>
      <c r="AW58" s="1073">
        <v>11</v>
      </c>
    </row>
    <row r="59" spans="1:49" ht="11.45" customHeight="1">
      <c r="A59" s="1185" t="s">
        <v>197</v>
      </c>
      <c r="B59" s="1185" t="s">
        <v>198</v>
      </c>
      <c r="C59" s="1185" t="s">
        <v>199</v>
      </c>
      <c r="D59" s="1185" t="s">
        <v>200</v>
      </c>
      <c r="E59" s="4439"/>
      <c r="F59" s="4439"/>
      <c r="G59" s="4439"/>
      <c r="H59" s="4439"/>
      <c r="I59" s="4256"/>
      <c r="J59" s="4274"/>
      <c r="K59" s="1185"/>
      <c r="L59" s="1185"/>
      <c r="M59" s="1228"/>
      <c r="Q59" s="4416"/>
      <c r="R59" s="4416"/>
      <c r="S59" s="1249"/>
      <c r="T59" s="291"/>
      <c r="U59" s="1196"/>
      <c r="V59" s="223" t="s">
        <v>432</v>
      </c>
      <c r="W59" s="302"/>
      <c r="X59" s="302"/>
      <c r="Y59" s="302"/>
      <c r="Z59" s="302"/>
      <c r="AA59" s="302"/>
      <c r="AB59" s="302"/>
      <c r="AC59" s="1326"/>
      <c r="AD59" s="1326"/>
      <c r="AE59" s="1326"/>
      <c r="AF59" s="1326"/>
      <c r="AG59" s="302"/>
      <c r="AH59" s="302"/>
      <c r="AI59" s="302"/>
      <c r="AJ59" s="302"/>
      <c r="AK59" s="302"/>
      <c r="AL59" s="302"/>
      <c r="AM59" s="302"/>
      <c r="AN59" s="302"/>
      <c r="AO59" s="302"/>
      <c r="AP59" s="260"/>
      <c r="AQ59" s="4437"/>
      <c r="AS59" s="435"/>
      <c r="AT59" s="435" t="str">
        <f t="shared" si="2"/>
        <v>Добавить вид теплоносителя (параметры теплоносителя)</v>
      </c>
      <c r="AU59" s="435"/>
      <c r="AV59" s="435"/>
      <c r="AW59" s="1073">
        <v>11</v>
      </c>
    </row>
    <row r="60" spans="1:49" ht="11.45" customHeight="1">
      <c r="A60" s="1185" t="s">
        <v>197</v>
      </c>
      <c r="B60" s="1185" t="s">
        <v>198</v>
      </c>
      <c r="C60" s="1185" t="s">
        <v>199</v>
      </c>
      <c r="D60" s="1185" t="s">
        <v>200</v>
      </c>
      <c r="E60" s="4439"/>
      <c r="F60" s="4439"/>
      <c r="G60" s="4439"/>
      <c r="H60" s="4439"/>
      <c r="I60" s="4274"/>
      <c r="J60" s="1185"/>
      <c r="K60" s="1185"/>
      <c r="L60" s="1185"/>
      <c r="M60" s="1228"/>
      <c r="Q60" s="4416"/>
      <c r="R60" s="1249"/>
      <c r="S60" s="1249"/>
      <c r="T60" s="291"/>
      <c r="U60" s="1196"/>
      <c r="V60" s="300" t="s">
        <v>433</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197</v>
      </c>
      <c r="B61" s="1185" t="s">
        <v>198</v>
      </c>
      <c r="C61" s="1185" t="s">
        <v>199</v>
      </c>
      <c r="D61" s="1185" t="s">
        <v>200</v>
      </c>
      <c r="E61" s="4439"/>
      <c r="F61" s="4439"/>
      <c r="G61" s="4439"/>
      <c r="H61" s="443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4140" customFormat="1" ht="0" hidden="1" customHeight="1">
      <c r="A62" s="1293" t="s">
        <v>197</v>
      </c>
      <c r="B62" s="1293" t="s">
        <v>198</v>
      </c>
      <c r="C62" s="1293" t="s">
        <v>199</v>
      </c>
      <c r="D62" s="1292"/>
      <c r="E62" s="4439"/>
      <c r="F62" s="4439"/>
      <c r="G62" s="4438"/>
      <c r="H62" s="1292"/>
      <c r="I62" s="1292"/>
      <c r="J62" s="1292"/>
      <c r="K62" s="1292"/>
      <c r="L62" s="1292"/>
      <c r="M62" s="1295"/>
      <c r="N62" s="1296"/>
      <c r="O62" s="1296"/>
      <c r="P62" s="286"/>
      <c r="Q62" s="1234"/>
      <c r="R62" s="1235"/>
      <c r="S62" s="1234"/>
      <c r="T62" s="1234"/>
      <c r="U62" s="1240"/>
      <c r="V62" s="1243" t="s">
        <v>172</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4140" customFormat="1" ht="0" hidden="1" customHeight="1">
      <c r="A63" s="1293" t="s">
        <v>197</v>
      </c>
      <c r="B63" s="1293" t="s">
        <v>198</v>
      </c>
      <c r="C63" s="1292"/>
      <c r="D63" s="1292"/>
      <c r="E63" s="4439"/>
      <c r="F63" s="4438"/>
      <c r="G63" s="1292"/>
      <c r="H63" s="1292"/>
      <c r="I63" s="1292"/>
      <c r="J63" s="1292"/>
      <c r="K63" s="1292"/>
      <c r="L63" s="1292"/>
      <c r="M63" s="1295"/>
      <c r="N63" s="1297"/>
      <c r="O63" s="1297"/>
      <c r="P63" s="286"/>
      <c r="Q63" s="1234"/>
      <c r="R63" s="1235"/>
      <c r="S63" s="1234"/>
      <c r="T63" s="1234"/>
      <c r="U63" s="1240"/>
      <c r="V63" s="1243" t="s">
        <v>173</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4140" customFormat="1" ht="0" hidden="1" customHeight="1">
      <c r="A64" s="1293" t="s">
        <v>197</v>
      </c>
      <c r="B64" s="1293"/>
      <c r="C64" s="1293"/>
      <c r="D64" s="1293"/>
      <c r="E64" s="4438"/>
      <c r="F64" s="1293"/>
      <c r="G64" s="1293"/>
      <c r="H64" s="1293"/>
      <c r="I64" s="1293"/>
      <c r="J64" s="1293"/>
      <c r="K64" s="1293"/>
      <c r="L64" s="1293"/>
      <c r="M64" s="1299"/>
      <c r="N64" s="1297"/>
      <c r="O64" s="1297"/>
      <c r="P64" s="286"/>
      <c r="Q64" s="315"/>
      <c r="R64" s="1262"/>
      <c r="S64" s="315"/>
      <c r="T64" s="315"/>
      <c r="U64" s="1240"/>
      <c r="V64" s="1243" t="s">
        <v>174</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4140"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188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4411"/>
      <c r="W67" s="4411"/>
      <c r="X67" s="4411"/>
      <c r="Y67" s="4411"/>
      <c r="Z67" s="4411"/>
      <c r="AA67" s="4411"/>
      <c r="AB67" s="4411"/>
      <c r="AC67" s="4411"/>
      <c r="AD67" s="4411"/>
      <c r="AE67" s="4411"/>
      <c r="AF67" s="4411"/>
      <c r="AG67" s="4411"/>
      <c r="AH67" s="4411"/>
      <c r="AI67" s="4411"/>
      <c r="AJ67" s="4411"/>
      <c r="AK67" s="4411"/>
      <c r="AL67" s="4411"/>
      <c r="AM67" s="4411"/>
      <c r="AN67" s="4411"/>
      <c r="AO67" s="4411"/>
      <c r="AP67" s="4411"/>
      <c r="AQ67" s="4411"/>
      <c r="AW67" s="1073">
        <v>34</v>
      </c>
    </row>
    <row r="68" spans="1:49" ht="21" customHeight="1">
      <c r="P68" s="444"/>
      <c r="V68" s="4411"/>
      <c r="W68" s="4411"/>
      <c r="X68" s="4411"/>
      <c r="Y68" s="4411"/>
      <c r="Z68" s="4411"/>
      <c r="AA68" s="4411"/>
      <c r="AB68" s="4411"/>
      <c r="AC68" s="4411"/>
      <c r="AD68" s="4411"/>
      <c r="AE68" s="4411"/>
      <c r="AF68" s="4411"/>
      <c r="AG68" s="4411"/>
      <c r="AH68" s="4411"/>
      <c r="AI68" s="4411"/>
      <c r="AJ68" s="4411"/>
      <c r="AK68" s="4411"/>
      <c r="AL68" s="4411"/>
      <c r="AM68" s="4411"/>
      <c r="AN68" s="4411"/>
      <c r="AO68" s="4411"/>
      <c r="AP68" s="4411"/>
      <c r="AQ68" s="4411"/>
      <c r="AW68" s="1073">
        <v>20</v>
      </c>
    </row>
    <row r="69" spans="1:49" ht="14.65" customHeight="1">
      <c r="P69" s="444"/>
      <c r="AW69" s="1073">
        <v>14</v>
      </c>
    </row>
    <row r="70" spans="1:49" ht="28.5" customHeight="1">
      <c r="P70" s="444"/>
      <c r="V70" s="4411"/>
      <c r="W70" s="4411"/>
      <c r="X70" s="4411"/>
      <c r="Y70" s="4411"/>
      <c r="Z70" s="4411"/>
      <c r="AA70" s="4411"/>
      <c r="AB70" s="4411"/>
      <c r="AC70" s="4411"/>
      <c r="AD70" s="4411"/>
      <c r="AE70" s="4411"/>
      <c r="AF70" s="4411"/>
      <c r="AG70" s="4411"/>
      <c r="AH70" s="4411"/>
      <c r="AI70" s="4411"/>
      <c r="AJ70" s="4411"/>
      <c r="AK70" s="4411"/>
      <c r="AL70" s="4411"/>
      <c r="AM70" s="4411"/>
      <c r="AN70" s="4411"/>
      <c r="AO70" s="4411"/>
      <c r="AP70" s="4411"/>
      <c r="AQ70" s="4411"/>
      <c r="AW70" s="1073">
        <v>27</v>
      </c>
    </row>
    <row r="71" spans="1:49" ht="18.75" customHeight="1">
      <c r="P71" s="444"/>
      <c r="V71" s="4411"/>
      <c r="W71" s="4411"/>
      <c r="X71" s="4411"/>
      <c r="Y71" s="4411"/>
      <c r="Z71" s="4411"/>
      <c r="AA71" s="4411"/>
      <c r="AB71" s="4411"/>
      <c r="AC71" s="4411"/>
      <c r="AD71" s="4411"/>
      <c r="AE71" s="4411"/>
      <c r="AF71" s="4411"/>
      <c r="AG71" s="4411"/>
      <c r="AH71" s="4411"/>
      <c r="AI71" s="4411"/>
      <c r="AJ71" s="4411"/>
      <c r="AK71" s="4411"/>
      <c r="AL71" s="4411"/>
      <c r="AM71" s="4411"/>
      <c r="AN71" s="4411"/>
      <c r="AO71" s="4411"/>
      <c r="AP71" s="4411"/>
      <c r="AQ71" s="4411"/>
      <c r="AW71" s="1073">
        <v>18</v>
      </c>
    </row>
    <row r="72" spans="1:49" ht="22.5" hidden="1" customHeight="1">
      <c r="A72" s="1073" t="s">
        <v>86</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70" sqref="I70"/>
    </sheetView>
  </sheetViews>
  <sheetFormatPr defaultColWidth="9.140625" defaultRowHeight="11.25" customHeight="1"/>
  <cols>
    <col min="1" max="1" width="10.7109375" style="4134" hidden="1" customWidth="1"/>
    <col min="2" max="2" width="10.7109375" style="4135" hidden="1" customWidth="1"/>
    <col min="3" max="3" width="3" style="4136" customWidth="1"/>
    <col min="4" max="4" width="1" style="4133" customWidth="1"/>
    <col min="5" max="6" width="55" style="4133" customWidth="1"/>
    <col min="7" max="7" width="1" style="4137" customWidth="1"/>
    <col min="8" max="8" width="18" style="4133" hidden="1" customWidth="1"/>
    <col min="9" max="9" width="59" style="4138" customWidth="1"/>
    <col min="10" max="10" width="52.140625" style="4139" hidden="1" customWidth="1"/>
    <col min="11" max="11" width="8" style="4133" customWidth="1"/>
    <col min="12" max="12" width="77" style="4133" customWidth="1"/>
    <col min="13" max="16" width="8" style="4133" customWidth="1"/>
    <col min="17" max="17" width="12" style="4133" hidden="1" customWidth="1"/>
  </cols>
  <sheetData>
    <row r="1" spans="1:17" s="4130" customFormat="1" ht="3" customHeight="1">
      <c r="A1" s="712"/>
      <c r="B1" s="177"/>
      <c r="F1" s="178" t="s">
        <v>13</v>
      </c>
      <c r="G1" s="346"/>
      <c r="H1" s="11"/>
      <c r="I1" s="346"/>
      <c r="J1" s="796"/>
      <c r="Q1" s="178" t="s">
        <v>14</v>
      </c>
    </row>
    <row r="2" spans="1:17" s="4131" customFormat="1" ht="14.25" customHeight="1">
      <c r="A2" s="712"/>
      <c r="B2" s="38"/>
      <c r="E2" s="1657" t="str">
        <f>code</f>
        <v>Код отчёта: PP110.OPEN.INFO.PRICE.HEAT.EIAS</v>
      </c>
      <c r="F2" s="205"/>
      <c r="G2" s="181"/>
      <c r="H2" s="181"/>
      <c r="I2" s="181"/>
      <c r="J2" s="797"/>
      <c r="K2" s="181"/>
      <c r="Q2" s="11">
        <v>14</v>
      </c>
    </row>
    <row r="3" spans="1:17" ht="14.65" customHeight="1">
      <c r="E3" s="182" t="str">
        <f>version</f>
        <v>Версия отчёта: 1.1.1</v>
      </c>
      <c r="F3" s="205"/>
      <c r="G3" s="700"/>
      <c r="H3" s="700"/>
      <c r="I3" s="700"/>
      <c r="J3" s="798"/>
      <c r="K3" s="28"/>
      <c r="Q3" s="14">
        <v>14</v>
      </c>
    </row>
    <row r="4" spans="1:17" s="4132" customFormat="1" ht="6.4" customHeight="1">
      <c r="A4" s="713"/>
      <c r="B4" s="168"/>
      <c r="C4" s="169"/>
      <c r="D4" s="170"/>
      <c r="E4" s="179"/>
      <c r="F4" s="180"/>
      <c r="G4" s="701"/>
      <c r="H4" s="344"/>
      <c r="I4" s="346"/>
      <c r="J4" s="799"/>
      <c r="Q4" s="172">
        <v>6</v>
      </c>
    </row>
    <row r="5" spans="1:17" ht="39.75" customHeight="1">
      <c r="D5" s="15"/>
      <c r="E5" s="4255" t="str">
        <f>NameTemplatesInTitle</f>
        <v>Показатели, подлежащие раскрытию в сфере теплоснабжения (цены и тарифы)</v>
      </c>
      <c r="F5" s="4256"/>
      <c r="G5" s="702"/>
      <c r="J5" s="800"/>
      <c r="Q5" s="14">
        <v>38</v>
      </c>
    </row>
    <row r="6" spans="1:17" s="4132" customFormat="1" ht="6.4" customHeight="1">
      <c r="A6" s="713"/>
      <c r="B6" s="168"/>
      <c r="C6" s="169"/>
      <c r="D6" s="170"/>
      <c r="E6" s="173"/>
      <c r="F6" s="174"/>
      <c r="G6" s="702"/>
      <c r="H6" s="344"/>
      <c r="I6" s="346"/>
      <c r="J6" s="799"/>
      <c r="Q6" s="172">
        <v>6</v>
      </c>
    </row>
    <row r="7" spans="1:17" ht="21" customHeight="1">
      <c r="D7" s="15"/>
      <c r="E7" s="326" t="s">
        <v>15</v>
      </c>
      <c r="F7" s="152" t="s">
        <v>16</v>
      </c>
      <c r="G7" s="702"/>
      <c r="Q7" s="14">
        <v>20</v>
      </c>
    </row>
    <row r="8" spans="1:17" s="4132" customFormat="1" ht="6.4" customHeight="1">
      <c r="A8" s="714"/>
      <c r="B8" s="168"/>
      <c r="C8" s="169"/>
      <c r="D8" s="175"/>
      <c r="E8" s="173"/>
      <c r="F8" s="176"/>
      <c r="G8" s="17"/>
      <c r="H8" s="344"/>
      <c r="I8" s="346"/>
      <c r="J8" s="802"/>
      <c r="Q8" s="172">
        <v>6</v>
      </c>
    </row>
    <row r="9" spans="1:17" s="4133" customFormat="1" ht="19.5" hidden="1" customHeight="1">
      <c r="A9" s="713"/>
      <c r="B9" s="38"/>
      <c r="C9" s="343"/>
      <c r="D9" s="345"/>
      <c r="E9" s="1083" t="s">
        <v>17</v>
      </c>
      <c r="F9" s="1836"/>
      <c r="G9" s="702"/>
      <c r="I9" s="1815" t="str">
        <f>IF(TITLE_STRUCTURE_INFO_ROIV="","","раскрывается "&amp;INDEX(ROIV_INFO_COMMENT,MATCH(TITLE_STRUCTURE_INFO_ROIV,ROIV_INFO_LIST,0)))</f>
        <v/>
      </c>
      <c r="J9" s="801"/>
      <c r="Q9" s="344">
        <v>0</v>
      </c>
    </row>
    <row r="10" spans="1:17" s="4132" customFormat="1" ht="24" hidden="1" customHeight="1">
      <c r="A10" s="714"/>
      <c r="B10" s="361"/>
      <c r="C10" s="362"/>
      <c r="D10" s="175"/>
      <c r="E10" s="1083" t="s">
        <v>18</v>
      </c>
      <c r="F10" s="1978" t="s">
        <v>19</v>
      </c>
      <c r="G10" s="17"/>
      <c r="H10" s="344"/>
      <c r="I10" s="346"/>
      <c r="J10" s="802"/>
      <c r="Q10" s="365">
        <v>24</v>
      </c>
    </row>
    <row r="11" spans="1:17" ht="22.5" customHeight="1">
      <c r="A11" s="4258" t="s">
        <v>20</v>
      </c>
      <c r="D11" s="15"/>
      <c r="E11" s="1083" t="s">
        <v>21</v>
      </c>
      <c r="F11" s="2001">
        <v>42990</v>
      </c>
      <c r="G11" s="17"/>
      <c r="H11" s="703" t="s">
        <v>22</v>
      </c>
      <c r="J11" s="801" t="s">
        <v>23</v>
      </c>
      <c r="Q11" s="14">
        <v>0</v>
      </c>
    </row>
    <row r="12" spans="1:17" ht="22.5" customHeight="1">
      <c r="A12" s="4258"/>
      <c r="D12" s="15"/>
      <c r="E12" s="1083" t="s">
        <v>24</v>
      </c>
      <c r="F12" s="2001">
        <v>46630</v>
      </c>
      <c r="G12" s="13"/>
      <c r="J12" s="801" t="s">
        <v>25</v>
      </c>
      <c r="Q12" s="14">
        <v>0</v>
      </c>
    </row>
    <row r="13" spans="1:17" s="4133" customFormat="1" ht="22.5" hidden="1" customHeight="1">
      <c r="A13" s="717" t="s">
        <v>26</v>
      </c>
      <c r="B13" s="38"/>
      <c r="C13" s="343"/>
      <c r="D13" s="345"/>
      <c r="E13" s="1692" t="s">
        <v>27</v>
      </c>
      <c r="F13" s="1649" t="s">
        <v>28</v>
      </c>
      <c r="G13" s="17"/>
      <c r="H13" s="700"/>
      <c r="I13" s="346"/>
      <c r="J13" s="1693" t="s">
        <v>29</v>
      </c>
      <c r="Q13" s="344">
        <v>0</v>
      </c>
    </row>
    <row r="14" spans="1:17" s="4133" customFormat="1" ht="27" hidden="1" customHeight="1">
      <c r="A14" s="717" t="s">
        <v>30</v>
      </c>
      <c r="B14" s="38"/>
      <c r="C14" s="343"/>
      <c r="D14" s="345"/>
      <c r="E14" s="1083" t="s">
        <v>31</v>
      </c>
      <c r="F14" s="1684"/>
      <c r="G14" s="17"/>
      <c r="H14" s="700"/>
      <c r="I14" s="346"/>
      <c r="J14" s="801" t="s">
        <v>32</v>
      </c>
      <c r="Q14" s="344">
        <v>0</v>
      </c>
    </row>
    <row r="15" spans="1:17" s="4133" customFormat="1" ht="19.5" hidden="1" customHeight="1">
      <c r="A15" s="717" t="s">
        <v>33</v>
      </c>
      <c r="B15" s="38"/>
      <c r="C15" s="343"/>
      <c r="D15" s="345"/>
      <c r="E15" s="1083" t="s">
        <v>34</v>
      </c>
      <c r="F15" s="1684"/>
      <c r="G15" s="17"/>
      <c r="H15" s="700"/>
      <c r="I15" s="346"/>
      <c r="J15" s="801" t="s">
        <v>35</v>
      </c>
      <c r="Q15" s="344">
        <v>0</v>
      </c>
    </row>
    <row r="16" spans="1:17" s="4132" customFormat="1" ht="6.4" customHeight="1">
      <c r="A16" s="714"/>
      <c r="B16" s="168"/>
      <c r="C16" s="169"/>
      <c r="D16" s="175"/>
      <c r="E16" s="173"/>
      <c r="F16" s="176"/>
      <c r="G16" s="17"/>
      <c r="H16" s="344"/>
      <c r="I16" s="346"/>
      <c r="J16" s="799"/>
      <c r="Q16" s="172">
        <v>6</v>
      </c>
    </row>
    <row r="17" spans="1:17" ht="21" customHeight="1">
      <c r="D17" s="15"/>
      <c r="E17" s="326" t="s">
        <v>36</v>
      </c>
      <c r="F17" s="2002" t="s">
        <v>37</v>
      </c>
      <c r="G17" s="13"/>
      <c r="H17" s="703" t="s">
        <v>22</v>
      </c>
      <c r="Q17" s="14">
        <v>20</v>
      </c>
    </row>
    <row r="18" spans="1:17" ht="25.5" customHeight="1">
      <c r="D18" s="15"/>
      <c r="E18" s="1692" t="s">
        <v>38</v>
      </c>
      <c r="F18" s="2003">
        <v>45646</v>
      </c>
      <c r="G18" s="13"/>
      <c r="I18" s="704"/>
      <c r="J18" s="4257" t="s">
        <v>39</v>
      </c>
      <c r="Q18" s="14">
        <v>0</v>
      </c>
    </row>
    <row r="19" spans="1:17" ht="25.5"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3">
        <v>45658</v>
      </c>
      <c r="G19" s="13"/>
      <c r="I19" s="704"/>
      <c r="J19" s="4257"/>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29"/>
      <c r="J20" s="800" t="s">
        <v>40</v>
      </c>
      <c r="Q20" s="14">
        <v>0</v>
      </c>
    </row>
    <row r="21" spans="1:17" ht="19.5" customHeight="1">
      <c r="D21" s="15"/>
      <c r="E21" s="326" t="str">
        <f>"Дата "&amp;IF(TEMPLATE_GROUP="P","документа","подачи заявления")&amp;" об утверждении тарифов"</f>
        <v>Дата документа об утверждении тарифов</v>
      </c>
      <c r="F21" s="2001">
        <v>42990</v>
      </c>
      <c r="G21" s="13"/>
      <c r="I21" s="705"/>
      <c r="Q21" s="14">
        <v>0</v>
      </c>
    </row>
    <row r="22" spans="1:17" ht="19.5" customHeight="1">
      <c r="D22" s="15"/>
      <c r="E22" s="326" t="str">
        <f>"Номер "&amp;IF(TEMPLATE_GROUP="P","документа","подачи заявления")&amp;" об утверждении тарифов"</f>
        <v>Номер документа об утверждении тарифов</v>
      </c>
      <c r="F22" s="153" t="s">
        <v>41</v>
      </c>
      <c r="G22" s="13"/>
      <c r="I22" s="705"/>
      <c r="Q22" s="14">
        <v>0</v>
      </c>
    </row>
    <row r="23" spans="1:17" ht="22.5" customHeight="1">
      <c r="D23" s="15"/>
      <c r="E23" s="326" t="s">
        <v>42</v>
      </c>
      <c r="F23" s="153" t="s">
        <v>43</v>
      </c>
      <c r="G23" s="13"/>
      <c r="Q23" s="14">
        <v>0</v>
      </c>
    </row>
    <row r="24" spans="1:17" ht="19.5" customHeight="1">
      <c r="D24" s="15"/>
      <c r="E24" s="326" t="s">
        <v>44</v>
      </c>
      <c r="F24" s="2004" t="s">
        <v>45</v>
      </c>
      <c r="G24" s="13"/>
      <c r="Q24" s="14">
        <v>0</v>
      </c>
    </row>
    <row r="25" spans="1:17" ht="22.5" customHeight="1">
      <c r="D25" s="15"/>
      <c r="E25" s="16"/>
      <c r="F25" s="206" t="str">
        <f>"Изменение "&amp;IF(TEMPLATE_GROUP="P","тарифов","предложения по тарифам")</f>
        <v>Изменение тарифов</v>
      </c>
      <c r="G25" s="13"/>
      <c r="J25" s="800" t="s">
        <v>46</v>
      </c>
      <c r="Q25" s="14">
        <v>0</v>
      </c>
    </row>
    <row r="26" spans="1:17" ht="19.5" customHeight="1">
      <c r="D26" s="15"/>
      <c r="E26" s="326" t="str">
        <f>"Дата "&amp;IF(TEMPLATE_GROUP="P","принятия решения","подачи заявления")&amp;" об изменении тарифов"</f>
        <v>Дата принятия решения об изменении тарифов</v>
      </c>
      <c r="F26" s="2003">
        <v>45646</v>
      </c>
      <c r="G26" s="13"/>
      <c r="Q26" s="14">
        <v>0</v>
      </c>
    </row>
    <row r="27" spans="1:17" ht="19.5" customHeight="1">
      <c r="D27" s="15"/>
      <c r="E27" s="1083" t="str">
        <f>"Номер "&amp;IF(TEMPLATE_GROUP="P","принятия решения","заявления")&amp;" об изменении тарифов"</f>
        <v>Номер принятия решения об изменении тарифов</v>
      </c>
      <c r="F27" s="2005" t="s">
        <v>47</v>
      </c>
      <c r="G27" s="13"/>
      <c r="Q27" s="14">
        <v>0</v>
      </c>
    </row>
    <row r="28" spans="1:17" ht="24.75" customHeight="1">
      <c r="D28" s="15"/>
      <c r="E28" s="326" t="s">
        <v>48</v>
      </c>
      <c r="F28" s="2005" t="s">
        <v>43</v>
      </c>
      <c r="G28" s="13"/>
      <c r="Q28" s="14">
        <v>0</v>
      </c>
    </row>
    <row r="29" spans="1:17" ht="19.5" customHeight="1">
      <c r="D29" s="15"/>
      <c r="E29" s="326" t="s">
        <v>44</v>
      </c>
      <c r="F29" s="2006" t="s">
        <v>49</v>
      </c>
      <c r="G29" s="13"/>
      <c r="Q29" s="14">
        <v>0</v>
      </c>
    </row>
    <row r="30" spans="1:17" s="4132" customFormat="1" ht="6.4" customHeight="1">
      <c r="A30" s="714"/>
      <c r="B30" s="168"/>
      <c r="C30" s="169"/>
      <c r="D30" s="175"/>
      <c r="E30" s="173"/>
      <c r="F30" s="176"/>
      <c r="G30" s="17"/>
      <c r="H30" s="344"/>
      <c r="I30" s="346"/>
      <c r="J30" s="799"/>
      <c r="Q30" s="172">
        <v>6</v>
      </c>
    </row>
    <row r="31" spans="1:17" ht="21" customHeight="1">
      <c r="C31" s="18"/>
      <c r="D31" s="19"/>
      <c r="E31" s="326" t="str">
        <f>"Наименование "&amp;IF(TEMPLATE_GROUP="ROIV","органа тарифного регулирования","ЮЛ / ИП")</f>
        <v>Наименование ЮЛ / ИП</v>
      </c>
      <c r="F31" s="154" t="s">
        <v>50</v>
      </c>
      <c r="G31" s="706"/>
      <c r="Q31" s="14">
        <v>20</v>
      </c>
    </row>
    <row r="32" spans="1:17" ht="21" hidden="1" customHeight="1">
      <c r="C32" s="18"/>
      <c r="D32" s="19"/>
      <c r="E32" s="327" t="s">
        <v>51</v>
      </c>
      <c r="F32" s="154"/>
      <c r="G32" s="706"/>
      <c r="Q32" s="14">
        <v>20</v>
      </c>
    </row>
    <row r="33" spans="1:17" ht="21" customHeight="1">
      <c r="C33" s="18"/>
      <c r="D33" s="19"/>
      <c r="E33" s="326" t="s">
        <v>52</v>
      </c>
      <c r="F33" s="154" t="s">
        <v>53</v>
      </c>
      <c r="G33" s="706"/>
      <c r="Q33" s="14">
        <v>20</v>
      </c>
    </row>
    <row r="34" spans="1:17" ht="21" customHeight="1">
      <c r="C34" s="18"/>
      <c r="D34" s="19"/>
      <c r="E34" s="326" t="s">
        <v>54</v>
      </c>
      <c r="F34" s="154" t="s">
        <v>55</v>
      </c>
      <c r="G34" s="706"/>
      <c r="H34" s="20"/>
      <c r="Q34" s="14">
        <v>20</v>
      </c>
    </row>
    <row r="35" spans="1:17" s="4132" customFormat="1" ht="11.45" customHeight="1">
      <c r="A35" s="714"/>
      <c r="B35" s="168"/>
      <c r="C35" s="169"/>
      <c r="D35" s="175"/>
      <c r="E35" s="173"/>
      <c r="F35" s="176"/>
      <c r="G35" s="17"/>
      <c r="H35" s="344"/>
      <c r="I35" s="346"/>
      <c r="J35" s="799"/>
      <c r="Q35" s="172">
        <v>11</v>
      </c>
    </row>
    <row r="36" spans="1:17" ht="19.5" customHeight="1">
      <c r="A36" s="804"/>
      <c r="D36" s="19"/>
      <c r="E36" s="326" t="s">
        <v>56</v>
      </c>
      <c r="F36" s="2007" t="s">
        <v>57</v>
      </c>
      <c r="G36" s="17"/>
      <c r="Q36" s="14">
        <v>0</v>
      </c>
    </row>
    <row r="37" spans="1:17" ht="21" customHeight="1">
      <c r="A37" s="804"/>
      <c r="D37" s="19"/>
      <c r="E37" s="326" t="s">
        <v>58</v>
      </c>
      <c r="F37" s="2007" t="s">
        <v>59</v>
      </c>
      <c r="G37" s="17"/>
      <c r="Q37" s="14">
        <v>20</v>
      </c>
    </row>
    <row r="38" spans="1:17" s="4132" customFormat="1" ht="6.4" customHeight="1">
      <c r="A38" s="714"/>
      <c r="B38" s="168"/>
      <c r="C38" s="169"/>
      <c r="D38" s="170"/>
      <c r="E38" s="171"/>
      <c r="F38" s="975"/>
      <c r="G38" s="13"/>
      <c r="H38" s="344"/>
      <c r="I38" s="346"/>
      <c r="J38" s="801"/>
      <c r="Q38" s="172">
        <v>6</v>
      </c>
    </row>
    <row r="39" spans="1:17" ht="36.75" customHeight="1">
      <c r="A39" s="714"/>
      <c r="D39" s="15"/>
      <c r="E39" s="326" t="s">
        <v>60</v>
      </c>
      <c r="F39" s="645" t="s">
        <v>19</v>
      </c>
      <c r="G39" s="13"/>
      <c r="H39" s="703" t="s">
        <v>22</v>
      </c>
      <c r="Q39" s="14">
        <v>35</v>
      </c>
    </row>
    <row r="40" spans="1:17" s="4132" customFormat="1" ht="6" hidden="1" customHeight="1">
      <c r="A40" s="713"/>
      <c r="B40" s="361"/>
      <c r="C40" s="362"/>
      <c r="D40" s="363"/>
      <c r="E40" s="364"/>
      <c r="F40" s="975"/>
      <c r="G40" s="13"/>
      <c r="H40" s="344"/>
      <c r="I40" s="346"/>
      <c r="J40" s="801"/>
      <c r="Q40" s="365">
        <v>6</v>
      </c>
    </row>
    <row r="41" spans="1:17" s="4133"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3"/>
      <c r="I41" s="346"/>
      <c r="J41" s="801"/>
      <c r="Q41" s="344">
        <v>0</v>
      </c>
    </row>
    <row r="42" spans="1:17" s="4132" customFormat="1" ht="6" customHeight="1">
      <c r="A42" s="713"/>
      <c r="B42" s="361"/>
      <c r="C42" s="362"/>
      <c r="D42" s="363"/>
      <c r="E42" s="364"/>
      <c r="F42" s="975"/>
      <c r="G42" s="13"/>
      <c r="H42" s="344"/>
      <c r="I42" s="346"/>
      <c r="J42" s="799"/>
      <c r="Q42" s="365">
        <v>0</v>
      </c>
    </row>
    <row r="43" spans="1:17" s="4133" customFormat="1" ht="27" hidden="1" customHeight="1">
      <c r="A43" s="713"/>
      <c r="B43" s="348"/>
      <c r="C43" s="343"/>
      <c r="D43" s="345"/>
      <c r="E43" s="326" t="s">
        <v>61</v>
      </c>
      <c r="F43" s="645" t="s">
        <v>19</v>
      </c>
      <c r="G43" s="13"/>
      <c r="I43" s="346"/>
      <c r="J43" s="801"/>
      <c r="Q43" s="344">
        <v>0</v>
      </c>
    </row>
    <row r="44" spans="1:17" s="4133" customFormat="1" ht="27" hidden="1" customHeight="1">
      <c r="A44" s="713"/>
      <c r="B44" s="348"/>
      <c r="C44" s="343"/>
      <c r="D44" s="345"/>
      <c r="E44" s="1083" t="s">
        <v>62</v>
      </c>
      <c r="F44" s="1803"/>
      <c r="G44" s="13"/>
      <c r="I44" s="346"/>
      <c r="J44" s="801"/>
      <c r="Q44" s="344">
        <v>0</v>
      </c>
    </row>
    <row r="45" spans="1:17" s="4132" customFormat="1" ht="6" customHeight="1">
      <c r="A45" s="713"/>
      <c r="B45" s="361"/>
      <c r="C45" s="362"/>
      <c r="D45" s="363"/>
      <c r="E45" s="364"/>
      <c r="F45" s="975"/>
      <c r="G45" s="13"/>
      <c r="H45" s="344"/>
      <c r="I45" s="346"/>
      <c r="J45" s="801"/>
      <c r="Q45" s="365">
        <v>0</v>
      </c>
    </row>
    <row r="46" spans="1:17" s="4132" customFormat="1" ht="24.75" customHeight="1">
      <c r="A46" s="713"/>
      <c r="B46" s="361"/>
      <c r="C46" s="362"/>
      <c r="D46" s="363"/>
      <c r="E46" s="1083" t="s">
        <v>63</v>
      </c>
      <c r="F46" s="645" t="s">
        <v>19</v>
      </c>
      <c r="G46" s="13"/>
      <c r="H46" s="344"/>
      <c r="I46" s="346"/>
      <c r="J46" s="801"/>
      <c r="Q46" s="365">
        <v>0</v>
      </c>
    </row>
    <row r="47" spans="1:17" s="4133" customFormat="1" ht="24.75" customHeight="1">
      <c r="A47" s="713"/>
      <c r="B47" s="348"/>
      <c r="C47" s="343"/>
      <c r="D47" s="345"/>
      <c r="E47" s="1083" t="s">
        <v>64</v>
      </c>
      <c r="F47" s="645" t="s">
        <v>19</v>
      </c>
      <c r="G47" s="13"/>
      <c r="I47" s="346"/>
      <c r="J47" s="801"/>
      <c r="Q47" s="344">
        <v>0</v>
      </c>
    </row>
    <row r="48" spans="1:17" s="4132" customFormat="1" ht="6" customHeight="1">
      <c r="A48" s="713"/>
      <c r="B48" s="168"/>
      <c r="C48" s="169"/>
      <c r="D48" s="170"/>
      <c r="E48" s="171"/>
      <c r="F48" s="975"/>
      <c r="G48" s="13"/>
      <c r="H48" s="344"/>
      <c r="I48" s="346"/>
      <c r="J48" s="801"/>
      <c r="Q48" s="172">
        <v>0</v>
      </c>
    </row>
    <row r="49" spans="1:17" ht="29.25" customHeight="1">
      <c r="B49" s="86"/>
      <c r="D49" s="15"/>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65</v>
      </c>
      <c r="G49" s="13"/>
      <c r="Q49" s="14">
        <v>0</v>
      </c>
    </row>
    <row r="50" spans="1:17" s="4132" customFormat="1" ht="6" hidden="1" customHeight="1">
      <c r="A50" s="714"/>
      <c r="B50" s="361"/>
      <c r="C50" s="362"/>
      <c r="D50" s="175"/>
      <c r="E50" s="173"/>
      <c r="F50" s="176"/>
      <c r="G50" s="17"/>
      <c r="H50" s="344"/>
      <c r="I50" s="346"/>
      <c r="J50" s="801"/>
      <c r="Q50" s="365">
        <v>0</v>
      </c>
    </row>
    <row r="51" spans="1:17" s="4133" customFormat="1" ht="28.5" hidden="1" customHeight="1">
      <c r="A51" s="715"/>
      <c r="B51" s="348"/>
      <c r="C51" s="465"/>
      <c r="D51" s="466"/>
      <c r="E51" s="326" t="s">
        <v>66</v>
      </c>
      <c r="F51" s="645" t="s">
        <v>19</v>
      </c>
      <c r="G51" s="467"/>
      <c r="I51" s="469"/>
      <c r="J51" s="803"/>
      <c r="P51" s="470"/>
      <c r="Q51" s="468">
        <v>0</v>
      </c>
    </row>
    <row r="52" spans="1:17" s="4132" customFormat="1" ht="6" hidden="1" customHeight="1">
      <c r="A52" s="714"/>
      <c r="B52" s="361"/>
      <c r="C52" s="362"/>
      <c r="D52" s="175"/>
      <c r="E52" s="173"/>
      <c r="F52" s="176"/>
      <c r="G52" s="17"/>
      <c r="H52" s="344"/>
      <c r="I52" s="346"/>
      <c r="J52" s="799"/>
      <c r="Q52" s="365">
        <v>0</v>
      </c>
    </row>
    <row r="53" spans="1:17" s="4133" customFormat="1" ht="27" hidden="1" customHeight="1">
      <c r="A53" s="715"/>
      <c r="B53" s="348"/>
      <c r="C53" s="465"/>
      <c r="D53" s="466"/>
      <c r="E53" s="326" t="s">
        <v>67</v>
      </c>
      <c r="F53" s="970" t="s">
        <v>19</v>
      </c>
      <c r="G53" s="467"/>
      <c r="I53" s="469"/>
      <c r="J53" s="803"/>
      <c r="P53" s="470"/>
      <c r="Q53" s="468">
        <v>0</v>
      </c>
    </row>
    <row r="54" spans="1:17" s="4133" customFormat="1" ht="27" hidden="1" customHeight="1">
      <c r="A54" s="715"/>
      <c r="B54" s="348"/>
      <c r="C54" s="465"/>
      <c r="D54" s="466"/>
      <c r="E54" s="326" t="s">
        <v>68</v>
      </c>
      <c r="F54" s="1691"/>
      <c r="G54" s="467"/>
      <c r="I54" s="469"/>
      <c r="J54" s="803"/>
      <c r="P54" s="470"/>
      <c r="Q54" s="468">
        <v>0</v>
      </c>
    </row>
    <row r="55" spans="1:17" s="4132" customFormat="1" ht="6" hidden="1" customHeight="1">
      <c r="A55" s="714"/>
      <c r="B55" s="361"/>
      <c r="C55" s="362"/>
      <c r="D55" s="175"/>
      <c r="E55" s="173"/>
      <c r="F55" s="176"/>
      <c r="G55" s="17"/>
      <c r="H55" s="344"/>
      <c r="I55" s="346"/>
      <c r="J55" s="799"/>
      <c r="Q55" s="365">
        <v>0</v>
      </c>
    </row>
    <row r="56" spans="1:17" s="4133" customFormat="1" ht="25.5" hidden="1" customHeight="1">
      <c r="A56" s="715"/>
      <c r="B56" s="348"/>
      <c r="C56" s="465"/>
      <c r="D56" s="466"/>
      <c r="E56" s="326" t="s">
        <v>69</v>
      </c>
      <c r="F56" s="970" t="s">
        <v>19</v>
      </c>
      <c r="G56" s="467"/>
      <c r="I56" s="469"/>
      <c r="J56" s="803"/>
      <c r="P56" s="470"/>
      <c r="Q56" s="468">
        <v>0</v>
      </c>
    </row>
    <row r="57" spans="1:17" s="4132" customFormat="1" ht="6" hidden="1" customHeight="1">
      <c r="A57" s="714"/>
      <c r="B57" s="361"/>
      <c r="C57" s="362"/>
      <c r="D57" s="175"/>
      <c r="E57" s="173"/>
      <c r="F57" s="176"/>
      <c r="G57" s="17"/>
      <c r="H57" s="344"/>
      <c r="I57" s="346"/>
      <c r="J57" s="799"/>
      <c r="Q57" s="365">
        <v>0</v>
      </c>
    </row>
    <row r="58" spans="1:17" s="4133" customFormat="1" ht="15" hidden="1" customHeight="1">
      <c r="A58" s="715"/>
      <c r="B58" s="348"/>
      <c r="C58" s="465"/>
      <c r="D58" s="466"/>
      <c r="E58" s="326" t="s">
        <v>70</v>
      </c>
      <c r="F58" s="970" t="s">
        <v>65</v>
      </c>
      <c r="G58" s="467"/>
      <c r="I58" s="469"/>
      <c r="J58" s="803"/>
      <c r="P58" s="470"/>
      <c r="Q58" s="468">
        <v>0</v>
      </c>
    </row>
    <row r="59" spans="1:17" s="4133"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4133" customFormat="1" ht="15" hidden="1" customHeight="1">
      <c r="A60" s="715"/>
      <c r="B60" s="348"/>
      <c r="C60" s="465"/>
      <c r="D60" s="466"/>
      <c r="E60" s="1083" t="s">
        <v>71</v>
      </c>
      <c r="F60" s="1069"/>
      <c r="G60" s="467"/>
      <c r="I60" s="469"/>
      <c r="J60" s="803"/>
      <c r="P60" s="470"/>
      <c r="Q60" s="468">
        <v>0</v>
      </c>
    </row>
    <row r="61" spans="1:17" s="4132" customFormat="1" ht="6" hidden="1" customHeight="1">
      <c r="A61" s="714"/>
      <c r="B61" s="361"/>
      <c r="C61" s="362"/>
      <c r="D61" s="363"/>
      <c r="E61" s="364"/>
      <c r="F61" s="975"/>
      <c r="G61" s="13"/>
      <c r="H61" s="344"/>
      <c r="I61" s="346"/>
      <c r="J61" s="801"/>
      <c r="Q61" s="365">
        <v>0</v>
      </c>
    </row>
    <row r="62" spans="1:17" s="4133" customFormat="1" ht="33.75" hidden="1" customHeight="1">
      <c r="A62" s="714"/>
      <c r="B62" s="38"/>
      <c r="C62" s="343"/>
      <c r="D62" s="345"/>
      <c r="E62" s="1083" t="s">
        <v>72</v>
      </c>
      <c r="F62" s="1589" t="s">
        <v>65</v>
      </c>
      <c r="G62" s="13"/>
      <c r="H62" s="703" t="s">
        <v>22</v>
      </c>
      <c r="I62" s="346"/>
      <c r="J62" s="801"/>
      <c r="Q62" s="344">
        <v>0</v>
      </c>
    </row>
    <row r="63" spans="1:17" s="4132" customFormat="1" ht="6.4" customHeight="1">
      <c r="A63" s="714"/>
      <c r="B63" s="168"/>
      <c r="C63" s="169"/>
      <c r="D63" s="175"/>
      <c r="E63" s="173"/>
      <c r="F63" s="176"/>
      <c r="G63" s="17"/>
      <c r="H63" s="344"/>
      <c r="I63" s="346"/>
      <c r="J63" s="799"/>
      <c r="Q63" s="172">
        <v>6</v>
      </c>
    </row>
    <row r="64" spans="1:17" ht="21" customHeight="1">
      <c r="A64" s="716"/>
      <c r="B64" s="39"/>
      <c r="D64" s="22"/>
      <c r="E64" s="326" t="s">
        <v>73</v>
      </c>
      <c r="F64" s="153" t="s">
        <v>74</v>
      </c>
      <c r="G64" s="17"/>
      <c r="Q64" s="14">
        <v>20</v>
      </c>
    </row>
    <row r="65" spans="1:17" ht="21" customHeight="1">
      <c r="A65" s="716"/>
      <c r="B65" s="39"/>
      <c r="D65" s="22"/>
      <c r="E65" s="326" t="s">
        <v>75</v>
      </c>
      <c r="F65" s="153" t="s">
        <v>76</v>
      </c>
      <c r="G65" s="17"/>
      <c r="Q65" s="14">
        <v>20</v>
      </c>
    </row>
    <row r="66" spans="1:17" ht="36.75" customHeight="1">
      <c r="D66" s="15"/>
      <c r="E66" s="328" t="s">
        <v>77</v>
      </c>
      <c r="F66" s="976"/>
      <c r="G66" s="13"/>
      <c r="Q66" s="14">
        <v>35</v>
      </c>
    </row>
    <row r="67" spans="1:17" ht="21" customHeight="1">
      <c r="A67" s="716"/>
      <c r="D67" s="345"/>
      <c r="E67" s="326" t="s">
        <v>78</v>
      </c>
      <c r="F67" s="207" t="s">
        <v>79</v>
      </c>
      <c r="G67" s="17"/>
      <c r="Q67" s="14">
        <v>20</v>
      </c>
    </row>
    <row r="68" spans="1:17" ht="21" customHeight="1">
      <c r="A68" s="716"/>
      <c r="B68" s="39"/>
      <c r="D68" s="22"/>
      <c r="E68" s="326" t="s">
        <v>80</v>
      </c>
      <c r="F68" s="207" t="s">
        <v>81</v>
      </c>
      <c r="G68" s="17"/>
      <c r="Q68" s="14">
        <v>20</v>
      </c>
    </row>
    <row r="69" spans="1:17" ht="21" customHeight="1">
      <c r="A69" s="716"/>
      <c r="B69" s="39"/>
      <c r="D69" s="22"/>
      <c r="E69" s="326" t="s">
        <v>82</v>
      </c>
      <c r="F69" s="207" t="s">
        <v>83</v>
      </c>
      <c r="G69" s="17"/>
      <c r="Q69" s="14">
        <v>20</v>
      </c>
    </row>
    <row r="70" spans="1:17" ht="21" customHeight="1">
      <c r="D70" s="345"/>
      <c r="E70" s="326" t="s">
        <v>84</v>
      </c>
      <c r="F70" s="2008" t="s">
        <v>85</v>
      </c>
      <c r="G70" s="13"/>
      <c r="Q70" s="14">
        <v>20</v>
      </c>
    </row>
    <row r="71" spans="1:17" ht="21" customHeight="1">
      <c r="A71" s="716"/>
      <c r="D71" s="13"/>
      <c r="F71" s="72"/>
      <c r="G71" s="17"/>
      <c r="Q71" s="14">
        <v>20</v>
      </c>
    </row>
    <row r="72" spans="1:17" ht="21" customHeight="1">
      <c r="A72" s="716"/>
      <c r="B72" s="39"/>
      <c r="D72" s="22"/>
      <c r="E72" s="21"/>
      <c r="F72" s="955" t="s">
        <v>13</v>
      </c>
      <c r="G72" s="17"/>
      <c r="Q72" s="14">
        <v>20</v>
      </c>
    </row>
    <row r="73" spans="1:17" ht="21" customHeight="1">
      <c r="A73" s="716"/>
      <c r="B73" s="39"/>
      <c r="D73" s="22"/>
      <c r="E73" s="21"/>
      <c r="F73" s="73"/>
      <c r="G73" s="17"/>
      <c r="Q73" s="14">
        <v>20</v>
      </c>
    </row>
    <row r="74" spans="1:17" ht="21" customHeight="1">
      <c r="A74" s="716"/>
      <c r="B74" s="39"/>
      <c r="D74" s="22"/>
      <c r="E74" s="26"/>
      <c r="F74" s="73"/>
      <c r="G74" s="17"/>
      <c r="Q74" s="14">
        <v>20</v>
      </c>
    </row>
    <row r="75" spans="1:17" ht="21" customHeight="1">
      <c r="A75" s="716"/>
      <c r="B75" s="39"/>
      <c r="D75" s="22"/>
      <c r="E75" s="21"/>
      <c r="F75" s="73"/>
      <c r="G75" s="17"/>
      <c r="Q75" s="14">
        <v>20</v>
      </c>
    </row>
    <row r="76" spans="1:17" ht="11.45" customHeight="1">
      <c r="Q76" s="14">
        <v>11</v>
      </c>
    </row>
    <row r="77" spans="1:17" ht="11.45" customHeight="1">
      <c r="Q77" s="14">
        <v>11</v>
      </c>
    </row>
    <row r="78" spans="1:17" ht="11.45" customHeight="1">
      <c r="E78" s="325"/>
      <c r="F78" s="325"/>
      <c r="G78" s="325"/>
      <c r="H78" s="325"/>
      <c r="I78" s="325"/>
      <c r="Q78" s="14">
        <v>11</v>
      </c>
    </row>
    <row r="79" spans="1:17" ht="11.25" hidden="1" customHeight="1">
      <c r="A79" s="713" t="s">
        <v>86</v>
      </c>
      <c r="B79" s="38">
        <v>0</v>
      </c>
      <c r="C79" s="12">
        <v>3</v>
      </c>
      <c r="D79" s="14">
        <v>1</v>
      </c>
      <c r="E79" s="14">
        <v>55</v>
      </c>
      <c r="F79" s="14">
        <v>54</v>
      </c>
      <c r="G79" s="701">
        <v>1</v>
      </c>
      <c r="H79" s="344">
        <v>0</v>
      </c>
      <c r="I79" s="346">
        <v>59</v>
      </c>
      <c r="J79" s="801">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 style="4166" customWidth="1"/>
    <col min="17" max="17" width="3" style="4200" customWidth="1"/>
    <col min="18" max="18" width="3" style="4168" customWidth="1"/>
    <col min="19" max="19" width="12" style="4169" customWidth="1"/>
    <col min="20" max="20" width="31" style="4133" customWidth="1"/>
    <col min="21" max="21" width="0.140625" style="4133" customWidth="1"/>
    <col min="22" max="23" width="21.7109375" style="4133" hidden="1" customWidth="1"/>
    <col min="24" max="24" width="11.7109375" style="4133" hidden="1" customWidth="1"/>
    <col min="25" max="25" width="3.7109375" style="4133" hidden="1" customWidth="1"/>
    <col min="26" max="26" width="11.7109375" style="4133" hidden="1" customWidth="1"/>
    <col min="27" max="27" width="8.5703125" style="4133" hidden="1" customWidth="1"/>
    <col min="28" max="28" width="5.42578125" style="4133" customWidth="1"/>
    <col min="29" max="30" width="3" style="4133" customWidth="1"/>
    <col min="31" max="31" width="24" style="4133" customWidth="1"/>
    <col min="32" max="32" width="3.7109375" style="4133" customWidth="1"/>
    <col min="33" max="34" width="3" style="4133" customWidth="1"/>
    <col min="35" max="35" width="24" style="4133" customWidth="1"/>
    <col min="36" max="36" width="3.7109375" style="4133" customWidth="1"/>
    <col min="37" max="38" width="3" style="4133" customWidth="1"/>
    <col min="39" max="39" width="18" style="4133" customWidth="1"/>
    <col min="40" max="41" width="21" style="4133" customWidth="1"/>
    <col min="42" max="42" width="11" style="4133" customWidth="1"/>
    <col min="43" max="43" width="3.7109375" style="4133" customWidth="1"/>
    <col min="44" max="44" width="11" style="4133" customWidth="1"/>
    <col min="45" max="45" width="8.5703125" style="4133" hidden="1" customWidth="1"/>
    <col min="46" max="46" width="4" style="4133" customWidth="1"/>
    <col min="47" max="47" width="115" style="4133" customWidth="1"/>
    <col min="48" max="52" width="10" style="4140" customWidth="1"/>
    <col min="53" max="53" width="10.5703125" style="4133" hidden="1"/>
  </cols>
  <sheetData>
    <row r="1" spans="1:53" ht="22.5" hidden="1" customHeight="1">
      <c r="W1" s="263"/>
      <c r="X1" s="263"/>
      <c r="AO1" s="263"/>
      <c r="AP1" s="263"/>
      <c r="BA1" s="1073" t="s">
        <v>14</v>
      </c>
    </row>
    <row r="2" spans="1:53" ht="21" hidden="1" customHeight="1">
      <c r="A2" s="1281"/>
      <c r="B2" s="1281"/>
      <c r="C2" s="1281"/>
      <c r="D2" s="1281"/>
      <c r="E2" s="4412">
        <v>1</v>
      </c>
      <c r="F2" s="1281"/>
      <c r="G2" s="1281"/>
      <c r="H2" s="1281"/>
      <c r="I2" s="1281"/>
      <c r="J2" s="1281"/>
      <c r="K2" s="1281"/>
      <c r="L2" s="1282"/>
      <c r="M2" s="1283"/>
      <c r="N2" s="1283"/>
      <c r="O2" s="1283"/>
      <c r="P2" s="1327"/>
      <c r="Q2" s="798"/>
      <c r="R2" s="290"/>
      <c r="S2" s="1254" t="e">
        <f>INDEX(PT_DIFFERENTIATION_NUM_NTAR,MATCH(A2,PT_DIFFERENTIATION_NTAR_ID,0))</f>
        <v>#N/A</v>
      </c>
      <c r="T2" s="234" t="s">
        <v>126</v>
      </c>
      <c r="U2" s="236"/>
      <c r="V2" s="4407"/>
      <c r="W2" s="4407"/>
      <c r="X2" s="4407"/>
      <c r="Y2" s="4407"/>
      <c r="Z2" s="4407"/>
      <c r="AA2" s="4408"/>
      <c r="AB2" s="4406" t="e">
        <f>INDEX(PT_DIFFERENTIATION_NTAR,MATCH(A2,PT_DIFFERENTIATION_NTAR_ID,0))</f>
        <v>#N/A</v>
      </c>
      <c r="AC2" s="4407"/>
      <c r="AD2" s="4407"/>
      <c r="AE2" s="4407"/>
      <c r="AF2" s="4407"/>
      <c r="AG2" s="4407"/>
      <c r="AH2" s="4407"/>
      <c r="AI2" s="4407"/>
      <c r="AJ2" s="4407"/>
      <c r="AK2" s="4407"/>
      <c r="AL2" s="4407"/>
      <c r="AM2" s="4407"/>
      <c r="AN2" s="4407"/>
      <c r="AO2" s="4407"/>
      <c r="AP2" s="4407"/>
      <c r="AQ2" s="4407"/>
      <c r="AR2" s="4407"/>
      <c r="AS2" s="4407"/>
      <c r="AT2" s="4408"/>
      <c r="AU2" s="1176" t="s">
        <v>417</v>
      </c>
      <c r="AW2" s="435"/>
      <c r="AX2" s="435" t="str">
        <f t="shared" ref="AX2:AX8" si="0">IF(T2="","",T2)</f>
        <v>Наименование тарифа</v>
      </c>
      <c r="AY2" s="435"/>
      <c r="AZ2" s="435"/>
      <c r="BA2" s="1073">
        <v>0</v>
      </c>
    </row>
    <row r="3" spans="1:53" ht="21" hidden="1" customHeight="1">
      <c r="A3" s="1281"/>
      <c r="B3" s="1281"/>
      <c r="C3" s="1281"/>
      <c r="D3" s="1281"/>
      <c r="E3" s="4413"/>
      <c r="F3" s="4412">
        <v>1</v>
      </c>
      <c r="G3" s="1281"/>
      <c r="H3" s="1281"/>
      <c r="I3" s="1281"/>
      <c r="J3" s="1281"/>
      <c r="K3" s="1281"/>
      <c r="L3" s="1282"/>
      <c r="M3" s="1283"/>
      <c r="N3" s="1283"/>
      <c r="O3" s="1283"/>
      <c r="P3" s="1328"/>
      <c r="Q3" s="1329"/>
      <c r="R3" s="288"/>
      <c r="S3" s="1254" t="e">
        <f>INDEX(PT_DIFFERENTIATION_NUM_TER,MATCH(B3,PT_DIFFERENTIATION_TER_ID,0))</f>
        <v>#N/A</v>
      </c>
      <c r="T3" s="244" t="s">
        <v>418</v>
      </c>
      <c r="U3" s="236"/>
      <c r="V3" s="4407"/>
      <c r="W3" s="4407"/>
      <c r="X3" s="4407"/>
      <c r="Y3" s="4407"/>
      <c r="Z3" s="4407"/>
      <c r="AA3" s="4408"/>
      <c r="AB3" s="4406" t="e">
        <f>INDEX(PT_DIFFERENTIATION_TER,MATCH(B3,PT_DIFFERENTIATION_TER_ID,0))</f>
        <v>#N/A</v>
      </c>
      <c r="AC3" s="4407"/>
      <c r="AD3" s="4407"/>
      <c r="AE3" s="4407"/>
      <c r="AF3" s="4407"/>
      <c r="AG3" s="4407"/>
      <c r="AH3" s="4407"/>
      <c r="AI3" s="4407"/>
      <c r="AJ3" s="4407"/>
      <c r="AK3" s="4407"/>
      <c r="AL3" s="4407"/>
      <c r="AM3" s="4407"/>
      <c r="AN3" s="4407"/>
      <c r="AO3" s="4407"/>
      <c r="AP3" s="4407"/>
      <c r="AQ3" s="4407"/>
      <c r="AR3" s="4407"/>
      <c r="AS3" s="4407"/>
      <c r="AT3" s="4408"/>
      <c r="AU3" s="1176" t="s">
        <v>419</v>
      </c>
      <c r="AW3" s="435"/>
      <c r="AX3" s="435" t="str">
        <f t="shared" si="0"/>
        <v>Территория действия тарифа</v>
      </c>
      <c r="AY3" s="435"/>
      <c r="AZ3" s="435"/>
      <c r="BA3" s="1073">
        <v>0</v>
      </c>
    </row>
    <row r="4" spans="1:53" ht="22.5" hidden="1" customHeight="1">
      <c r="A4" s="1281"/>
      <c r="B4" s="1281"/>
      <c r="C4" s="1281"/>
      <c r="D4" s="1281"/>
      <c r="E4" s="4413"/>
      <c r="F4" s="4413"/>
      <c r="G4" s="4412">
        <v>1</v>
      </c>
      <c r="H4" s="1281"/>
      <c r="I4" s="1281"/>
      <c r="J4" s="1281"/>
      <c r="K4" s="1281"/>
      <c r="L4" s="1282"/>
      <c r="M4" s="1283"/>
      <c r="N4" s="1283"/>
      <c r="O4" s="1283"/>
      <c r="P4" s="1330"/>
      <c r="Q4" s="1329"/>
      <c r="R4" s="288"/>
      <c r="S4" s="1254" t="e">
        <f>INDEX(PT_DIFFERENTIATION_NUM_CS,MATCH(C4,PT_DIFFERENTIATION_CS_ID,0))</f>
        <v>#N/A</v>
      </c>
      <c r="T4" s="245" t="s">
        <v>420</v>
      </c>
      <c r="U4" s="236"/>
      <c r="V4" s="4407"/>
      <c r="W4" s="4407"/>
      <c r="X4" s="4407"/>
      <c r="Y4" s="4407"/>
      <c r="Z4" s="4407"/>
      <c r="AA4" s="4408"/>
      <c r="AB4" s="4406" t="e">
        <f>INDEX(PT_DIFFERENTIATION_CS,MATCH(C4,PT_DIFFERENTIATION_CS_ID,0))</f>
        <v>#N/A</v>
      </c>
      <c r="AC4" s="4407"/>
      <c r="AD4" s="4407"/>
      <c r="AE4" s="4407"/>
      <c r="AF4" s="4407"/>
      <c r="AG4" s="4407"/>
      <c r="AH4" s="4407"/>
      <c r="AI4" s="4407"/>
      <c r="AJ4" s="4407"/>
      <c r="AK4" s="4407"/>
      <c r="AL4" s="4407"/>
      <c r="AM4" s="4407"/>
      <c r="AN4" s="4407"/>
      <c r="AO4" s="4407"/>
      <c r="AP4" s="4407"/>
      <c r="AQ4" s="4407"/>
      <c r="AR4" s="4407"/>
      <c r="AS4" s="4407"/>
      <c r="AT4" s="4408"/>
      <c r="AU4" s="1176" t="s">
        <v>421</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4413"/>
      <c r="F5" s="4413"/>
      <c r="G5" s="4413"/>
      <c r="H5" s="4412">
        <v>1</v>
      </c>
      <c r="I5" s="1281"/>
      <c r="J5" s="1281"/>
      <c r="K5" s="1281"/>
      <c r="L5" s="1282"/>
      <c r="M5" s="1283"/>
      <c r="N5" s="1283"/>
      <c r="O5" s="1283"/>
      <c r="P5" s="1330"/>
      <c r="Q5" s="1329"/>
      <c r="R5" s="288"/>
      <c r="S5" s="1254" t="e">
        <f>INDEX(PT_DIFFERENTIATION_NUM_IST_TE,MATCH(D5,PT_DIFFERENTIATION_IST_TE_ID,0))</f>
        <v>#N/A</v>
      </c>
      <c r="T5" s="246" t="s">
        <v>422</v>
      </c>
      <c r="U5" s="236"/>
      <c r="V5" s="4407"/>
      <c r="W5" s="4407"/>
      <c r="X5" s="4407"/>
      <c r="Y5" s="4407"/>
      <c r="Z5" s="4407"/>
      <c r="AA5" s="4408"/>
      <c r="AB5" s="4406" t="e">
        <f>INDEX(PT_DIFFERENTIATION_IST_TE,MATCH(D5,PT_DIFFERENTIATION_IST_TE_ID,0))</f>
        <v>#N/A</v>
      </c>
      <c r="AC5" s="4407"/>
      <c r="AD5" s="4407"/>
      <c r="AE5" s="4407"/>
      <c r="AF5" s="4407"/>
      <c r="AG5" s="4407"/>
      <c r="AH5" s="4407"/>
      <c r="AI5" s="4407"/>
      <c r="AJ5" s="4407"/>
      <c r="AK5" s="4407"/>
      <c r="AL5" s="4407"/>
      <c r="AM5" s="4407"/>
      <c r="AN5" s="4407"/>
      <c r="AO5" s="4407"/>
      <c r="AP5" s="4407"/>
      <c r="AQ5" s="4407"/>
      <c r="AR5" s="4407"/>
      <c r="AS5" s="4407"/>
      <c r="AT5" s="4408"/>
      <c r="AU5" s="1176" t="s">
        <v>423</v>
      </c>
      <c r="AW5" s="435"/>
      <c r="AX5" s="435" t="str">
        <f t="shared" si="0"/>
        <v xml:space="preserve">Источник тепловой энергии  </v>
      </c>
      <c r="AY5" s="435"/>
      <c r="AZ5" s="435"/>
      <c r="BA5" s="1073">
        <v>0</v>
      </c>
    </row>
    <row r="6" spans="1:53" s="4140" customFormat="1" ht="0.75" hidden="1" customHeight="1">
      <c r="A6" s="1261"/>
      <c r="B6" s="1261"/>
      <c r="C6" s="1261"/>
      <c r="D6" s="1261"/>
      <c r="E6" s="4413"/>
      <c r="F6" s="4413"/>
      <c r="G6" s="4413"/>
      <c r="H6" s="4413"/>
      <c r="I6" s="4414" t="e">
        <f>S5&amp;".1"</f>
        <v>#N/A</v>
      </c>
      <c r="J6" s="1261"/>
      <c r="K6" s="1261"/>
      <c r="L6" s="1264" t="s">
        <v>424</v>
      </c>
      <c r="M6" s="445"/>
      <c r="N6" s="445"/>
      <c r="O6" s="445"/>
      <c r="P6" s="4416">
        <v>1</v>
      </c>
      <c r="Q6" s="1249"/>
      <c r="R6" s="291"/>
      <c r="S6" s="964"/>
      <c r="T6" s="1301"/>
      <c r="U6" s="1302"/>
      <c r="V6" s="4444"/>
      <c r="W6" s="4444"/>
      <c r="X6" s="4444"/>
      <c r="Y6" s="4444"/>
      <c r="Z6" s="4444"/>
      <c r="AA6" s="4445"/>
      <c r="AB6" s="4443"/>
      <c r="AC6" s="4444"/>
      <c r="AD6" s="4444"/>
      <c r="AE6" s="4444"/>
      <c r="AF6" s="4444"/>
      <c r="AG6" s="4444"/>
      <c r="AH6" s="4444"/>
      <c r="AI6" s="4444"/>
      <c r="AJ6" s="4444"/>
      <c r="AK6" s="4444"/>
      <c r="AL6" s="4444"/>
      <c r="AM6" s="4444"/>
      <c r="AN6" s="4444"/>
      <c r="AO6" s="4444"/>
      <c r="AP6" s="4444"/>
      <c r="AQ6" s="4444"/>
      <c r="AR6" s="4444"/>
      <c r="AS6" s="4444"/>
      <c r="AT6" s="4445"/>
      <c r="AU6" s="1303"/>
      <c r="AW6" s="435"/>
      <c r="AX6" s="435" t="str">
        <f t="shared" si="0"/>
        <v/>
      </c>
      <c r="AY6" s="435"/>
      <c r="AZ6" s="435"/>
      <c r="BA6" s="446">
        <v>0</v>
      </c>
    </row>
    <row r="7" spans="1:53" s="4140" customFormat="1" ht="0.75" hidden="1" customHeight="1">
      <c r="A7" s="1261"/>
      <c r="B7" s="1261"/>
      <c r="C7" s="1261"/>
      <c r="D7" s="1261"/>
      <c r="E7" s="4413"/>
      <c r="F7" s="4413"/>
      <c r="G7" s="4413"/>
      <c r="H7" s="4413"/>
      <c r="I7" s="4415"/>
      <c r="J7" s="4414" t="e">
        <f>S5&amp;".1"</f>
        <v>#N/A</v>
      </c>
      <c r="K7" s="1261"/>
      <c r="L7" s="1264"/>
      <c r="M7" s="445"/>
      <c r="N7" s="445"/>
      <c r="O7" s="445"/>
      <c r="P7" s="4416"/>
      <c r="Q7" s="4416">
        <v>1</v>
      </c>
      <c r="R7" s="292"/>
      <c r="S7" s="964"/>
      <c r="T7" s="1317"/>
      <c r="U7" s="1302"/>
      <c r="V7" s="4444"/>
      <c r="W7" s="4444"/>
      <c r="X7" s="4444"/>
      <c r="Y7" s="4444"/>
      <c r="Z7" s="4444"/>
      <c r="AA7" s="4445"/>
      <c r="AB7" s="4443"/>
      <c r="AC7" s="4444"/>
      <c r="AD7" s="4444"/>
      <c r="AE7" s="4444"/>
      <c r="AF7" s="4444"/>
      <c r="AG7" s="4444"/>
      <c r="AH7" s="4444"/>
      <c r="AI7" s="4444"/>
      <c r="AJ7" s="4444"/>
      <c r="AK7" s="4444"/>
      <c r="AL7" s="4444"/>
      <c r="AM7" s="4444"/>
      <c r="AN7" s="4444"/>
      <c r="AO7" s="4444"/>
      <c r="AP7" s="4444"/>
      <c r="AQ7" s="4444"/>
      <c r="AR7" s="4444"/>
      <c r="AS7" s="4444"/>
      <c r="AT7" s="4445"/>
      <c r="AU7" s="1303"/>
      <c r="AW7" s="435"/>
      <c r="AX7" s="435" t="str">
        <f t="shared" si="0"/>
        <v/>
      </c>
      <c r="AY7" s="435"/>
      <c r="AZ7" s="435"/>
      <c r="BA7" s="446">
        <v>0</v>
      </c>
    </row>
    <row r="8" spans="1:53" ht="21" hidden="1" customHeight="1">
      <c r="A8" s="1281"/>
      <c r="B8" s="1281"/>
      <c r="C8" s="1281"/>
      <c r="D8" s="1281"/>
      <c r="E8" s="4413"/>
      <c r="F8" s="4413"/>
      <c r="G8" s="4413"/>
      <c r="H8" s="4413"/>
      <c r="I8" s="4415"/>
      <c r="J8" s="4415"/>
      <c r="K8" s="4414" t="e">
        <f>S5&amp;".1"</f>
        <v>#N/A</v>
      </c>
      <c r="L8" s="1282"/>
      <c r="P8" s="4416"/>
      <c r="Q8" s="4416"/>
      <c r="R8" s="4472">
        <v>1</v>
      </c>
      <c r="S8" s="4469" t="e">
        <f>$K8</f>
        <v>#N/A</v>
      </c>
      <c r="T8" s="4466"/>
      <c r="U8" s="236"/>
      <c r="V8" s="686"/>
      <c r="W8" s="1175"/>
      <c r="X8" s="4417"/>
      <c r="Y8" s="4284" t="s">
        <v>65</v>
      </c>
      <c r="Z8" s="4417"/>
      <c r="AA8" s="4284" t="s">
        <v>65</v>
      </c>
      <c r="AB8" s="4284" t="s">
        <v>19</v>
      </c>
      <c r="AC8" s="4465"/>
      <c r="AD8" s="4369">
        <v>1</v>
      </c>
      <c r="AE8" s="4479"/>
      <c r="AF8" s="4284" t="s">
        <v>19</v>
      </c>
      <c r="AG8" s="4465"/>
      <c r="AH8" s="4369">
        <v>1</v>
      </c>
      <c r="AI8" s="4479"/>
      <c r="AJ8" s="4284" t="s">
        <v>19</v>
      </c>
      <c r="AK8" s="247"/>
      <c r="AL8" s="1255">
        <v>1</v>
      </c>
      <c r="AM8" s="1316"/>
      <c r="AN8" s="686"/>
      <c r="AO8" s="1175"/>
      <c r="AP8" s="1651"/>
      <c r="AQ8" s="1377" t="s">
        <v>65</v>
      </c>
      <c r="AR8" s="1651"/>
      <c r="AS8" s="1377" t="s">
        <v>65</v>
      </c>
      <c r="AT8" s="1266"/>
      <c r="AU8" s="4435" t="s">
        <v>485</v>
      </c>
      <c r="AV8" s="446" t="e">
        <f ca="1">STRCHECKDATE(V11:AT11)</f>
        <v>#NAME?</v>
      </c>
      <c r="AW8" s="435"/>
      <c r="AX8" s="435" t="str">
        <f t="shared" si="0"/>
        <v/>
      </c>
      <c r="AY8" s="435"/>
      <c r="AZ8" s="435"/>
      <c r="BA8" s="1073">
        <v>0</v>
      </c>
    </row>
    <row r="9" spans="1:53" ht="11.25" hidden="1" customHeight="1">
      <c r="A9" s="1281"/>
      <c r="B9" s="1281"/>
      <c r="C9" s="1281"/>
      <c r="D9" s="1281"/>
      <c r="E9" s="4413"/>
      <c r="F9" s="4413"/>
      <c r="G9" s="4413"/>
      <c r="H9" s="4413"/>
      <c r="I9" s="4415"/>
      <c r="J9" s="4415"/>
      <c r="K9" s="4414"/>
      <c r="L9" s="1282"/>
      <c r="P9" s="4416"/>
      <c r="Q9" s="4416"/>
      <c r="R9" s="4472"/>
      <c r="S9" s="4470"/>
      <c r="T9" s="4467"/>
      <c r="U9" s="236"/>
      <c r="V9" s="1311"/>
      <c r="W9" s="1315"/>
      <c r="X9" s="4417"/>
      <c r="Y9" s="4284"/>
      <c r="Z9" s="4417"/>
      <c r="AA9" s="4284"/>
      <c r="AB9" s="4284"/>
      <c r="AC9" s="4465"/>
      <c r="AD9" s="4369"/>
      <c r="AE9" s="4479"/>
      <c r="AF9" s="4284"/>
      <c r="AG9" s="4465"/>
      <c r="AH9" s="4369"/>
      <c r="AI9" s="4479"/>
      <c r="AJ9" s="4284"/>
      <c r="AK9" s="252"/>
      <c r="AL9" s="351"/>
      <c r="AM9" s="350" t="s">
        <v>486</v>
      </c>
      <c r="AN9" s="1311"/>
      <c r="AO9" s="1414"/>
      <c r="AP9" s="1311"/>
      <c r="AQ9" s="1311"/>
      <c r="AR9" s="1311"/>
      <c r="AS9" s="1311"/>
      <c r="AT9" s="1308"/>
      <c r="AU9" s="4436"/>
      <c r="AW9" s="435"/>
      <c r="AX9" s="435"/>
      <c r="AY9" s="435"/>
      <c r="AZ9" s="435"/>
      <c r="BA9" s="1073">
        <v>0</v>
      </c>
    </row>
    <row r="10" spans="1:53" ht="11.25" hidden="1" customHeight="1">
      <c r="A10" s="1281"/>
      <c r="B10" s="1281"/>
      <c r="C10" s="1281"/>
      <c r="D10" s="1281"/>
      <c r="E10" s="4413"/>
      <c r="F10" s="4413"/>
      <c r="G10" s="4413"/>
      <c r="H10" s="4413"/>
      <c r="I10" s="4415"/>
      <c r="J10" s="4415"/>
      <c r="K10" s="4414"/>
      <c r="L10" s="1282"/>
      <c r="P10" s="4416"/>
      <c r="Q10" s="4416"/>
      <c r="R10" s="4472"/>
      <c r="S10" s="4470"/>
      <c r="T10" s="4467"/>
      <c r="U10" s="236"/>
      <c r="V10" s="1311"/>
      <c r="W10" s="1315"/>
      <c r="X10" s="4417"/>
      <c r="Y10" s="4284"/>
      <c r="Z10" s="4417"/>
      <c r="AA10" s="4284"/>
      <c r="AB10" s="4284"/>
      <c r="AC10" s="4465"/>
      <c r="AD10" s="4369"/>
      <c r="AE10" s="4479"/>
      <c r="AF10" s="4284"/>
      <c r="AG10" s="230"/>
      <c r="AH10" s="350"/>
      <c r="AI10" s="350" t="s">
        <v>487</v>
      </c>
      <c r="AJ10" s="1311"/>
      <c r="AK10" s="1311"/>
      <c r="AL10" s="1311"/>
      <c r="AM10" s="1311"/>
      <c r="AN10" s="1311"/>
      <c r="AO10" s="1414"/>
      <c r="AP10" s="1311"/>
      <c r="AQ10" s="1311"/>
      <c r="AR10" s="1311"/>
      <c r="AS10" s="1311"/>
      <c r="AT10" s="1308"/>
      <c r="AU10" s="4436"/>
      <c r="AW10" s="435"/>
      <c r="AX10" s="435"/>
      <c r="AY10" s="435"/>
      <c r="AZ10" s="435"/>
      <c r="BA10" s="1073">
        <v>0</v>
      </c>
    </row>
    <row r="11" spans="1:53" ht="11.25" hidden="1" customHeight="1">
      <c r="A11" s="1281"/>
      <c r="B11" s="1281"/>
      <c r="C11" s="1281"/>
      <c r="D11" s="1281"/>
      <c r="E11" s="4413"/>
      <c r="F11" s="4413"/>
      <c r="G11" s="4413"/>
      <c r="H11" s="4413"/>
      <c r="I11" s="4415"/>
      <c r="J11" s="4415"/>
      <c r="K11" s="4414"/>
      <c r="L11" s="1282"/>
      <c r="P11" s="4416"/>
      <c r="Q11" s="4416"/>
      <c r="R11" s="4472"/>
      <c r="S11" s="4471"/>
      <c r="T11" s="4468"/>
      <c r="U11" s="236"/>
      <c r="V11" s="1311"/>
      <c r="W11" s="1314" t="str">
        <f>X8&amp;"-"&amp;Z8</f>
        <v>-</v>
      </c>
      <c r="X11" s="4418"/>
      <c r="Y11" s="4284"/>
      <c r="Z11" s="4418"/>
      <c r="AA11" s="4284"/>
      <c r="AB11" s="4284"/>
      <c r="AC11" s="248"/>
      <c r="AD11" s="250"/>
      <c r="AE11" s="350" t="s">
        <v>488</v>
      </c>
      <c r="AF11" s="1311"/>
      <c r="AG11" s="1311"/>
      <c r="AH11" s="1311"/>
      <c r="AI11" s="1311"/>
      <c r="AJ11" s="1311"/>
      <c r="AK11" s="1311"/>
      <c r="AL11" s="1311"/>
      <c r="AM11" s="1311"/>
      <c r="AN11" s="1311"/>
      <c r="AO11" s="1312" t="str">
        <f>AP8&amp;"-"&amp;AR8</f>
        <v>-</v>
      </c>
      <c r="AP11" s="1311"/>
      <c r="AQ11" s="1311"/>
      <c r="AR11" s="1311"/>
      <c r="AS11" s="1311"/>
      <c r="AT11" s="1267"/>
      <c r="AU11" s="4436"/>
      <c r="AW11" s="435"/>
      <c r="AX11" s="435" t="str">
        <f t="shared" ref="AX11:AX17" si="1">IF(T11="","",T11)</f>
        <v/>
      </c>
      <c r="AY11" s="435"/>
      <c r="AZ11" s="435"/>
      <c r="BA11" s="1073">
        <v>0</v>
      </c>
    </row>
    <row r="12" spans="1:53" ht="11.25" hidden="1" customHeight="1">
      <c r="A12" s="1281"/>
      <c r="B12" s="1281"/>
      <c r="C12" s="1281"/>
      <c r="D12" s="1281"/>
      <c r="E12" s="4413"/>
      <c r="F12" s="4413"/>
      <c r="G12" s="4413"/>
      <c r="H12" s="4413"/>
      <c r="I12" s="4415"/>
      <c r="J12" s="4414"/>
      <c r="K12" s="1281"/>
      <c r="L12" s="1282"/>
      <c r="P12" s="4416"/>
      <c r="Q12" s="4416"/>
      <c r="R12" s="291"/>
      <c r="S12" s="1196"/>
      <c r="T12" s="223" t="s">
        <v>489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4437"/>
      <c r="AW12" s="435"/>
      <c r="AX12" s="435" t="str">
        <f t="shared" si="1"/>
        <v>Добавить строку</v>
      </c>
      <c r="AY12" s="435"/>
      <c r="AZ12" s="435"/>
      <c r="BA12" s="1073">
        <v>0</v>
      </c>
    </row>
    <row r="13" spans="1:53" s="4140" customFormat="1" ht="0.75" hidden="1" customHeight="1">
      <c r="A13" s="1261"/>
      <c r="B13" s="1261"/>
      <c r="C13" s="1261"/>
      <c r="D13" s="1261"/>
      <c r="E13" s="4413"/>
      <c r="F13" s="4413"/>
      <c r="G13" s="4413"/>
      <c r="H13" s="4413"/>
      <c r="I13" s="4414"/>
      <c r="J13" s="1261"/>
      <c r="K13" s="1261"/>
      <c r="L13" s="1264"/>
      <c r="M13" s="445"/>
      <c r="N13" s="445"/>
      <c r="O13" s="445"/>
      <c r="P13" s="441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4140" customFormat="1" ht="0.75" hidden="1" customHeight="1">
      <c r="A14" s="1261"/>
      <c r="B14" s="1261"/>
      <c r="C14" s="1261"/>
      <c r="D14" s="1261"/>
      <c r="E14" s="4413"/>
      <c r="F14" s="4413"/>
      <c r="G14" s="4413"/>
      <c r="H14" s="441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4140" customFormat="1" ht="0.75" hidden="1" customHeight="1">
      <c r="A15" s="1261"/>
      <c r="B15" s="1261"/>
      <c r="C15" s="1261"/>
      <c r="D15" s="1232"/>
      <c r="E15" s="4413"/>
      <c r="F15" s="4413"/>
      <c r="G15" s="4412"/>
      <c r="H15" s="1232"/>
      <c r="I15" s="1232"/>
      <c r="J15" s="1232"/>
      <c r="K15" s="1232"/>
      <c r="L15" s="1257"/>
      <c r="M15" s="1233"/>
      <c r="N15" s="1233"/>
      <c r="P15" s="1234"/>
      <c r="Q15" s="1235"/>
      <c r="R15" s="1234"/>
      <c r="S15" s="1240"/>
      <c r="T15" s="1243" t="s">
        <v>172</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4140" customFormat="1" ht="0.75" hidden="1" customHeight="1">
      <c r="A16" s="1261"/>
      <c r="B16" s="1261"/>
      <c r="C16" s="1232"/>
      <c r="D16" s="1232"/>
      <c r="E16" s="4413"/>
      <c r="F16" s="4412"/>
      <c r="G16" s="1232"/>
      <c r="H16" s="1232"/>
      <c r="I16" s="1232"/>
      <c r="J16" s="1232"/>
      <c r="K16" s="1232"/>
      <c r="L16" s="1257"/>
      <c r="M16" s="1239"/>
      <c r="N16" s="1239"/>
      <c r="P16" s="1234"/>
      <c r="Q16" s="1235"/>
      <c r="R16" s="1234"/>
      <c r="S16" s="1240"/>
      <c r="T16" s="1243" t="s">
        <v>173</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4140" customFormat="1" ht="0.75" hidden="1" customHeight="1">
      <c r="A17" s="1261"/>
      <c r="B17" s="1261"/>
      <c r="C17" s="1261"/>
      <c r="D17" s="1261"/>
      <c r="E17" s="4412"/>
      <c r="F17" s="1261"/>
      <c r="G17" s="1261"/>
      <c r="H17" s="1261"/>
      <c r="I17" s="1261"/>
      <c r="J17" s="1261"/>
      <c r="K17" s="1261"/>
      <c r="L17" s="1264"/>
      <c r="M17" s="1239"/>
      <c r="N17" s="1239"/>
      <c r="O17" s="453"/>
      <c r="P17" s="315"/>
      <c r="Q17" s="1262"/>
      <c r="R17" s="315"/>
      <c r="S17" s="1240"/>
      <c r="T17" s="1243" t="s">
        <v>174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65</v>
      </c>
      <c r="AR19" s="1653"/>
      <c r="AS19" s="1378" t="s">
        <v>65</v>
      </c>
      <c r="BA19" s="1073">
        <v>0</v>
      </c>
    </row>
    <row r="20" spans="1:53" ht="14.25" hidden="1" customHeight="1">
      <c r="AV20" s="431"/>
      <c r="AW20" s="431"/>
      <c r="AX20" s="431"/>
      <c r="AY20" s="431"/>
      <c r="AZ20" s="431"/>
      <c r="BA20" s="1073">
        <v>0</v>
      </c>
    </row>
    <row r="21" spans="1:53" ht="14.25" hidden="1" customHeight="1">
      <c r="O21" s="1285" t="s">
        <v>435</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4199" customFormat="1" ht="14.25" hidden="1" customHeight="1">
      <c r="M23" s="1426"/>
      <c r="N23" s="1426"/>
      <c r="O23" s="1427" t="s">
        <v>436</v>
      </c>
      <c r="P23" s="1426"/>
      <c r="Q23" s="1428"/>
      <c r="R23" s="1428"/>
      <c r="Y23" s="1425" t="s">
        <v>438</v>
      </c>
      <c r="AA23" s="1425" t="s">
        <v>439</v>
      </c>
      <c r="AB23" s="1425" t="s">
        <v>490</v>
      </c>
      <c r="AE23" s="1425" t="s">
        <v>491</v>
      </c>
      <c r="AF23" s="1425" t="s">
        <v>490</v>
      </c>
      <c r="AI23" s="1425" t="s">
        <v>492</v>
      </c>
      <c r="AJ23" s="1425" t="s">
        <v>490</v>
      </c>
      <c r="AM23" s="1425" t="s">
        <v>493</v>
      </c>
      <c r="AQ23" s="1425" t="s">
        <v>438</v>
      </c>
      <c r="AS23" s="1425" t="s">
        <v>439</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43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393"/>
      <c r="U27" s="4393"/>
      <c r="V27" s="4393"/>
      <c r="W27" s="4393"/>
      <c r="X27" s="4393"/>
      <c r="Y27" s="4393"/>
      <c r="Z27" s="4393"/>
      <c r="AA27" s="4393"/>
      <c r="AB27" s="4393"/>
      <c r="AC27" s="4393"/>
      <c r="AD27" s="4393"/>
      <c r="AE27" s="4393"/>
      <c r="AF27" s="4393"/>
      <c r="AG27" s="4393"/>
      <c r="AH27" s="4393"/>
      <c r="AI27" s="4393"/>
      <c r="AJ27" s="4393"/>
      <c r="AK27" s="4393"/>
      <c r="AL27" s="4393"/>
      <c r="AM27" s="4393"/>
      <c r="AN27" s="4393"/>
      <c r="AO27" s="4393"/>
      <c r="AP27" s="4393"/>
      <c r="AQ27" s="4393"/>
      <c r="AR27" s="4393"/>
      <c r="AS27" s="1161"/>
      <c r="BA27" s="1073">
        <v>26</v>
      </c>
    </row>
    <row r="28" spans="1:53" ht="14.65" customHeight="1">
      <c r="Q28" s="227"/>
      <c r="R28" s="311"/>
      <c r="S28" s="4365" t="str">
        <f>IF(org=0,"Не определено",org)</f>
        <v>АО "Мурманэнергосбыт"</v>
      </c>
      <c r="T28" s="4365"/>
      <c r="U28" s="4365"/>
      <c r="V28" s="4365"/>
      <c r="W28" s="4365"/>
      <c r="X28" s="4365"/>
      <c r="Y28" s="4365"/>
      <c r="Z28" s="4365"/>
      <c r="AA28" s="4365"/>
      <c r="AB28" s="4365"/>
      <c r="AC28" s="4365"/>
      <c r="AD28" s="4365"/>
      <c r="AE28" s="4365"/>
      <c r="AF28" s="4365"/>
      <c r="AG28" s="4365"/>
      <c r="AH28" s="4365"/>
      <c r="AI28" s="4365"/>
      <c r="AJ28" s="4365"/>
      <c r="AK28" s="4365"/>
      <c r="AL28" s="4365"/>
      <c r="AM28" s="4365"/>
      <c r="AN28" s="4365"/>
      <c r="AO28" s="4365"/>
      <c r="AP28" s="4365"/>
      <c r="AQ28" s="4365"/>
      <c r="AR28" s="4365"/>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4149" customFormat="1" ht="25.5" customHeight="1">
      <c r="A30" s="1286"/>
      <c r="B30" s="1286"/>
      <c r="C30" s="1286"/>
      <c r="D30" s="1286"/>
      <c r="E30" s="1286"/>
      <c r="F30" s="1286"/>
      <c r="G30" s="1286"/>
      <c r="H30" s="1286"/>
      <c r="I30" s="1286"/>
      <c r="J30" s="1286"/>
      <c r="K30" s="1286"/>
      <c r="L30" s="1287"/>
      <c r="M30" s="1286"/>
      <c r="N30" s="1286"/>
      <c r="O30" s="1286"/>
      <c r="P30" s="1286"/>
      <c r="Q30" s="1286"/>
      <c r="S30" s="4403" t="s">
        <v>42</v>
      </c>
      <c r="T30" s="4403"/>
      <c r="U30" s="1290"/>
      <c r="V30" s="4405" t="str">
        <f>IF(TITLE_NAME_OR_PR_CHANGE="",IF(TITLE_NAME_OR_PR="","",TITLE_NAME_OR_PR),TITLE_NAME_OR_PR_CHANGE)</f>
        <v>Комитет по тарифному регулированию Мурманской области</v>
      </c>
      <c r="W30" s="4405"/>
      <c r="X30" s="4405"/>
      <c r="Y30" s="4405"/>
      <c r="Z30" s="4405"/>
      <c r="AA30" s="262"/>
      <c r="AB30" s="4405" t="str">
        <f>IF(TITLE_NAME_OR_PR_CHANGE="",IF(TITLE_NAME_OR_PR="","",TITLE_NAME_OR_PR),TITLE_NAME_OR_PR_CHANGE)</f>
        <v>Комитет по тарифному регулированию Мурманской области</v>
      </c>
      <c r="AC30" s="4405"/>
      <c r="AD30" s="4405"/>
      <c r="AE30" s="4405"/>
      <c r="AF30" s="4405"/>
      <c r="AG30" s="4405"/>
      <c r="AH30" s="4405"/>
      <c r="AI30" s="4405"/>
      <c r="AJ30" s="4405"/>
      <c r="AK30" s="4405"/>
      <c r="AL30" s="4405"/>
      <c r="AM30" s="4405"/>
      <c r="AN30" s="4405"/>
      <c r="AO30" s="4405"/>
      <c r="AP30" s="4405"/>
      <c r="AQ30" s="4405"/>
      <c r="AR30" s="4405"/>
      <c r="AS30" s="262"/>
      <c r="AT30" s="262"/>
      <c r="AU30" s="216"/>
      <c r="AV30" s="303"/>
      <c r="AW30" s="303"/>
      <c r="AX30" s="303"/>
      <c r="AY30" s="303"/>
      <c r="AZ30" s="303"/>
      <c r="BA30" s="353">
        <v>0</v>
      </c>
    </row>
    <row r="31" spans="1:53" s="4149" customFormat="1" ht="18.75" customHeight="1">
      <c r="A31" s="1286"/>
      <c r="B31" s="1286"/>
      <c r="C31" s="1286"/>
      <c r="D31" s="1286"/>
      <c r="E31" s="1286"/>
      <c r="F31" s="1286"/>
      <c r="G31" s="1286"/>
      <c r="H31" s="1286"/>
      <c r="I31" s="1286"/>
      <c r="J31" s="1286"/>
      <c r="K31" s="1286"/>
      <c r="L31" s="1287"/>
      <c r="M31" s="1286"/>
      <c r="N31" s="1286"/>
      <c r="O31" s="1286"/>
      <c r="P31" s="1286"/>
      <c r="Q31" s="1286"/>
      <c r="S31" s="4403" t="s">
        <v>441</v>
      </c>
      <c r="T31" s="4403"/>
      <c r="U31" s="1290"/>
      <c r="V31" s="4404">
        <f>IF(TITLE_DATE_PR_CHANGE="",IF(TITLE_DATE_PR="","",TITLE_DATE_PR),TITLE_DATE_PR_CHANGE)</f>
        <v>45646</v>
      </c>
      <c r="W31" s="4404"/>
      <c r="X31" s="4404"/>
      <c r="Y31" s="4404"/>
      <c r="Z31" s="4404"/>
      <c r="AA31" s="262"/>
      <c r="AB31" s="4404">
        <f>IF(TITLE_DATE_PR_CHANGE="",IF(TITLE_DATE_PR="","",TITLE_DATE_PR),TITLE_DATE_PR_CHANGE)</f>
        <v>45646</v>
      </c>
      <c r="AC31" s="4404"/>
      <c r="AD31" s="4404"/>
      <c r="AE31" s="4404"/>
      <c r="AF31" s="4404"/>
      <c r="AG31" s="4404"/>
      <c r="AH31" s="4404"/>
      <c r="AI31" s="4404"/>
      <c r="AJ31" s="4404"/>
      <c r="AK31" s="4404"/>
      <c r="AL31" s="4404"/>
      <c r="AM31" s="4404"/>
      <c r="AN31" s="4404"/>
      <c r="AO31" s="4404"/>
      <c r="AP31" s="4404"/>
      <c r="AQ31" s="4404"/>
      <c r="AR31" s="4404"/>
      <c r="AS31" s="262"/>
      <c r="AT31" s="262"/>
      <c r="AU31" s="216"/>
      <c r="AV31" s="303"/>
      <c r="AW31" s="303"/>
      <c r="AX31" s="303"/>
      <c r="AY31" s="303"/>
      <c r="AZ31" s="303"/>
      <c r="BA31" s="353">
        <v>0</v>
      </c>
    </row>
    <row r="32" spans="1:53" s="4149" customFormat="1" ht="18.75" customHeight="1">
      <c r="A32" s="1286"/>
      <c r="B32" s="1286"/>
      <c r="C32" s="1286"/>
      <c r="D32" s="1286"/>
      <c r="E32" s="1286"/>
      <c r="F32" s="1286"/>
      <c r="G32" s="1286"/>
      <c r="H32" s="1286"/>
      <c r="I32" s="1286"/>
      <c r="J32" s="1286"/>
      <c r="K32" s="1286"/>
      <c r="L32" s="1287"/>
      <c r="M32" s="1286"/>
      <c r="N32" s="1286"/>
      <c r="O32" s="1286"/>
      <c r="P32" s="1286"/>
      <c r="Q32" s="1286"/>
      <c r="S32" s="4403" t="s">
        <v>442</v>
      </c>
      <c r="T32" s="4403"/>
      <c r="U32" s="1290"/>
      <c r="V32" s="4405" t="str">
        <f>IF(TITLE_NUMBER_PR_CHANGE="",IF(TITLE_NUMBER_PR="","",TITLE_NUMBER_PR),TITLE_NUMBER_PR_CHANGE)</f>
        <v>51/110</v>
      </c>
      <c r="W32" s="4405"/>
      <c r="X32" s="4405"/>
      <c r="Y32" s="4405"/>
      <c r="Z32" s="4405"/>
      <c r="AA32" s="262"/>
      <c r="AB32" s="4405" t="str">
        <f>IF(TITLE_NUMBER_PR_CHANGE="",IF(TITLE_NUMBER_PR="","",TITLE_NUMBER_PR),TITLE_NUMBER_PR_CHANGE)</f>
        <v>51/110</v>
      </c>
      <c r="AC32" s="4405"/>
      <c r="AD32" s="4405"/>
      <c r="AE32" s="4405"/>
      <c r="AF32" s="4405"/>
      <c r="AG32" s="4405"/>
      <c r="AH32" s="4405"/>
      <c r="AI32" s="4405"/>
      <c r="AJ32" s="4405"/>
      <c r="AK32" s="4405"/>
      <c r="AL32" s="4405"/>
      <c r="AM32" s="4405"/>
      <c r="AN32" s="4405"/>
      <c r="AO32" s="4405"/>
      <c r="AP32" s="4405"/>
      <c r="AQ32" s="4405"/>
      <c r="AR32" s="4405"/>
      <c r="AS32" s="262"/>
      <c r="AT32" s="262"/>
      <c r="AU32" s="216"/>
      <c r="AV32" s="303"/>
      <c r="AW32" s="303"/>
      <c r="AX32" s="303"/>
      <c r="AY32" s="303"/>
      <c r="AZ32" s="303"/>
      <c r="BA32" s="353">
        <v>0</v>
      </c>
    </row>
    <row r="33" spans="1:53" s="4149" customFormat="1" ht="18.75" customHeight="1">
      <c r="A33" s="1286"/>
      <c r="B33" s="1286"/>
      <c r="C33" s="1286"/>
      <c r="D33" s="1286"/>
      <c r="E33" s="1286"/>
      <c r="F33" s="1286"/>
      <c r="G33" s="1286"/>
      <c r="H33" s="1286"/>
      <c r="I33" s="1286"/>
      <c r="J33" s="1286"/>
      <c r="K33" s="1286"/>
      <c r="L33" s="1287"/>
      <c r="M33" s="1286"/>
      <c r="N33" s="1286"/>
      <c r="O33" s="1286"/>
      <c r="P33" s="1286"/>
      <c r="Q33" s="1286"/>
      <c r="S33" s="4403" t="s">
        <v>44</v>
      </c>
      <c r="T33" s="4403"/>
      <c r="U33" s="1290"/>
      <c r="V33" s="4405" t="str">
        <f>IF(TITLE_IST_PUB_CHANGE="",IF(TITLE_IST_PUB="","",TITLE_IST_PUB),TITLE_IST_PUB_CHANGE)</f>
        <v>https://npa.gov-murman.ru/bitrix/components/b1team/govmurman.element.file/download.php?ID=537820&amp;FID=814582</v>
      </c>
      <c r="W33" s="4405"/>
      <c r="X33" s="4405"/>
      <c r="Y33" s="4405"/>
      <c r="Z33" s="4405"/>
      <c r="AA33" s="262"/>
      <c r="AB33" s="4405" t="str">
        <f>IF(TITLE_IST_PUB_CHANGE="",IF(TITLE_IST_PUB="","",TITLE_IST_PUB),TITLE_IST_PUB_CHANGE)</f>
        <v>https://npa.gov-murman.ru/bitrix/components/b1team/govmurman.element.file/download.php?ID=537820&amp;FID=814582</v>
      </c>
      <c r="AC33" s="4405"/>
      <c r="AD33" s="4405"/>
      <c r="AE33" s="4405"/>
      <c r="AF33" s="4405"/>
      <c r="AG33" s="4405"/>
      <c r="AH33" s="4405"/>
      <c r="AI33" s="4405"/>
      <c r="AJ33" s="4405"/>
      <c r="AK33" s="4405"/>
      <c r="AL33" s="4405"/>
      <c r="AM33" s="4405"/>
      <c r="AN33" s="4405"/>
      <c r="AO33" s="4405"/>
      <c r="AP33" s="4405"/>
      <c r="AQ33" s="4405"/>
      <c r="AR33" s="4405"/>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4149" customFormat="1" ht="18.75" hidden="1" customHeight="1">
      <c r="A35" s="1286"/>
      <c r="B35" s="1286"/>
      <c r="C35" s="1286"/>
      <c r="D35" s="1286"/>
      <c r="E35" s="1286"/>
      <c r="F35" s="1286"/>
      <c r="G35" s="1286"/>
      <c r="H35" s="1286"/>
      <c r="I35" s="1286"/>
      <c r="J35" s="1286"/>
      <c r="K35" s="1286"/>
      <c r="L35" s="1287"/>
      <c r="M35" s="1286"/>
      <c r="N35" s="1286"/>
      <c r="O35" s="1286"/>
      <c r="P35" s="1286"/>
      <c r="Q35" s="1286"/>
      <c r="S35" s="4403" t="s">
        <v>441</v>
      </c>
      <c r="T35" s="4403"/>
      <c r="U35" s="1290"/>
      <c r="V35" s="4404">
        <f>IF(TITLE_DATE_PR_CHANGE="",IF(TITLE_DATE_PR="","",TITLE_DATE_PR),TITLE_DATE_PR_CHANGE)</f>
        <v>45646</v>
      </c>
      <c r="W35" s="4404"/>
      <c r="X35" s="4404"/>
      <c r="Y35" s="4404"/>
      <c r="Z35" s="4404"/>
      <c r="AA35" s="262"/>
      <c r="AB35" s="4404">
        <f>IF(TITLE_DATE_PR_CHANGE="",IF(TITLE_DATE_PR="","",TITLE_DATE_PR),TITLE_DATE_PR_CHANGE)</f>
        <v>45646</v>
      </c>
      <c r="AC35" s="4404"/>
      <c r="AD35" s="4404"/>
      <c r="AE35" s="4404"/>
      <c r="AF35" s="4404"/>
      <c r="AG35" s="4404"/>
      <c r="AH35" s="4404"/>
      <c r="AI35" s="4404"/>
      <c r="AJ35" s="4404"/>
      <c r="AK35" s="4404"/>
      <c r="AL35" s="4404"/>
      <c r="AM35" s="4404"/>
      <c r="AN35" s="4404"/>
      <c r="AO35" s="4404"/>
      <c r="AP35" s="4404"/>
      <c r="AQ35" s="4404"/>
      <c r="AR35" s="4404"/>
      <c r="AS35" s="262"/>
      <c r="AT35" s="262"/>
      <c r="AU35" s="216"/>
      <c r="AV35" s="303"/>
      <c r="AW35" s="303"/>
      <c r="AX35" s="303"/>
      <c r="AY35" s="303"/>
      <c r="AZ35" s="303"/>
      <c r="BA35" s="353">
        <v>0</v>
      </c>
    </row>
    <row r="36" spans="1:53" s="4149" customFormat="1" ht="18" hidden="1" customHeight="1">
      <c r="A36" s="1286"/>
      <c r="B36" s="1286"/>
      <c r="C36" s="1286"/>
      <c r="D36" s="1286"/>
      <c r="E36" s="1286"/>
      <c r="F36" s="1286"/>
      <c r="G36" s="1286"/>
      <c r="H36" s="1286"/>
      <c r="I36" s="1286"/>
      <c r="J36" s="1286"/>
      <c r="K36" s="1286"/>
      <c r="L36" s="1287"/>
      <c r="M36" s="1286"/>
      <c r="N36" s="1286"/>
      <c r="O36" s="1286"/>
      <c r="P36" s="1286"/>
      <c r="Q36" s="1286"/>
      <c r="S36" s="4403" t="s">
        <v>442</v>
      </c>
      <c r="T36" s="4403"/>
      <c r="U36" s="1290"/>
      <c r="V36" s="4405" t="str">
        <f>IF(TITLE_NUMBER_PR_CHANGE="",IF(TITLE_NUMBER_PR="","",TITLE_NUMBER_PR),TITLE_NUMBER_PR_CHANGE)</f>
        <v>51/110</v>
      </c>
      <c r="W36" s="4405"/>
      <c r="X36" s="4405"/>
      <c r="Y36" s="4405"/>
      <c r="Z36" s="4405"/>
      <c r="AA36" s="262"/>
      <c r="AB36" s="4405" t="str">
        <f>IF(TITLE_NUMBER_PR_CHANGE="",IF(TITLE_NUMBER_PR="","",TITLE_NUMBER_PR),TITLE_NUMBER_PR_CHANGE)</f>
        <v>51/110</v>
      </c>
      <c r="AC36" s="4405"/>
      <c r="AD36" s="4405"/>
      <c r="AE36" s="4405"/>
      <c r="AF36" s="4405"/>
      <c r="AG36" s="4405"/>
      <c r="AH36" s="4405"/>
      <c r="AI36" s="4405"/>
      <c r="AJ36" s="4405"/>
      <c r="AK36" s="4405"/>
      <c r="AL36" s="4405"/>
      <c r="AM36" s="4405"/>
      <c r="AN36" s="4405"/>
      <c r="AO36" s="4405"/>
      <c r="AP36" s="4405"/>
      <c r="AQ36" s="4405"/>
      <c r="AR36" s="4405"/>
      <c r="AS36" s="262"/>
      <c r="AT36" s="262"/>
      <c r="AU36" s="216"/>
      <c r="AV36" s="303"/>
      <c r="AW36" s="303"/>
      <c r="AX36" s="303"/>
      <c r="AY36" s="303"/>
      <c r="AZ36" s="303"/>
      <c r="BA36" s="353">
        <v>0</v>
      </c>
    </row>
    <row r="37" spans="1:53" s="4149"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445</v>
      </c>
      <c r="AB37" s="262"/>
      <c r="AC37" s="262"/>
      <c r="AD37" s="262"/>
      <c r="AE37" s="262"/>
      <c r="AF37" s="262"/>
      <c r="AG37" s="262"/>
      <c r="AH37" s="262"/>
      <c r="AI37" s="262"/>
      <c r="AJ37" s="262"/>
      <c r="AK37" s="262"/>
      <c r="AL37" s="262"/>
      <c r="AM37" s="262"/>
      <c r="AN37" s="262"/>
      <c r="AO37" s="262"/>
      <c r="AP37" s="262"/>
      <c r="AQ37" s="262"/>
      <c r="AR37" s="262"/>
      <c r="AS37" s="214" t="s">
        <v>445</v>
      </c>
      <c r="AV37" s="303"/>
      <c r="AW37" s="303"/>
      <c r="AX37" s="303"/>
      <c r="AY37" s="303"/>
      <c r="AZ37" s="303"/>
      <c r="BA37" s="353">
        <v>1</v>
      </c>
    </row>
    <row r="38" spans="1:53" ht="14.65" customHeight="1">
      <c r="Q38" s="227"/>
      <c r="R38" s="311"/>
      <c r="S38" s="1193"/>
      <c r="T38" s="298"/>
      <c r="U38" s="1162"/>
      <c r="V38" s="4424"/>
      <c r="W38" s="4424"/>
      <c r="X38" s="4424"/>
      <c r="Y38" s="4424"/>
      <c r="Z38" s="4424"/>
      <c r="AA38" s="4424"/>
      <c r="AB38" s="4424"/>
      <c r="AC38" s="4424"/>
      <c r="AD38" s="4424"/>
      <c r="AE38" s="4424"/>
      <c r="AF38" s="4424"/>
      <c r="AG38" s="4424"/>
      <c r="AH38" s="4424"/>
      <c r="AI38" s="4424"/>
      <c r="AJ38" s="4424"/>
      <c r="AK38" s="4424"/>
      <c r="AL38" s="4424"/>
      <c r="AM38" s="4424"/>
      <c r="AN38" s="4424"/>
      <c r="AO38" s="4424"/>
      <c r="AP38" s="4424"/>
      <c r="AQ38" s="4424"/>
      <c r="AR38" s="4424"/>
      <c r="AS38" s="4424"/>
      <c r="BA38" s="1073">
        <v>14</v>
      </c>
    </row>
    <row r="39" spans="1:53" ht="14.65" customHeight="1">
      <c r="Q39" s="227"/>
      <c r="R39" s="311"/>
      <c r="S39" s="4274" t="s">
        <v>321</v>
      </c>
      <c r="T39" s="4274"/>
      <c r="U39" s="4274"/>
      <c r="V39" s="4274"/>
      <c r="W39" s="4274"/>
      <c r="X39" s="4274"/>
      <c r="Y39" s="4274"/>
      <c r="Z39" s="4274"/>
      <c r="AA39" s="4274"/>
      <c r="AB39" s="4345"/>
      <c r="AC39" s="4345"/>
      <c r="AD39" s="4345"/>
      <c r="AE39" s="4345"/>
      <c r="AF39" s="4274"/>
      <c r="AG39" s="4274"/>
      <c r="AH39" s="4274"/>
      <c r="AI39" s="4274"/>
      <c r="AJ39" s="4274"/>
      <c r="AK39" s="4274"/>
      <c r="AL39" s="4274"/>
      <c r="AM39" s="4274"/>
      <c r="AN39" s="4274"/>
      <c r="AO39" s="4274"/>
      <c r="AP39" s="4274"/>
      <c r="AQ39" s="4274"/>
      <c r="AR39" s="4274"/>
      <c r="AS39" s="4274"/>
      <c r="AT39" s="4274"/>
      <c r="AU39" s="4274" t="s">
        <v>322</v>
      </c>
      <c r="BA39" s="1073">
        <v>14</v>
      </c>
    </row>
    <row r="40" spans="1:53" ht="14.65" customHeight="1">
      <c r="Q40" s="227"/>
      <c r="R40" s="311"/>
      <c r="S40" s="4425" t="s">
        <v>92</v>
      </c>
      <c r="T40" s="4373" t="s">
        <v>494</v>
      </c>
      <c r="U40" s="237"/>
      <c r="V40" s="4427"/>
      <c r="W40" s="4427"/>
      <c r="X40" s="4427"/>
      <c r="Y40" s="4427"/>
      <c r="Z40" s="4428"/>
      <c r="AA40" s="4474" t="s">
        <v>448</v>
      </c>
      <c r="AB40" s="4458" t="s">
        <v>495</v>
      </c>
      <c r="AC40" s="4442"/>
      <c r="AD40" s="4442"/>
      <c r="AE40" s="4459"/>
      <c r="AF40" s="4442" t="s">
        <v>496</v>
      </c>
      <c r="AG40" s="4442"/>
      <c r="AH40" s="4442"/>
      <c r="AI40" s="4459"/>
      <c r="AJ40" s="4458" t="s">
        <v>497</v>
      </c>
      <c r="AK40" s="4442"/>
      <c r="AL40" s="4442"/>
      <c r="AM40" s="4459"/>
      <c r="AN40" s="4458" t="s">
        <v>447</v>
      </c>
      <c r="AO40" s="4442"/>
      <c r="AP40" s="4427"/>
      <c r="AQ40" s="4427"/>
      <c r="AR40" s="4428"/>
      <c r="AS40" s="4429" t="s">
        <v>448</v>
      </c>
      <c r="AT40" s="4432" t="s">
        <v>450</v>
      </c>
      <c r="AU40" s="4274"/>
      <c r="BA40" s="1073">
        <v>14</v>
      </c>
    </row>
    <row r="41" spans="1:53" ht="35.65" customHeight="1">
      <c r="Q41" s="227"/>
      <c r="R41" s="311"/>
      <c r="S41" s="4425"/>
      <c r="T41" s="4373"/>
      <c r="U41" s="953"/>
      <c r="V41" s="4274" t="s">
        <v>498</v>
      </c>
      <c r="W41" s="4274"/>
      <c r="X41" s="4346" t="s">
        <v>454</v>
      </c>
      <c r="Y41" s="4454"/>
      <c r="Z41" s="4347"/>
      <c r="AA41" s="4475"/>
      <c r="AB41" s="4460"/>
      <c r="AC41" s="4461"/>
      <c r="AD41" s="4461"/>
      <c r="AE41" s="4473"/>
      <c r="AF41" s="4461"/>
      <c r="AG41" s="4461"/>
      <c r="AH41" s="4461"/>
      <c r="AI41" s="4473"/>
      <c r="AJ41" s="4460"/>
      <c r="AK41" s="4461"/>
      <c r="AL41" s="4461"/>
      <c r="AM41" s="4461"/>
      <c r="AN41" s="4274" t="s">
        <v>498</v>
      </c>
      <c r="AO41" s="4274"/>
      <c r="AP41" s="4454" t="s">
        <v>454</v>
      </c>
      <c r="AQ41" s="4454"/>
      <c r="AR41" s="4347"/>
      <c r="AS41" s="4430"/>
      <c r="AT41" s="4433"/>
      <c r="AU41" s="4274"/>
      <c r="BA41" s="1073">
        <v>34</v>
      </c>
    </row>
    <row r="42" spans="1:53" ht="14.65" customHeight="1">
      <c r="Q42" s="227"/>
      <c r="R42" s="311"/>
      <c r="S42" s="4425"/>
      <c r="T42" s="4373"/>
      <c r="U42" s="953"/>
      <c r="V42" s="4478" t="str">
        <f>IF($AN$42&lt;&gt;"",$AN$42,"")</f>
        <v/>
      </c>
      <c r="W42" s="4478"/>
      <c r="X42" s="4351"/>
      <c r="Y42" s="4455"/>
      <c r="Z42" s="4352"/>
      <c r="AA42" s="4475"/>
      <c r="AB42" s="4460"/>
      <c r="AC42" s="4461"/>
      <c r="AD42" s="4461"/>
      <c r="AE42" s="4473"/>
      <c r="AF42" s="4461"/>
      <c r="AG42" s="4461"/>
      <c r="AH42" s="4461"/>
      <c r="AI42" s="4473"/>
      <c r="AJ42" s="4460"/>
      <c r="AK42" s="4461"/>
      <c r="AL42" s="4461"/>
      <c r="AM42" s="4461"/>
      <c r="AN42" s="4477"/>
      <c r="AO42" s="4477"/>
      <c r="AP42" s="4455"/>
      <c r="AQ42" s="4455"/>
      <c r="AR42" s="4352"/>
      <c r="AS42" s="4430"/>
      <c r="AT42" s="4433"/>
      <c r="AU42" s="4274"/>
      <c r="BA42" s="1073">
        <v>14</v>
      </c>
    </row>
    <row r="43" spans="1:53" ht="14.65" customHeight="1">
      <c r="A43" s="1288"/>
      <c r="B43" s="1288" t="s">
        <v>138</v>
      </c>
      <c r="C43" s="1288" t="s">
        <v>139</v>
      </c>
      <c r="D43" s="1288" t="s">
        <v>140</v>
      </c>
      <c r="E43" s="1282" t="s">
        <v>455</v>
      </c>
      <c r="F43" s="1282" t="s">
        <v>456</v>
      </c>
      <c r="G43" s="1282" t="s">
        <v>457</v>
      </c>
      <c r="H43" s="1282" t="s">
        <v>458</v>
      </c>
      <c r="I43" s="1282" t="s">
        <v>459</v>
      </c>
      <c r="J43" s="1282" t="s">
        <v>460</v>
      </c>
      <c r="K43" s="1282" t="s">
        <v>461</v>
      </c>
      <c r="L43" s="1282" t="s">
        <v>436</v>
      </c>
      <c r="Q43" s="227"/>
      <c r="R43" s="311"/>
      <c r="S43" s="4425"/>
      <c r="T43" s="4373"/>
      <c r="U43" s="238"/>
      <c r="V43" s="1248" t="s">
        <v>499</v>
      </c>
      <c r="W43" s="1248" t="s">
        <v>500</v>
      </c>
      <c r="X43" s="1256" t="s">
        <v>464</v>
      </c>
      <c r="Y43" s="4378" t="s">
        <v>465</v>
      </c>
      <c r="Z43" s="4392"/>
      <c r="AA43" s="4476"/>
      <c r="AB43" s="4462"/>
      <c r="AC43" s="4463"/>
      <c r="AD43" s="4463"/>
      <c r="AE43" s="4464"/>
      <c r="AF43" s="4463"/>
      <c r="AG43" s="4463"/>
      <c r="AH43" s="4463"/>
      <c r="AI43" s="4464"/>
      <c r="AJ43" s="4462"/>
      <c r="AK43" s="4463"/>
      <c r="AL43" s="4463"/>
      <c r="AM43" s="4464"/>
      <c r="AN43" s="1775" t="s">
        <v>499</v>
      </c>
      <c r="AO43" s="1775" t="s">
        <v>500</v>
      </c>
      <c r="AP43" s="1256" t="s">
        <v>464</v>
      </c>
      <c r="AQ43" s="4378" t="s">
        <v>465</v>
      </c>
      <c r="AR43" s="4392"/>
      <c r="AS43" s="4431"/>
      <c r="AT43" s="4434"/>
      <c r="AU43" s="4274"/>
      <c r="BA43" s="1073">
        <v>14</v>
      </c>
    </row>
    <row r="44" spans="1:53" s="4164"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113</v>
      </c>
      <c r="T44" s="1173" t="s">
        <v>114</v>
      </c>
      <c r="U44" s="1163" t="str">
        <f ca="1">OFFSET(U44,0,-1)</f>
        <v>2</v>
      </c>
      <c r="V44" s="1253">
        <f ca="1">OFFSET(V44,0,-1)+1</f>
        <v>3</v>
      </c>
      <c r="W44" s="1253">
        <f ca="1">OFFSET(W44,0,-1)+1</f>
        <v>4</v>
      </c>
      <c r="X44" s="1253">
        <f ca="1">OFFSET(X44,0,-1)+1</f>
        <v>5</v>
      </c>
      <c r="Y44" s="4423">
        <f ca="1">OFFSET(Y44,0,-1)+1</f>
        <v>6</v>
      </c>
      <c r="Z44" s="442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4423">
        <f ca="1">OFFSET(AQ44,0,-1)+1</f>
        <v>4</v>
      </c>
      <c r="AR44" s="4423"/>
      <c r="AS44" s="1253">
        <f ca="1">OFFSET(AS44,0,-2)+1</f>
        <v>5</v>
      </c>
      <c r="AT44" s="1163">
        <f ca="1">OFFSET(AT44,0,-1)</f>
        <v>5</v>
      </c>
      <c r="AU44" s="1253">
        <f ca="1">OFFSET(AU44,0,-1)+1</f>
        <v>6</v>
      </c>
      <c r="AV44" s="446"/>
      <c r="AW44" s="446"/>
      <c r="AX44" s="446"/>
      <c r="AY44" s="446"/>
      <c r="AZ44" s="446"/>
      <c r="BA44" s="431">
        <v>0</v>
      </c>
    </row>
    <row r="45" spans="1:53" ht="107.25" customHeight="1">
      <c r="A45" s="1281" t="s">
        <v>221</v>
      </c>
      <c r="B45" s="1281"/>
      <c r="C45" s="1281"/>
      <c r="D45" s="1281"/>
      <c r="E45" s="441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126</v>
      </c>
      <c r="U45" s="236"/>
      <c r="V45" s="4407"/>
      <c r="W45" s="4407"/>
      <c r="X45" s="4407"/>
      <c r="Y45" s="4407"/>
      <c r="Z45" s="4407"/>
      <c r="AA45" s="4408"/>
      <c r="AB45" s="4406" t="str">
        <f>INDEX(PT_DIFFERENTIATION_NTAR,MATCH(A45,PT_DIFFERENTIATION_NTAR_ID,0))</f>
        <v/>
      </c>
      <c r="AC45" s="4407"/>
      <c r="AD45" s="4407"/>
      <c r="AE45" s="4407"/>
      <c r="AF45" s="4407"/>
      <c r="AG45" s="4407"/>
      <c r="AH45" s="4407"/>
      <c r="AI45" s="4407"/>
      <c r="AJ45" s="4407"/>
      <c r="AK45" s="4407"/>
      <c r="AL45" s="4407"/>
      <c r="AM45" s="4407"/>
      <c r="AN45" s="4407"/>
      <c r="AO45" s="4407"/>
      <c r="AP45" s="4407"/>
      <c r="AQ45" s="4407"/>
      <c r="AR45" s="4407"/>
      <c r="AS45" s="4407"/>
      <c r="AT45" s="440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221</v>
      </c>
      <c r="B46" s="1281" t="s">
        <v>222</v>
      </c>
      <c r="C46" s="1281"/>
      <c r="D46" s="1281"/>
      <c r="E46" s="4413"/>
      <c r="F46" s="4412">
        <v>1</v>
      </c>
      <c r="G46" s="1281"/>
      <c r="H46" s="1281"/>
      <c r="I46" s="1281"/>
      <c r="J46" s="1281"/>
      <c r="K46" s="1281"/>
      <c r="L46" s="1282"/>
      <c r="M46" s="1283"/>
      <c r="N46" s="1283"/>
      <c r="O46" s="1283"/>
      <c r="P46" s="1328"/>
      <c r="Q46" s="1329"/>
      <c r="R46" s="288"/>
      <c r="S46" s="1254" t="str">
        <f>INDEX(PT_DIFFERENTIATION_NUM_TER,MATCH(B46,PT_DIFFERENTIATION_TER_ID,0))</f>
        <v>.</v>
      </c>
      <c r="T46" s="244" t="s">
        <v>418</v>
      </c>
      <c r="U46" s="236"/>
      <c r="V46" s="4407"/>
      <c r="W46" s="4407"/>
      <c r="X46" s="4407"/>
      <c r="Y46" s="4407"/>
      <c r="Z46" s="4407"/>
      <c r="AA46" s="4408"/>
      <c r="AB46" s="4406" t="str">
        <f>INDEX(PT_DIFFERENTIATION_TER,MATCH(B46,PT_DIFFERENTIATION_TER_ID,0))</f>
        <v/>
      </c>
      <c r="AC46" s="4407"/>
      <c r="AD46" s="4407"/>
      <c r="AE46" s="4407"/>
      <c r="AF46" s="4407"/>
      <c r="AG46" s="4407"/>
      <c r="AH46" s="4407"/>
      <c r="AI46" s="4407"/>
      <c r="AJ46" s="4407"/>
      <c r="AK46" s="4407"/>
      <c r="AL46" s="4407"/>
      <c r="AM46" s="4407"/>
      <c r="AN46" s="4407"/>
      <c r="AO46" s="4407"/>
      <c r="AP46" s="4407"/>
      <c r="AQ46" s="4407"/>
      <c r="AR46" s="4407"/>
      <c r="AS46" s="4407"/>
      <c r="AT46" s="4408"/>
      <c r="AU46" s="1176" t="s">
        <v>419</v>
      </c>
      <c r="AW46" s="435"/>
      <c r="AX46" s="435" t="str">
        <f t="shared" si="2"/>
        <v>Территория действия тарифа</v>
      </c>
      <c r="AY46" s="435"/>
      <c r="AZ46" s="435"/>
      <c r="BA46" s="1073">
        <v>21</v>
      </c>
    </row>
    <row r="47" spans="1:53" ht="24" customHeight="1">
      <c r="A47" s="1281" t="s">
        <v>221</v>
      </c>
      <c r="B47" s="1281" t="s">
        <v>222</v>
      </c>
      <c r="C47" s="1281" t="s">
        <v>223</v>
      </c>
      <c r="D47" s="1281"/>
      <c r="E47" s="4413"/>
      <c r="F47" s="4413"/>
      <c r="G47" s="4412">
        <v>1</v>
      </c>
      <c r="H47" s="1281"/>
      <c r="I47" s="1281"/>
      <c r="J47" s="1281"/>
      <c r="K47" s="1281"/>
      <c r="L47" s="1282"/>
      <c r="M47" s="1283"/>
      <c r="N47" s="1283"/>
      <c r="O47" s="1283"/>
      <c r="P47" s="1330"/>
      <c r="Q47" s="1329"/>
      <c r="R47" s="288"/>
      <c r="S47" s="1254" t="str">
        <f>INDEX(PT_DIFFERENTIATION_NUM_CS,MATCH(C47,PT_DIFFERENTIATION_CS_ID,0))</f>
        <v>..</v>
      </c>
      <c r="T47" s="245" t="s">
        <v>420</v>
      </c>
      <c r="U47" s="236"/>
      <c r="V47" s="4407"/>
      <c r="W47" s="4407"/>
      <c r="X47" s="4407"/>
      <c r="Y47" s="4407"/>
      <c r="Z47" s="4407"/>
      <c r="AA47" s="4408"/>
      <c r="AB47" s="4406" t="str">
        <f>INDEX(PT_DIFFERENTIATION_CS,MATCH(C47,PT_DIFFERENTIATION_CS_ID,0))</f>
        <v/>
      </c>
      <c r="AC47" s="4407"/>
      <c r="AD47" s="4407"/>
      <c r="AE47" s="4407"/>
      <c r="AF47" s="4407"/>
      <c r="AG47" s="4407"/>
      <c r="AH47" s="4407"/>
      <c r="AI47" s="4407"/>
      <c r="AJ47" s="4407"/>
      <c r="AK47" s="4407"/>
      <c r="AL47" s="4407"/>
      <c r="AM47" s="4407"/>
      <c r="AN47" s="4407"/>
      <c r="AO47" s="4407"/>
      <c r="AP47" s="4407"/>
      <c r="AQ47" s="4407"/>
      <c r="AR47" s="4407"/>
      <c r="AS47" s="4407"/>
      <c r="AT47" s="4408"/>
      <c r="AU47" s="1176" t="s">
        <v>421</v>
      </c>
      <c r="AW47" s="435"/>
      <c r="AX47" s="435" t="str">
        <f t="shared" si="2"/>
        <v xml:space="preserve">Наименование системы теплоснабжения </v>
      </c>
      <c r="AY47" s="435"/>
      <c r="AZ47" s="435"/>
      <c r="BA47" s="1073">
        <v>23</v>
      </c>
    </row>
    <row r="48" spans="1:53" ht="21" customHeight="1">
      <c r="A48" s="1281" t="s">
        <v>221</v>
      </c>
      <c r="B48" s="1281" t="s">
        <v>222</v>
      </c>
      <c r="C48" s="1281" t="s">
        <v>223</v>
      </c>
      <c r="D48" s="1281" t="s">
        <v>224</v>
      </c>
      <c r="E48" s="4413"/>
      <c r="F48" s="4413"/>
      <c r="G48" s="4413"/>
      <c r="H48" s="4412">
        <v>1</v>
      </c>
      <c r="I48" s="1281"/>
      <c r="J48" s="1281"/>
      <c r="K48" s="1281"/>
      <c r="L48" s="1282"/>
      <c r="M48" s="1283"/>
      <c r="N48" s="1283"/>
      <c r="O48" s="1283"/>
      <c r="P48" s="1330"/>
      <c r="Q48" s="1329"/>
      <c r="R48" s="288"/>
      <c r="S48" s="1254" t="str">
        <f>INDEX(PT_DIFFERENTIATION_NUM_IST_TE,MATCH(D48,PT_DIFFERENTIATION_IST_TE_ID,0))</f>
        <v>...</v>
      </c>
      <c r="T48" s="246" t="s">
        <v>422</v>
      </c>
      <c r="U48" s="236"/>
      <c r="V48" s="4407"/>
      <c r="W48" s="4407"/>
      <c r="X48" s="4407"/>
      <c r="Y48" s="4407"/>
      <c r="Z48" s="4407"/>
      <c r="AA48" s="4408"/>
      <c r="AB48" s="4406" t="str">
        <f>INDEX(PT_DIFFERENTIATION_IST_TE,MATCH(D48,PT_DIFFERENTIATION_IST_TE_ID,0))</f>
        <v/>
      </c>
      <c r="AC48" s="4407"/>
      <c r="AD48" s="4407"/>
      <c r="AE48" s="4407"/>
      <c r="AF48" s="4407"/>
      <c r="AG48" s="4407"/>
      <c r="AH48" s="4407"/>
      <c r="AI48" s="4407"/>
      <c r="AJ48" s="4407"/>
      <c r="AK48" s="4407"/>
      <c r="AL48" s="4407"/>
      <c r="AM48" s="4407"/>
      <c r="AN48" s="4407"/>
      <c r="AO48" s="4407"/>
      <c r="AP48" s="4407"/>
      <c r="AQ48" s="4407"/>
      <c r="AR48" s="4407"/>
      <c r="AS48" s="4407"/>
      <c r="AT48" s="4408"/>
      <c r="AU48" s="1176" t="s">
        <v>423</v>
      </c>
      <c r="AW48" s="435"/>
      <c r="AX48" s="435" t="str">
        <f t="shared" si="2"/>
        <v xml:space="preserve">Источник тепловой энергии  </v>
      </c>
      <c r="AY48" s="435"/>
      <c r="AZ48" s="435"/>
      <c r="BA48" s="1073">
        <v>20</v>
      </c>
    </row>
    <row r="49" spans="1:53" s="4140" customFormat="1" ht="1.1499999999999999" customHeight="1">
      <c r="A49" s="1261" t="s">
        <v>221</v>
      </c>
      <c r="B49" s="1261" t="s">
        <v>222</v>
      </c>
      <c r="C49" s="1261" t="s">
        <v>223</v>
      </c>
      <c r="D49" s="1261" t="s">
        <v>224</v>
      </c>
      <c r="E49" s="4413"/>
      <c r="F49" s="4413"/>
      <c r="G49" s="4413"/>
      <c r="H49" s="4413"/>
      <c r="I49" s="4414" t="str">
        <f>S48&amp;".1"</f>
        <v>....1</v>
      </c>
      <c r="J49" s="1261"/>
      <c r="K49" s="1261"/>
      <c r="L49" s="1264" t="s">
        <v>424</v>
      </c>
      <c r="M49" s="445"/>
      <c r="N49" s="445"/>
      <c r="O49" s="445"/>
      <c r="P49" s="4416">
        <v>1</v>
      </c>
      <c r="Q49" s="1249"/>
      <c r="R49" s="291"/>
      <c r="S49" s="964"/>
      <c r="T49" s="1301"/>
      <c r="U49" s="1302"/>
      <c r="V49" s="4444"/>
      <c r="W49" s="4444"/>
      <c r="X49" s="4444"/>
      <c r="Y49" s="4444"/>
      <c r="Z49" s="4444"/>
      <c r="AA49" s="4445"/>
      <c r="AB49" s="4443"/>
      <c r="AC49" s="4444"/>
      <c r="AD49" s="4444"/>
      <c r="AE49" s="4444"/>
      <c r="AF49" s="4444"/>
      <c r="AG49" s="4444"/>
      <c r="AH49" s="4444"/>
      <c r="AI49" s="4444"/>
      <c r="AJ49" s="4444"/>
      <c r="AK49" s="4444"/>
      <c r="AL49" s="4444"/>
      <c r="AM49" s="4444"/>
      <c r="AN49" s="4444"/>
      <c r="AO49" s="4444"/>
      <c r="AP49" s="4444"/>
      <c r="AQ49" s="4444"/>
      <c r="AR49" s="4444"/>
      <c r="AS49" s="4444"/>
      <c r="AT49" s="4445"/>
      <c r="AU49" s="1303"/>
      <c r="AW49" s="435"/>
      <c r="AX49" s="435" t="str">
        <f t="shared" si="2"/>
        <v/>
      </c>
      <c r="AY49" s="435"/>
      <c r="AZ49" s="435"/>
      <c r="BA49" s="446">
        <v>1</v>
      </c>
    </row>
    <row r="50" spans="1:53" s="4140" customFormat="1" ht="1.1499999999999999" customHeight="1">
      <c r="A50" s="1261" t="s">
        <v>221</v>
      </c>
      <c r="B50" s="1261" t="s">
        <v>222</v>
      </c>
      <c r="C50" s="1261" t="s">
        <v>223</v>
      </c>
      <c r="D50" s="1261" t="s">
        <v>224</v>
      </c>
      <c r="E50" s="4413"/>
      <c r="F50" s="4413"/>
      <c r="G50" s="4413"/>
      <c r="H50" s="4413"/>
      <c r="I50" s="4415"/>
      <c r="J50" s="4414" t="str">
        <f>S48&amp;".1"</f>
        <v>....1</v>
      </c>
      <c r="K50" s="1261"/>
      <c r="L50" s="1264"/>
      <c r="M50" s="445"/>
      <c r="N50" s="445"/>
      <c r="O50" s="445"/>
      <c r="P50" s="4416"/>
      <c r="Q50" s="4416">
        <v>1</v>
      </c>
      <c r="R50" s="292"/>
      <c r="S50" s="964"/>
      <c r="T50" s="1317"/>
      <c r="U50" s="1302"/>
      <c r="V50" s="4444"/>
      <c r="W50" s="4444"/>
      <c r="X50" s="4444"/>
      <c r="Y50" s="4444"/>
      <c r="Z50" s="4444"/>
      <c r="AA50" s="4445"/>
      <c r="AB50" s="4443"/>
      <c r="AC50" s="4444"/>
      <c r="AD50" s="4444"/>
      <c r="AE50" s="4444"/>
      <c r="AF50" s="4444"/>
      <c r="AG50" s="4444"/>
      <c r="AH50" s="4444"/>
      <c r="AI50" s="4444"/>
      <c r="AJ50" s="4444"/>
      <c r="AK50" s="4444"/>
      <c r="AL50" s="4444"/>
      <c r="AM50" s="4444"/>
      <c r="AN50" s="4444"/>
      <c r="AO50" s="4444"/>
      <c r="AP50" s="4444"/>
      <c r="AQ50" s="4444"/>
      <c r="AR50" s="4444"/>
      <c r="AS50" s="4444"/>
      <c r="AT50" s="4445"/>
      <c r="AU50" s="1303"/>
      <c r="AW50" s="435"/>
      <c r="AX50" s="435" t="str">
        <f t="shared" si="2"/>
        <v/>
      </c>
      <c r="AY50" s="435"/>
      <c r="AZ50" s="435"/>
      <c r="BA50" s="446">
        <v>1</v>
      </c>
    </row>
    <row r="51" spans="1:53" ht="21.95" customHeight="1">
      <c r="A51" s="1281" t="s">
        <v>221</v>
      </c>
      <c r="B51" s="1281" t="s">
        <v>222</v>
      </c>
      <c r="C51" s="1281" t="s">
        <v>223</v>
      </c>
      <c r="D51" s="1281" t="s">
        <v>224</v>
      </c>
      <c r="E51" s="4413"/>
      <c r="F51" s="4413"/>
      <c r="G51" s="4413"/>
      <c r="H51" s="4413"/>
      <c r="I51" s="4415"/>
      <c r="J51" s="4415"/>
      <c r="K51" s="4414" t="str">
        <f>S48&amp;".1"</f>
        <v>....1</v>
      </c>
      <c r="L51" s="1282"/>
      <c r="P51" s="4416"/>
      <c r="Q51" s="4416"/>
      <c r="R51" s="292">
        <v>1</v>
      </c>
      <c r="S51" s="4469" t="str">
        <f>$K51</f>
        <v>....1</v>
      </c>
      <c r="T51" s="4466"/>
      <c r="U51" s="236"/>
      <c r="V51" s="686"/>
      <c r="W51" s="1175"/>
      <c r="X51" s="1651"/>
      <c r="Y51" s="1377" t="s">
        <v>65</v>
      </c>
      <c r="Z51" s="1651"/>
      <c r="AA51" s="1377" t="s">
        <v>65</v>
      </c>
      <c r="AB51" s="4284" t="s">
        <v>19</v>
      </c>
      <c r="AC51" s="4465"/>
      <c r="AD51" s="4369">
        <v>1</v>
      </c>
      <c r="AE51" s="4457" t="s">
        <v>28</v>
      </c>
      <c r="AF51" s="4284" t="s">
        <v>19</v>
      </c>
      <c r="AG51" s="4465"/>
      <c r="AH51" s="4369">
        <v>1</v>
      </c>
      <c r="AI51" s="4457" t="s">
        <v>28</v>
      </c>
      <c r="AJ51" s="4284" t="s">
        <v>19</v>
      </c>
      <c r="AK51" s="247"/>
      <c r="AL51" s="1255">
        <v>1</v>
      </c>
      <c r="AM51" s="1320"/>
      <c r="AN51" s="686"/>
      <c r="AO51" s="1175"/>
      <c r="AP51" s="1651"/>
      <c r="AQ51" s="1377" t="s">
        <v>65</v>
      </c>
      <c r="AR51" s="1651"/>
      <c r="AS51" s="1377" t="s">
        <v>65</v>
      </c>
      <c r="AT51" s="1266"/>
      <c r="AU51" s="4435" t="s">
        <v>501</v>
      </c>
      <c r="AV51" s="446" t="e">
        <f ca="1">STRCHECKDATE(V54:AT54)</f>
        <v>#NAME?</v>
      </c>
      <c r="AW51" s="435"/>
      <c r="AX51" s="435" t="str">
        <f t="shared" si="2"/>
        <v/>
      </c>
      <c r="AY51" s="435"/>
      <c r="AZ51" s="435"/>
      <c r="BA51" s="1073">
        <v>21</v>
      </c>
    </row>
    <row r="52" spans="1:53" ht="11.45" customHeight="1">
      <c r="A52" s="1281" t="s">
        <v>221</v>
      </c>
      <c r="B52" s="1281"/>
      <c r="C52" s="1281"/>
      <c r="D52" s="1281"/>
      <c r="E52" s="4413"/>
      <c r="F52" s="4413"/>
      <c r="G52" s="4413"/>
      <c r="H52" s="4413"/>
      <c r="I52" s="4415"/>
      <c r="J52" s="4415"/>
      <c r="K52" s="4414"/>
      <c r="L52" s="1282"/>
      <c r="P52" s="4416"/>
      <c r="Q52" s="4416"/>
      <c r="R52" s="292"/>
      <c r="S52" s="4470"/>
      <c r="T52" s="4467"/>
      <c r="U52" s="236"/>
      <c r="V52" s="1311"/>
      <c r="W52" s="1414"/>
      <c r="X52" s="1311"/>
      <c r="Y52" s="1311"/>
      <c r="Z52" s="1311"/>
      <c r="AA52" s="1311"/>
      <c r="AB52" s="4284"/>
      <c r="AC52" s="4465"/>
      <c r="AD52" s="4369"/>
      <c r="AE52" s="4457"/>
      <c r="AF52" s="4284"/>
      <c r="AG52" s="4465"/>
      <c r="AH52" s="4369"/>
      <c r="AI52" s="4457"/>
      <c r="AJ52" s="4284"/>
      <c r="AK52" s="252"/>
      <c r="AL52" s="351"/>
      <c r="AM52" s="350" t="s">
        <v>486</v>
      </c>
      <c r="AN52" s="1311"/>
      <c r="AO52" s="1414"/>
      <c r="AP52" s="1311"/>
      <c r="AQ52" s="1311"/>
      <c r="AR52" s="1311"/>
      <c r="AS52" s="1311"/>
      <c r="AT52" s="1308"/>
      <c r="AU52" s="4436"/>
      <c r="AW52" s="435"/>
      <c r="AX52" s="435"/>
      <c r="AY52" s="435"/>
      <c r="AZ52" s="435"/>
      <c r="BA52" s="1073">
        <v>11</v>
      </c>
    </row>
    <row r="53" spans="1:53" ht="11.45" customHeight="1">
      <c r="A53" s="1281" t="s">
        <v>221</v>
      </c>
      <c r="B53" s="1281"/>
      <c r="C53" s="1281"/>
      <c r="D53" s="1281"/>
      <c r="E53" s="4413"/>
      <c r="F53" s="4413"/>
      <c r="G53" s="4413"/>
      <c r="H53" s="4413"/>
      <c r="I53" s="4415"/>
      <c r="J53" s="4415"/>
      <c r="K53" s="4414"/>
      <c r="L53" s="1282"/>
      <c r="P53" s="4416"/>
      <c r="Q53" s="4416"/>
      <c r="R53" s="292"/>
      <c r="S53" s="4470"/>
      <c r="T53" s="4467"/>
      <c r="U53" s="236"/>
      <c r="V53" s="1311"/>
      <c r="W53" s="1414"/>
      <c r="X53" s="1311"/>
      <c r="Y53" s="1311"/>
      <c r="Z53" s="1311"/>
      <c r="AA53" s="1311"/>
      <c r="AB53" s="4284"/>
      <c r="AC53" s="4465"/>
      <c r="AD53" s="4369"/>
      <c r="AE53" s="4457"/>
      <c r="AF53" s="4284"/>
      <c r="AG53" s="230"/>
      <c r="AH53" s="350"/>
      <c r="AI53" s="350" t="s">
        <v>487</v>
      </c>
      <c r="AJ53" s="1311"/>
      <c r="AK53" s="1311"/>
      <c r="AL53" s="1311"/>
      <c r="AM53" s="1311"/>
      <c r="AN53" s="1311"/>
      <c r="AO53" s="1414"/>
      <c r="AP53" s="1311"/>
      <c r="AQ53" s="1311"/>
      <c r="AR53" s="1311"/>
      <c r="AS53" s="1311"/>
      <c r="AT53" s="1308"/>
      <c r="AU53" s="4436"/>
      <c r="AW53" s="435"/>
      <c r="AX53" s="435"/>
      <c r="AY53" s="435"/>
      <c r="AZ53" s="435"/>
      <c r="BA53" s="1073">
        <v>11</v>
      </c>
    </row>
    <row r="54" spans="1:53" ht="11.45" customHeight="1">
      <c r="A54" s="1281" t="s">
        <v>221</v>
      </c>
      <c r="B54" s="1281" t="s">
        <v>222</v>
      </c>
      <c r="C54" s="1281" t="s">
        <v>223</v>
      </c>
      <c r="D54" s="1281" t="s">
        <v>224</v>
      </c>
      <c r="E54" s="4413"/>
      <c r="F54" s="4413"/>
      <c r="G54" s="4413"/>
      <c r="H54" s="4413"/>
      <c r="I54" s="4415"/>
      <c r="J54" s="4415"/>
      <c r="K54" s="4414"/>
      <c r="L54" s="1282"/>
      <c r="P54" s="4416"/>
      <c r="Q54" s="4416"/>
      <c r="R54" s="292"/>
      <c r="S54" s="4471"/>
      <c r="T54" s="4468"/>
      <c r="U54" s="236"/>
      <c r="V54" s="1311"/>
      <c r="W54" s="1312" t="str">
        <f>X51&amp;"-"&amp;Z51</f>
        <v>-</v>
      </c>
      <c r="X54" s="1311"/>
      <c r="Y54" s="1311"/>
      <c r="Z54" s="1311"/>
      <c r="AA54" s="1311"/>
      <c r="AB54" s="4284"/>
      <c r="AC54" s="248"/>
      <c r="AD54" s="250"/>
      <c r="AE54" s="350" t="s">
        <v>488</v>
      </c>
      <c r="AF54" s="1311"/>
      <c r="AG54" s="1311"/>
      <c r="AH54" s="1311"/>
      <c r="AI54" s="1311"/>
      <c r="AJ54" s="1311"/>
      <c r="AK54" s="1311"/>
      <c r="AL54" s="1311"/>
      <c r="AM54" s="1311"/>
      <c r="AN54" s="1311"/>
      <c r="AO54" s="1312" t="str">
        <f>AP51&amp;"-"&amp;AR51</f>
        <v>-</v>
      </c>
      <c r="AP54" s="1311"/>
      <c r="AQ54" s="1311"/>
      <c r="AR54" s="1311"/>
      <c r="AS54" s="1311"/>
      <c r="AT54" s="1267"/>
      <c r="AU54" s="4436"/>
      <c r="AW54" s="435"/>
      <c r="AX54" s="435" t="str">
        <f t="shared" ref="AX54:AX62" si="3">IF(T54="","",T54)</f>
        <v/>
      </c>
      <c r="AY54" s="435"/>
      <c r="AZ54" s="435"/>
      <c r="BA54" s="1073">
        <v>11</v>
      </c>
    </row>
    <row r="55" spans="1:53" ht="11.45" customHeight="1">
      <c r="A55" s="1281" t="s">
        <v>221</v>
      </c>
      <c r="B55" s="1281" t="s">
        <v>222</v>
      </c>
      <c r="C55" s="1281" t="s">
        <v>223</v>
      </c>
      <c r="D55" s="1281" t="s">
        <v>224</v>
      </c>
      <c r="E55" s="4413"/>
      <c r="F55" s="4413"/>
      <c r="G55" s="4413"/>
      <c r="H55" s="4413"/>
      <c r="I55" s="4415"/>
      <c r="J55" s="4414"/>
      <c r="K55" s="1281"/>
      <c r="L55" s="1282"/>
      <c r="P55" s="4416"/>
      <c r="Q55" s="4416"/>
      <c r="R55" s="291"/>
      <c r="S55" s="1196"/>
      <c r="T55" s="223" t="s">
        <v>489</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4437"/>
      <c r="AW55" s="435"/>
      <c r="AX55" s="435" t="str">
        <f t="shared" si="3"/>
        <v>Добавить строку</v>
      </c>
      <c r="AY55" s="435"/>
      <c r="AZ55" s="435"/>
      <c r="BA55" s="1073">
        <v>11</v>
      </c>
    </row>
    <row r="56" spans="1:53" s="4140" customFormat="1" ht="1.1499999999999999" customHeight="1">
      <c r="A56" s="1261" t="s">
        <v>221</v>
      </c>
      <c r="B56" s="1261" t="s">
        <v>222</v>
      </c>
      <c r="C56" s="1261" t="s">
        <v>223</v>
      </c>
      <c r="D56" s="1261" t="s">
        <v>224</v>
      </c>
      <c r="E56" s="4413"/>
      <c r="F56" s="4413"/>
      <c r="G56" s="4413"/>
      <c r="H56" s="4413"/>
      <c r="I56" s="4414"/>
      <c r="J56" s="1261"/>
      <c r="K56" s="1261"/>
      <c r="L56" s="1264"/>
      <c r="M56" s="445"/>
      <c r="N56" s="445"/>
      <c r="O56" s="445"/>
      <c r="P56" s="4416"/>
      <c r="Q56" s="1249"/>
      <c r="R56" s="291"/>
      <c r="S56" s="1304"/>
      <c r="T56" s="1305" t="s">
        <v>433</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4164" customFormat="1" ht="1.1499999999999999" customHeight="1">
      <c r="A57" s="1261" t="s">
        <v>221</v>
      </c>
      <c r="B57" s="1261" t="s">
        <v>222</v>
      </c>
      <c r="C57" s="1261" t="s">
        <v>223</v>
      </c>
      <c r="D57" s="1261" t="s">
        <v>224</v>
      </c>
      <c r="E57" s="4413"/>
      <c r="F57" s="4413"/>
      <c r="G57" s="4413"/>
      <c r="H57" s="441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4140" customFormat="1" ht="1.1499999999999999" customHeight="1">
      <c r="A58" s="1261" t="s">
        <v>221</v>
      </c>
      <c r="B58" s="1261" t="s">
        <v>222</v>
      </c>
      <c r="C58" s="1261" t="s">
        <v>223</v>
      </c>
      <c r="D58" s="1232"/>
      <c r="E58" s="4413"/>
      <c r="F58" s="4413"/>
      <c r="G58" s="4412"/>
      <c r="H58" s="1232"/>
      <c r="I58" s="1232"/>
      <c r="J58" s="1232"/>
      <c r="K58" s="1232"/>
      <c r="L58" s="1257"/>
      <c r="M58" s="1233"/>
      <c r="N58" s="1233"/>
      <c r="P58" s="1234"/>
      <c r="Q58" s="1235"/>
      <c r="R58" s="1234"/>
      <c r="S58" s="1240"/>
      <c r="T58" s="1243" t="s">
        <v>172</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4140" customFormat="1" ht="1.1499999999999999" customHeight="1">
      <c r="A59" s="1261" t="s">
        <v>221</v>
      </c>
      <c r="B59" s="1261" t="s">
        <v>222</v>
      </c>
      <c r="C59" s="1232"/>
      <c r="D59" s="1232"/>
      <c r="E59" s="4413"/>
      <c r="F59" s="4412"/>
      <c r="G59" s="1232"/>
      <c r="H59" s="1232"/>
      <c r="I59" s="1232"/>
      <c r="J59" s="1232"/>
      <c r="K59" s="1232"/>
      <c r="L59" s="1257"/>
      <c r="M59" s="1239"/>
      <c r="N59" s="1239"/>
      <c r="P59" s="1234"/>
      <c r="Q59" s="1235"/>
      <c r="R59" s="1234"/>
      <c r="S59" s="1240"/>
      <c r="T59" s="1243" t="s">
        <v>173</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4140" customFormat="1" ht="1.1499999999999999" customHeight="1">
      <c r="A60" s="1261" t="s">
        <v>221</v>
      </c>
      <c r="B60" s="1261"/>
      <c r="C60" s="1261"/>
      <c r="D60" s="1261"/>
      <c r="E60" s="4413"/>
      <c r="F60" s="1261"/>
      <c r="G60" s="1261"/>
      <c r="H60" s="1261"/>
      <c r="I60" s="1261"/>
      <c r="J60" s="1261"/>
      <c r="K60" s="1261"/>
      <c r="L60" s="1264"/>
      <c r="M60" s="1239"/>
      <c r="N60" s="1239"/>
      <c r="O60" s="453"/>
      <c r="P60" s="315"/>
      <c r="Q60" s="1262"/>
      <c r="R60" s="315"/>
      <c r="S60" s="1240"/>
      <c r="T60" s="1243" t="s">
        <v>174</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4140" customFormat="1" ht="1.1499999999999999" customHeight="1">
      <c r="A61" s="1261" t="s">
        <v>221</v>
      </c>
      <c r="B61" s="1261"/>
      <c r="C61" s="1261"/>
      <c r="D61" s="1261"/>
      <c r="E61" s="4412"/>
      <c r="F61" s="1261"/>
      <c r="G61" s="1261"/>
      <c r="H61" s="1261"/>
      <c r="I61" s="1261"/>
      <c r="J61" s="1261"/>
      <c r="K61" s="1261"/>
      <c r="L61" s="1264"/>
      <c r="M61" s="1239"/>
      <c r="N61" s="1239"/>
      <c r="O61" s="453"/>
      <c r="P61" s="315"/>
      <c r="Q61" s="1262"/>
      <c r="R61" s="315"/>
      <c r="S61" s="1240"/>
      <c r="T61" s="1243" t="s">
        <v>174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4140"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188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4411"/>
      <c r="U64" s="4411"/>
      <c r="V64" s="4411"/>
      <c r="W64" s="4411"/>
      <c r="X64" s="4411"/>
      <c r="Y64" s="4411"/>
      <c r="Z64" s="4411"/>
      <c r="AA64" s="4411"/>
      <c r="AB64" s="4411"/>
      <c r="AC64" s="4411"/>
      <c r="AD64" s="4411"/>
      <c r="AE64" s="4411"/>
      <c r="AF64" s="4411"/>
      <c r="AG64" s="4411"/>
      <c r="AH64" s="4411"/>
      <c r="AI64" s="4411"/>
      <c r="AJ64" s="4411"/>
      <c r="AK64" s="4411"/>
      <c r="AL64" s="4411"/>
      <c r="AM64" s="4411"/>
      <c r="AN64" s="4411"/>
      <c r="AO64" s="4411"/>
      <c r="AP64" s="4411"/>
      <c r="AQ64" s="4411"/>
      <c r="AR64" s="4411"/>
      <c r="AS64" s="4411"/>
      <c r="AT64" s="4411"/>
      <c r="AU64" s="4411"/>
      <c r="BA64" s="1073">
        <v>19</v>
      </c>
    </row>
    <row r="65" spans="1:53" ht="21" customHeight="1">
      <c r="O65" s="472"/>
      <c r="T65" s="4411"/>
      <c r="U65" s="4411"/>
      <c r="V65" s="4411"/>
      <c r="W65" s="4411"/>
      <c r="X65" s="4411"/>
      <c r="Y65" s="4411"/>
      <c r="Z65" s="4411"/>
      <c r="AA65" s="4411"/>
      <c r="AB65" s="4411"/>
      <c r="AC65" s="4411"/>
      <c r="AD65" s="4411"/>
      <c r="AE65" s="4411"/>
      <c r="AF65" s="4411"/>
      <c r="AG65" s="4411"/>
      <c r="AH65" s="4411"/>
      <c r="AI65" s="4411"/>
      <c r="AJ65" s="4411"/>
      <c r="AK65" s="4411"/>
      <c r="AL65" s="4411"/>
      <c r="AM65" s="4411"/>
      <c r="AN65" s="4411"/>
      <c r="AO65" s="4411"/>
      <c r="AP65" s="4411"/>
      <c r="AQ65" s="4411"/>
      <c r="AR65" s="4411"/>
      <c r="AS65" s="4411"/>
      <c r="AT65" s="4411"/>
      <c r="AU65" s="4411"/>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4411"/>
      <c r="U67" s="4411"/>
      <c r="V67" s="4411"/>
      <c r="W67" s="4411"/>
      <c r="X67" s="4411"/>
      <c r="Y67" s="4411"/>
      <c r="Z67" s="4411"/>
      <c r="AA67" s="4411"/>
      <c r="AB67" s="4411"/>
      <c r="AC67" s="4411"/>
      <c r="AD67" s="4411"/>
      <c r="AE67" s="4411"/>
      <c r="AF67" s="4411"/>
      <c r="AG67" s="4411"/>
      <c r="AH67" s="4411"/>
      <c r="AI67" s="4411"/>
      <c r="AJ67" s="4411"/>
      <c r="AK67" s="4411"/>
      <c r="AL67" s="4411"/>
      <c r="AM67" s="4411"/>
      <c r="AN67" s="4411"/>
      <c r="AO67" s="4411"/>
      <c r="AP67" s="4411"/>
      <c r="AQ67" s="4411"/>
      <c r="AR67" s="4411"/>
      <c r="AS67" s="4411"/>
      <c r="AT67" s="4411"/>
      <c r="AU67" s="4411"/>
      <c r="BA67" s="1073">
        <v>19</v>
      </c>
    </row>
    <row r="68" spans="1:53" ht="16.899999999999999" customHeight="1">
      <c r="O68" s="472"/>
      <c r="T68" s="4411"/>
      <c r="U68" s="4411"/>
      <c r="V68" s="4411"/>
      <c r="W68" s="4411"/>
      <c r="X68" s="4411"/>
      <c r="Y68" s="4411"/>
      <c r="Z68" s="4411"/>
      <c r="AA68" s="4411"/>
      <c r="AB68" s="4411"/>
      <c r="AC68" s="4411"/>
      <c r="AD68" s="4411"/>
      <c r="AE68" s="4411"/>
      <c r="AF68" s="4411"/>
      <c r="AG68" s="4411"/>
      <c r="AH68" s="4411"/>
      <c r="AI68" s="4411"/>
      <c r="AJ68" s="4411"/>
      <c r="AK68" s="4411"/>
      <c r="AL68" s="4411"/>
      <c r="AM68" s="4411"/>
      <c r="AN68" s="4411"/>
      <c r="AO68" s="4411"/>
      <c r="AP68" s="4411"/>
      <c r="AQ68" s="4411"/>
      <c r="AR68" s="4411"/>
      <c r="AS68" s="4411"/>
      <c r="AT68" s="4411"/>
      <c r="AU68" s="4411"/>
      <c r="BA68" s="1073">
        <v>16</v>
      </c>
    </row>
    <row r="69" spans="1:53" ht="14.65" customHeight="1">
      <c r="O69" s="472"/>
      <c r="BA69" s="1073">
        <v>14</v>
      </c>
    </row>
    <row r="70" spans="1:53" ht="22.5" hidden="1" customHeight="1">
      <c r="A70" s="1078" t="s">
        <v>86</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343"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341"/>
      <c r="Q3" s="287"/>
      <c r="R3" s="288"/>
      <c r="S3" s="1343"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343" t="e">
        <f>INDEX(PT_DIFFERENTIATION_NUM_CS,MATCH(C4,PT_DIFFERENTIATION_CS_ID,0))</f>
        <v>#N/A</v>
      </c>
      <c r="T4" s="245" t="s">
        <v>502</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503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40"/>
      <c r="R5" s="291"/>
      <c r="S5" s="1343"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343"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343"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342"/>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40"/>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344"/>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39"/>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39"/>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270" t="s">
        <v>510</v>
      </c>
      <c r="W38" s="4256" t="s">
        <v>453</v>
      </c>
      <c r="X38" s="4255"/>
      <c r="Y38" s="4256" t="s">
        <v>454</v>
      </c>
      <c r="Z38" s="4261"/>
      <c r="AA38" s="4255"/>
      <c r="AB38" s="4430"/>
      <c r="AC38" s="1270" t="s">
        <v>510</v>
      </c>
      <c r="AD38" s="4256" t="s">
        <v>453</v>
      </c>
      <c r="AE38" s="4255"/>
      <c r="AF38" s="4256" t="s">
        <v>454</v>
      </c>
      <c r="AG38" s="4261"/>
      <c r="AH38" s="4255"/>
      <c r="AI38" s="4430"/>
      <c r="AJ38" s="4433"/>
      <c r="AK38" s="4274"/>
      <c r="AQ38" s="1073">
        <v>34</v>
      </c>
    </row>
    <row r="39" spans="1:43" ht="35.65"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270" t="s">
        <v>513</v>
      </c>
      <c r="W39" s="1140" t="s">
        <v>514</v>
      </c>
      <c r="X39" s="1140" t="s">
        <v>515</v>
      </c>
      <c r="Y39" s="1275" t="s">
        <v>464</v>
      </c>
      <c r="Z39" s="4378" t="s">
        <v>465</v>
      </c>
      <c r="AA39" s="4392"/>
      <c r="AB39" s="4431"/>
      <c r="AC39" s="1270" t="s">
        <v>513</v>
      </c>
      <c r="AD39" s="1140" t="s">
        <v>514</v>
      </c>
      <c r="AE39" s="1140" t="s">
        <v>515</v>
      </c>
      <c r="AF39" s="1275" t="s">
        <v>464</v>
      </c>
      <c r="AG39" s="4378" t="s">
        <v>465</v>
      </c>
      <c r="AH39" s="4392"/>
      <c r="AI39" s="4431"/>
      <c r="AJ39" s="4434"/>
      <c r="AK39" s="4274"/>
      <c r="AQ39" s="1073">
        <v>34</v>
      </c>
    </row>
    <row r="40" spans="1:43" s="416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271">
        <f ca="1">OFFSET(V40,0,-1)+1</f>
        <v>3</v>
      </c>
      <c r="W40" s="1271">
        <f ca="1">OFFSET(W40,0,-1)+1</f>
        <v>4</v>
      </c>
      <c r="X40" s="1271">
        <f ca="1">OFFSET(X40,0,-1)+1</f>
        <v>5</v>
      </c>
      <c r="Y40" s="1271">
        <f ca="1">OFFSET(Y40,0,-1)+1</f>
        <v>6</v>
      </c>
      <c r="Z40" s="4423">
        <f ca="1">OFFSET(Z40,0,-1)+1</f>
        <v>7</v>
      </c>
      <c r="AA40" s="4423"/>
      <c r="AB40" s="1271">
        <f ca="1">OFFSET(AB40,0,-2)+1</f>
        <v>8</v>
      </c>
      <c r="AC40" s="1271">
        <f ca="1">OFFSET(AC40,0,-1)+1</f>
        <v>9</v>
      </c>
      <c r="AD40" s="1271">
        <f ca="1">OFFSET(AD40,0,-1)+1</f>
        <v>10</v>
      </c>
      <c r="AE40" s="1271">
        <f ca="1">OFFSET(AE40,0,-1)+1</f>
        <v>11</v>
      </c>
      <c r="AF40" s="1271">
        <f ca="1">OFFSET(AF40,0,-1)+1</f>
        <v>12</v>
      </c>
      <c r="AG40" s="4423">
        <f ca="1">OFFSET(AG40,0,-1)+1</f>
        <v>13</v>
      </c>
      <c r="AH40" s="4423"/>
      <c r="AI40" s="1271">
        <f ca="1">OFFSET(AI40,0,-2)+1</f>
        <v>14</v>
      </c>
      <c r="AJ40" s="1163">
        <f ca="1">OFFSET(AJ40,0,-1)</f>
        <v>14</v>
      </c>
      <c r="AK40" s="1271">
        <f ca="1">OFFSET(AK40,0,-1)+1</f>
        <v>15</v>
      </c>
      <c r="AL40" s="446"/>
      <c r="AM40" s="446"/>
      <c r="AN40" s="446"/>
      <c r="AO40" s="446"/>
      <c r="AP40" s="446"/>
      <c r="AQ40" s="431">
        <v>0</v>
      </c>
    </row>
    <row r="41" spans="1:43" ht="24" customHeight="1">
      <c r="A41" s="1281" t="s">
        <v>247</v>
      </c>
      <c r="B41" s="1281"/>
      <c r="C41" s="1281"/>
      <c r="D41" s="1281"/>
      <c r="E41" s="441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247</v>
      </c>
      <c r="B42" s="1281" t="s">
        <v>248</v>
      </c>
      <c r="C42" s="1281"/>
      <c r="D42" s="1281"/>
      <c r="E42" s="4413"/>
      <c r="F42" s="4412">
        <v>1</v>
      </c>
      <c r="G42" s="1281"/>
      <c r="H42" s="1281"/>
      <c r="I42" s="1281"/>
      <c r="J42" s="1281"/>
      <c r="K42" s="1281"/>
      <c r="L42" s="1282"/>
      <c r="M42" s="1283"/>
      <c r="N42" s="1283"/>
      <c r="O42" s="1283"/>
      <c r="P42" s="1274"/>
      <c r="Q42" s="287"/>
      <c r="R42" s="288"/>
      <c r="S42" s="1276"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247</v>
      </c>
      <c r="B43" s="1281" t="s">
        <v>248</v>
      </c>
      <c r="C43" s="1281" t="s">
        <v>249</v>
      </c>
      <c r="D43" s="1281"/>
      <c r="E43" s="4413"/>
      <c r="F43" s="4413"/>
      <c r="G43" s="4412">
        <v>1</v>
      </c>
      <c r="H43" s="1281"/>
      <c r="I43" s="1281"/>
      <c r="J43" s="1281"/>
      <c r="K43" s="1281"/>
      <c r="L43" s="1282"/>
      <c r="M43" s="1283"/>
      <c r="N43" s="1283"/>
      <c r="O43" s="1283"/>
      <c r="P43" s="289"/>
      <c r="Q43" s="287"/>
      <c r="R43" s="288"/>
      <c r="S43" s="1276" t="str">
        <f>INDEX(PT_DIFFERENTIATION_NUM_CS,MATCH(C43,PT_DIFFERENTIATION_CS_ID,0))</f>
        <v>..</v>
      </c>
      <c r="T43" s="245" t="s">
        <v>502</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503</v>
      </c>
      <c r="AM43" s="435"/>
      <c r="AN43" s="435" t="str">
        <f t="shared" si="1"/>
        <v>Наименование централизованной системы холодного водоснабжения</v>
      </c>
      <c r="AO43" s="435"/>
      <c r="AP43" s="435"/>
      <c r="AQ43" s="1073">
        <v>23</v>
      </c>
    </row>
    <row r="44" spans="1:43" ht="24" customHeight="1">
      <c r="A44" s="1281" t="s">
        <v>247</v>
      </c>
      <c r="B44" s="1281" t="s">
        <v>248</v>
      </c>
      <c r="C44" s="1281" t="s">
        <v>249</v>
      </c>
      <c r="D44" s="1281" t="s">
        <v>516</v>
      </c>
      <c r="E44" s="4413"/>
      <c r="F44" s="4413"/>
      <c r="G44" s="4413"/>
      <c r="H44" s="4413"/>
      <c r="I44" s="4414" t="str">
        <f>S43&amp;".1"</f>
        <v>...1</v>
      </c>
      <c r="J44" s="1281"/>
      <c r="K44" s="1281"/>
      <c r="L44" s="1282"/>
      <c r="P44" s="4416">
        <v>1</v>
      </c>
      <c r="Q44" s="1272"/>
      <c r="R44" s="291"/>
      <c r="S44" s="1276"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247</v>
      </c>
      <c r="B45" s="1281" t="s">
        <v>248</v>
      </c>
      <c r="C45" s="1281" t="s">
        <v>249</v>
      </c>
      <c r="D45" s="1281" t="s">
        <v>516</v>
      </c>
      <c r="E45" s="4413"/>
      <c r="F45" s="4413"/>
      <c r="G45" s="4413"/>
      <c r="H45" s="4413"/>
      <c r="I45" s="4415"/>
      <c r="J45" s="4414" t="str">
        <f>I44&amp;".1"</f>
        <v>...1.1</v>
      </c>
      <c r="K45" s="1281"/>
      <c r="L45" s="1282" t="s">
        <v>427</v>
      </c>
      <c r="P45" s="4416"/>
      <c r="Q45" s="4416">
        <v>1</v>
      </c>
      <c r="R45" s="292"/>
      <c r="S45" s="1276"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247</v>
      </c>
      <c r="B46" s="1281" t="s">
        <v>248</v>
      </c>
      <c r="C46" s="1281" t="s">
        <v>249</v>
      </c>
      <c r="D46" s="1281" t="s">
        <v>516</v>
      </c>
      <c r="E46" s="4413"/>
      <c r="F46" s="4413"/>
      <c r="G46" s="4413"/>
      <c r="H46" s="4413"/>
      <c r="I46" s="4415"/>
      <c r="J46" s="4415"/>
      <c r="K46" s="4414" t="str">
        <f>J45&amp;".1"</f>
        <v>...1.1.1</v>
      </c>
      <c r="L46" s="1282"/>
      <c r="P46" s="4416"/>
      <c r="Q46" s="4416"/>
      <c r="R46" s="292">
        <v>1</v>
      </c>
      <c r="S46" s="1276" t="str">
        <f>$K46</f>
        <v>...1.1.1</v>
      </c>
      <c r="T46" s="1355"/>
      <c r="U46" s="236"/>
      <c r="V46" s="1278"/>
      <c r="W46" s="1278"/>
      <c r="X46" s="1279"/>
      <c r="Y46" s="4410"/>
      <c r="Z46" s="4409" t="s">
        <v>65</v>
      </c>
      <c r="AA46" s="4410"/>
      <c r="AB46" s="4409" t="s">
        <v>65</v>
      </c>
      <c r="AC46" s="686"/>
      <c r="AD46" s="686"/>
      <c r="AE46" s="1175"/>
      <c r="AF46" s="4417"/>
      <c r="AG46" s="4284" t="s">
        <v>65</v>
      </c>
      <c r="AH46" s="4419"/>
      <c r="AI46" s="4284" t="s">
        <v>19</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247</v>
      </c>
      <c r="B47" s="1281" t="s">
        <v>248</v>
      </c>
      <c r="C47" s="1281" t="s">
        <v>249</v>
      </c>
      <c r="D47" s="1281" t="s">
        <v>516</v>
      </c>
      <c r="E47" s="4413"/>
      <c r="F47" s="4413"/>
      <c r="G47" s="4413"/>
      <c r="H47" s="4413"/>
      <c r="I47" s="4415"/>
      <c r="J47" s="4415"/>
      <c r="K47" s="4414"/>
      <c r="L47" s="1282"/>
      <c r="P47" s="4416"/>
      <c r="Q47" s="4416"/>
      <c r="R47" s="292"/>
      <c r="S47" s="1277"/>
      <c r="T47" s="236"/>
      <c r="U47" s="236"/>
      <c r="V47" s="1278"/>
      <c r="W47" s="1278"/>
      <c r="X47" s="264" t="str">
        <f>Y46&amp;"-"&amp;AA46</f>
        <v>-</v>
      </c>
      <c r="Y47" s="4409"/>
      <c r="Z47" s="4409"/>
      <c r="AA47" s="4409"/>
      <c r="AB47" s="4409"/>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247</v>
      </c>
      <c r="B48" s="1281" t="s">
        <v>248</v>
      </c>
      <c r="C48" s="1281" t="s">
        <v>249</v>
      </c>
      <c r="D48" s="1281" t="s">
        <v>516</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247</v>
      </c>
      <c r="B49" s="1281" t="s">
        <v>248</v>
      </c>
      <c r="C49" s="1281" t="s">
        <v>249</v>
      </c>
      <c r="D49" s="1281" t="s">
        <v>516</v>
      </c>
      <c r="E49" s="4413"/>
      <c r="F49" s="4413"/>
      <c r="G49" s="4413"/>
      <c r="H49" s="4413"/>
      <c r="I49" s="4414"/>
      <c r="J49" s="1281"/>
      <c r="K49" s="1281"/>
      <c r="L49" s="1282"/>
      <c r="P49" s="4416"/>
      <c r="Q49" s="1272"/>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247</v>
      </c>
      <c r="B50" s="1281" t="s">
        <v>248</v>
      </c>
      <c r="C50" s="1281" t="s">
        <v>249</v>
      </c>
      <c r="D50" s="1281" t="s">
        <v>516</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247</v>
      </c>
      <c r="B51" s="1261" t="s">
        <v>248</v>
      </c>
      <c r="C51" s="1232"/>
      <c r="D51" s="1232"/>
      <c r="E51" s="4413"/>
      <c r="F51" s="4412"/>
      <c r="G51" s="1232"/>
      <c r="H51" s="1232"/>
      <c r="I51" s="1232"/>
      <c r="J51" s="1232"/>
      <c r="K51" s="1232"/>
      <c r="L51" s="1344"/>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247</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371"/>
      <c r="Q3" s="287"/>
      <c r="R3" s="288"/>
      <c r="S3" s="1375"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375" t="e">
        <f>INDEX(PT_DIFFERENTIATION_NUM_CS,MATCH(C4,PT_DIFFERENTIATION_CS_ID,0))</f>
        <v>#N/A</v>
      </c>
      <c r="T4" s="245" t="s">
        <v>502</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503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68"/>
      <c r="R5" s="291"/>
      <c r="S5" s="1375"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375"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375"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374"/>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68"/>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65"/>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65"/>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370" t="s">
        <v>510</v>
      </c>
      <c r="W38" s="4256" t="s">
        <v>453</v>
      </c>
      <c r="X38" s="4255"/>
      <c r="Y38" s="4256" t="s">
        <v>454</v>
      </c>
      <c r="Z38" s="4261"/>
      <c r="AA38" s="4255"/>
      <c r="AB38" s="4430"/>
      <c r="AC38" s="1370" t="s">
        <v>510</v>
      </c>
      <c r="AD38" s="4256" t="s">
        <v>453</v>
      </c>
      <c r="AE38" s="4255"/>
      <c r="AF38" s="4256" t="s">
        <v>454</v>
      </c>
      <c r="AG38" s="4261"/>
      <c r="AH38" s="4255"/>
      <c r="AI38" s="4430"/>
      <c r="AJ38" s="4433"/>
      <c r="AK38" s="4274"/>
      <c r="AQ38" s="1073">
        <v>34</v>
      </c>
    </row>
    <row r="39" spans="1:43" ht="35.65"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370" t="s">
        <v>513</v>
      </c>
      <c r="W39" s="1140" t="s">
        <v>514</v>
      </c>
      <c r="X39" s="1140" t="s">
        <v>515</v>
      </c>
      <c r="Y39" s="1373" t="s">
        <v>464</v>
      </c>
      <c r="Z39" s="4378" t="s">
        <v>465</v>
      </c>
      <c r="AA39" s="4392"/>
      <c r="AB39" s="4431"/>
      <c r="AC39" s="1370" t="s">
        <v>513</v>
      </c>
      <c r="AD39" s="1140" t="s">
        <v>514</v>
      </c>
      <c r="AE39" s="1140" t="s">
        <v>515</v>
      </c>
      <c r="AF39" s="1373" t="s">
        <v>464</v>
      </c>
      <c r="AG39" s="4378" t="s">
        <v>465</v>
      </c>
      <c r="AH39" s="4392"/>
      <c r="AI39" s="4431"/>
      <c r="AJ39" s="4434"/>
      <c r="AK39" s="4274"/>
      <c r="AQ39" s="1073">
        <v>34</v>
      </c>
    </row>
    <row r="40" spans="1:43" s="416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4423">
        <f ca="1">OFFSET(Z40,0,-1)+1</f>
        <v>7</v>
      </c>
      <c r="AA40" s="4423"/>
      <c r="AB40" s="1369">
        <f ca="1">OFFSET(AB40,0,-2)+1</f>
        <v>8</v>
      </c>
      <c r="AC40" s="1369">
        <f ca="1">OFFSET(AC40,0,-1)+1</f>
        <v>9</v>
      </c>
      <c r="AD40" s="1369">
        <f ca="1">OFFSET(AD40,0,-1)+1</f>
        <v>10</v>
      </c>
      <c r="AE40" s="1369">
        <f ca="1">OFFSET(AE40,0,-1)+1</f>
        <v>11</v>
      </c>
      <c r="AF40" s="1369">
        <f ca="1">OFFSET(AF40,0,-1)+1</f>
        <v>12</v>
      </c>
      <c r="AG40" s="4423">
        <f ca="1">OFFSET(AG40,0,-1)+1</f>
        <v>13</v>
      </c>
      <c r="AH40" s="4423"/>
      <c r="AI40" s="1369">
        <f ca="1">OFFSET(AI40,0,-2)+1</f>
        <v>14</v>
      </c>
      <c r="AJ40" s="1163">
        <f ca="1">OFFSET(AJ40,0,-1)</f>
        <v>14</v>
      </c>
      <c r="AK40" s="1369">
        <f ca="1">OFFSET(AK40,0,-1)+1</f>
        <v>15</v>
      </c>
      <c r="AL40" s="446"/>
      <c r="AM40" s="446"/>
      <c r="AN40" s="446"/>
      <c r="AO40" s="446"/>
      <c r="AP40" s="446"/>
      <c r="AQ40" s="431">
        <v>0</v>
      </c>
    </row>
    <row r="41" spans="1:43" ht="24" customHeight="1">
      <c r="A41" s="1281" t="s">
        <v>252</v>
      </c>
      <c r="B41" s="1281"/>
      <c r="C41" s="1281"/>
      <c r="D41" s="1281"/>
      <c r="E41" s="441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252</v>
      </c>
      <c r="B42" s="1281" t="s">
        <v>253</v>
      </c>
      <c r="C42" s="1281"/>
      <c r="D42" s="1281"/>
      <c r="E42" s="4413"/>
      <c r="F42" s="4412">
        <v>1</v>
      </c>
      <c r="G42" s="1281"/>
      <c r="H42" s="1281"/>
      <c r="I42" s="1281"/>
      <c r="J42" s="1281"/>
      <c r="K42" s="1281"/>
      <c r="L42" s="1282"/>
      <c r="M42" s="1283"/>
      <c r="N42" s="1283"/>
      <c r="O42" s="1283"/>
      <c r="P42" s="1371"/>
      <c r="Q42" s="287"/>
      <c r="R42" s="288"/>
      <c r="S42" s="1375"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252</v>
      </c>
      <c r="B43" s="1281" t="s">
        <v>253</v>
      </c>
      <c r="C43" s="1281" t="s">
        <v>254</v>
      </c>
      <c r="D43" s="1281"/>
      <c r="E43" s="4413"/>
      <c r="F43" s="4413"/>
      <c r="G43" s="4412">
        <v>1</v>
      </c>
      <c r="H43" s="1281"/>
      <c r="I43" s="1281"/>
      <c r="J43" s="1281"/>
      <c r="K43" s="1281"/>
      <c r="L43" s="1282"/>
      <c r="M43" s="1283"/>
      <c r="N43" s="1283"/>
      <c r="O43" s="1283"/>
      <c r="P43" s="289"/>
      <c r="Q43" s="287"/>
      <c r="R43" s="288"/>
      <c r="S43" s="1375" t="str">
        <f>INDEX(PT_DIFFERENTIATION_NUM_CS,MATCH(C43,PT_DIFFERENTIATION_CS_ID,0))</f>
        <v>..</v>
      </c>
      <c r="T43" s="245" t="s">
        <v>502</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503</v>
      </c>
      <c r="AM43" s="435"/>
      <c r="AN43" s="435" t="str">
        <f t="shared" si="1"/>
        <v>Наименование централизованной системы холодного водоснабжения</v>
      </c>
      <c r="AO43" s="435"/>
      <c r="AP43" s="435"/>
      <c r="AQ43" s="1073">
        <v>23</v>
      </c>
    </row>
    <row r="44" spans="1:43" ht="24" customHeight="1">
      <c r="A44" s="1281" t="s">
        <v>252</v>
      </c>
      <c r="B44" s="1281" t="s">
        <v>253</v>
      </c>
      <c r="C44" s="1281" t="s">
        <v>254</v>
      </c>
      <c r="D44" s="1281" t="s">
        <v>517</v>
      </c>
      <c r="E44" s="4413"/>
      <c r="F44" s="4413"/>
      <c r="G44" s="4413"/>
      <c r="H44" s="4413"/>
      <c r="I44" s="4414" t="str">
        <f>S43&amp;".1"</f>
        <v>...1</v>
      </c>
      <c r="J44" s="1281"/>
      <c r="K44" s="1281"/>
      <c r="L44" s="1282"/>
      <c r="P44" s="4416">
        <v>1</v>
      </c>
      <c r="Q44" s="1368"/>
      <c r="R44" s="291"/>
      <c r="S44" s="1375"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252</v>
      </c>
      <c r="B45" s="1281" t="s">
        <v>253</v>
      </c>
      <c r="C45" s="1281" t="s">
        <v>254</v>
      </c>
      <c r="D45" s="1281" t="s">
        <v>517</v>
      </c>
      <c r="E45" s="4413"/>
      <c r="F45" s="4413"/>
      <c r="G45" s="4413"/>
      <c r="H45" s="4413"/>
      <c r="I45" s="4415"/>
      <c r="J45" s="4414" t="str">
        <f>I44&amp;".1"</f>
        <v>...1.1</v>
      </c>
      <c r="K45" s="1281"/>
      <c r="L45" s="1282" t="s">
        <v>427</v>
      </c>
      <c r="P45" s="4416"/>
      <c r="Q45" s="4416">
        <v>1</v>
      </c>
      <c r="R45" s="292"/>
      <c r="S45" s="1375"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252</v>
      </c>
      <c r="B46" s="1281" t="s">
        <v>253</v>
      </c>
      <c r="C46" s="1281" t="s">
        <v>254</v>
      </c>
      <c r="D46" s="1281" t="s">
        <v>517</v>
      </c>
      <c r="E46" s="4413"/>
      <c r="F46" s="4413"/>
      <c r="G46" s="4413"/>
      <c r="H46" s="4413"/>
      <c r="I46" s="4415"/>
      <c r="J46" s="4415"/>
      <c r="K46" s="4414" t="str">
        <f>J45&amp;".1"</f>
        <v>...1.1.1</v>
      </c>
      <c r="L46" s="1282"/>
      <c r="P46" s="4416"/>
      <c r="Q46" s="4416"/>
      <c r="R46" s="292">
        <v>1</v>
      </c>
      <c r="S46" s="1375" t="str">
        <f>$K46</f>
        <v>...1.1.1</v>
      </c>
      <c r="T46" s="1355"/>
      <c r="U46" s="236"/>
      <c r="V46" s="686"/>
      <c r="W46" s="686"/>
      <c r="X46" s="1175"/>
      <c r="Y46" s="4417"/>
      <c r="Z46" s="4284" t="s">
        <v>65</v>
      </c>
      <c r="AA46" s="4417"/>
      <c r="AB46" s="4284" t="s">
        <v>65</v>
      </c>
      <c r="AC46" s="686"/>
      <c r="AD46" s="686"/>
      <c r="AE46" s="1175"/>
      <c r="AF46" s="4417"/>
      <c r="AG46" s="4284" t="s">
        <v>65</v>
      </c>
      <c r="AH46" s="4419"/>
      <c r="AI46" s="4284" t="s">
        <v>65</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252</v>
      </c>
      <c r="B47" s="1281" t="s">
        <v>253</v>
      </c>
      <c r="C47" s="1281" t="s">
        <v>254</v>
      </c>
      <c r="D47" s="1281" t="s">
        <v>517</v>
      </c>
      <c r="E47" s="4413"/>
      <c r="F47" s="4413"/>
      <c r="G47" s="4413"/>
      <c r="H47" s="4413"/>
      <c r="I47" s="4415"/>
      <c r="J47" s="4415"/>
      <c r="K47" s="4414"/>
      <c r="L47" s="1282"/>
      <c r="P47" s="4416"/>
      <c r="Q47" s="4416"/>
      <c r="R47" s="292"/>
      <c r="S47" s="1374"/>
      <c r="T47" s="236"/>
      <c r="U47" s="236"/>
      <c r="V47" s="261"/>
      <c r="W47" s="261"/>
      <c r="X47" s="264" t="str">
        <f>Y46&amp;"-"&amp;AA46</f>
        <v>-</v>
      </c>
      <c r="Y47" s="4418"/>
      <c r="Z47" s="4284"/>
      <c r="AA47" s="4418"/>
      <c r="AB47" s="4284"/>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252</v>
      </c>
      <c r="B48" s="1281" t="s">
        <v>253</v>
      </c>
      <c r="C48" s="1281" t="s">
        <v>254</v>
      </c>
      <c r="D48" s="1281" t="s">
        <v>517</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252</v>
      </c>
      <c r="B49" s="1281" t="s">
        <v>253</v>
      </c>
      <c r="C49" s="1281" t="s">
        <v>254</v>
      </c>
      <c r="D49" s="1281" t="s">
        <v>517</v>
      </c>
      <c r="E49" s="4413"/>
      <c r="F49" s="4413"/>
      <c r="G49" s="4413"/>
      <c r="H49" s="4413"/>
      <c r="I49" s="4414"/>
      <c r="J49" s="1281"/>
      <c r="K49" s="1281"/>
      <c r="L49" s="1282"/>
      <c r="P49" s="4416"/>
      <c r="Q49" s="1368"/>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252</v>
      </c>
      <c r="B50" s="1281" t="s">
        <v>253</v>
      </c>
      <c r="C50" s="1281" t="s">
        <v>254</v>
      </c>
      <c r="D50" s="1281" t="s">
        <v>517</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252</v>
      </c>
      <c r="B51" s="1261" t="s">
        <v>253</v>
      </c>
      <c r="C51" s="1232"/>
      <c r="D51" s="1232"/>
      <c r="E51" s="4413"/>
      <c r="F51" s="4412"/>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252</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371"/>
      <c r="Q3" s="287"/>
      <c r="R3" s="288"/>
      <c r="S3" s="1375"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375" t="e">
        <f>INDEX(PT_DIFFERENTIATION_NUM_CS,MATCH(C4,PT_DIFFERENTIATION_CS_ID,0))</f>
        <v>#N/A</v>
      </c>
      <c r="T4" s="245" t="s">
        <v>502</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503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68"/>
      <c r="R5" s="291"/>
      <c r="S5" s="1375"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375"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375"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374"/>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68"/>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65"/>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65"/>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370" t="s">
        <v>510</v>
      </c>
      <c r="W38" s="4256" t="s">
        <v>453</v>
      </c>
      <c r="X38" s="4255"/>
      <c r="Y38" s="4256" t="s">
        <v>454</v>
      </c>
      <c r="Z38" s="4261"/>
      <c r="AA38" s="4255"/>
      <c r="AB38" s="4430"/>
      <c r="AC38" s="1370" t="s">
        <v>510</v>
      </c>
      <c r="AD38" s="4256" t="s">
        <v>453</v>
      </c>
      <c r="AE38" s="4255"/>
      <c r="AF38" s="4256" t="s">
        <v>454</v>
      </c>
      <c r="AG38" s="4261"/>
      <c r="AH38" s="4255"/>
      <c r="AI38" s="4430"/>
      <c r="AJ38" s="4433"/>
      <c r="AK38" s="4274"/>
      <c r="AQ38" s="1073">
        <v>34</v>
      </c>
    </row>
    <row r="39" spans="1:43" ht="35.65"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370" t="s">
        <v>513</v>
      </c>
      <c r="W39" s="1140" t="s">
        <v>514</v>
      </c>
      <c r="X39" s="1140" t="s">
        <v>515</v>
      </c>
      <c r="Y39" s="1373" t="s">
        <v>464</v>
      </c>
      <c r="Z39" s="4378" t="s">
        <v>465</v>
      </c>
      <c r="AA39" s="4392"/>
      <c r="AB39" s="4431"/>
      <c r="AC39" s="1370" t="s">
        <v>513</v>
      </c>
      <c r="AD39" s="1140" t="s">
        <v>514</v>
      </c>
      <c r="AE39" s="1140" t="s">
        <v>515</v>
      </c>
      <c r="AF39" s="1373" t="s">
        <v>464</v>
      </c>
      <c r="AG39" s="4378" t="s">
        <v>465</v>
      </c>
      <c r="AH39" s="4392"/>
      <c r="AI39" s="4431"/>
      <c r="AJ39" s="4434"/>
      <c r="AK39" s="4274"/>
      <c r="AQ39" s="1073">
        <v>34</v>
      </c>
    </row>
    <row r="40" spans="1:43" s="416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4423">
        <f ca="1">OFFSET(Z40,0,-1)+1</f>
        <v>7</v>
      </c>
      <c r="AA40" s="4423"/>
      <c r="AB40" s="1369">
        <f ca="1">OFFSET(AB40,0,-2)+1</f>
        <v>8</v>
      </c>
      <c r="AC40" s="1369">
        <f ca="1">OFFSET(AC40,0,-1)+1</f>
        <v>9</v>
      </c>
      <c r="AD40" s="1369">
        <f ca="1">OFFSET(AD40,0,-1)+1</f>
        <v>10</v>
      </c>
      <c r="AE40" s="1369">
        <f ca="1">OFFSET(AE40,0,-1)+1</f>
        <v>11</v>
      </c>
      <c r="AF40" s="1369">
        <f ca="1">OFFSET(AF40,0,-1)+1</f>
        <v>12</v>
      </c>
      <c r="AG40" s="4423">
        <f ca="1">OFFSET(AG40,0,-1)+1</f>
        <v>13</v>
      </c>
      <c r="AH40" s="4423"/>
      <c r="AI40" s="1369">
        <f ca="1">OFFSET(AI40,0,-2)+1</f>
        <v>14</v>
      </c>
      <c r="AJ40" s="1163">
        <f ca="1">OFFSET(AJ40,0,-1)</f>
        <v>14</v>
      </c>
      <c r="AK40" s="1369">
        <f ca="1">OFFSET(AK40,0,-1)+1</f>
        <v>15</v>
      </c>
      <c r="AL40" s="446"/>
      <c r="AM40" s="446"/>
      <c r="AN40" s="446"/>
      <c r="AO40" s="446"/>
      <c r="AP40" s="446"/>
      <c r="AQ40" s="431">
        <v>0</v>
      </c>
    </row>
    <row r="41" spans="1:43" ht="24" customHeight="1">
      <c r="A41" s="1281" t="s">
        <v>257</v>
      </c>
      <c r="B41" s="1281"/>
      <c r="C41" s="1281"/>
      <c r="D41" s="1281"/>
      <c r="E41" s="441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257</v>
      </c>
      <c r="B42" s="1281" t="s">
        <v>258</v>
      </c>
      <c r="C42" s="1281"/>
      <c r="D42" s="1281"/>
      <c r="E42" s="4413"/>
      <c r="F42" s="4412">
        <v>1</v>
      </c>
      <c r="G42" s="1281"/>
      <c r="H42" s="1281"/>
      <c r="I42" s="1281"/>
      <c r="J42" s="1281"/>
      <c r="K42" s="1281"/>
      <c r="L42" s="1282"/>
      <c r="M42" s="1283"/>
      <c r="N42" s="1283"/>
      <c r="O42" s="1283"/>
      <c r="P42" s="1371"/>
      <c r="Q42" s="287"/>
      <c r="R42" s="288"/>
      <c r="S42" s="1375"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257</v>
      </c>
      <c r="B43" s="1281" t="s">
        <v>258</v>
      </c>
      <c r="C43" s="1281" t="s">
        <v>259</v>
      </c>
      <c r="D43" s="1281"/>
      <c r="E43" s="4413"/>
      <c r="F43" s="4413"/>
      <c r="G43" s="4412">
        <v>1</v>
      </c>
      <c r="H43" s="1281"/>
      <c r="I43" s="1281"/>
      <c r="J43" s="1281"/>
      <c r="K43" s="1281"/>
      <c r="L43" s="1282"/>
      <c r="M43" s="1283"/>
      <c r="N43" s="1283"/>
      <c r="O43" s="1283"/>
      <c r="P43" s="289"/>
      <c r="Q43" s="287"/>
      <c r="R43" s="288"/>
      <c r="S43" s="1375" t="str">
        <f>INDEX(PT_DIFFERENTIATION_NUM_CS,MATCH(C43,PT_DIFFERENTIATION_CS_ID,0))</f>
        <v>..</v>
      </c>
      <c r="T43" s="245" t="s">
        <v>502</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503</v>
      </c>
      <c r="AM43" s="435"/>
      <c r="AN43" s="435" t="str">
        <f t="shared" si="1"/>
        <v>Наименование централизованной системы холодного водоснабжения</v>
      </c>
      <c r="AO43" s="435"/>
      <c r="AP43" s="435"/>
      <c r="AQ43" s="1073">
        <v>23</v>
      </c>
    </row>
    <row r="44" spans="1:43" ht="24" customHeight="1">
      <c r="A44" s="1281" t="s">
        <v>257</v>
      </c>
      <c r="B44" s="1281" t="s">
        <v>258</v>
      </c>
      <c r="C44" s="1281" t="s">
        <v>259</v>
      </c>
      <c r="D44" s="1281" t="s">
        <v>518</v>
      </c>
      <c r="E44" s="4413"/>
      <c r="F44" s="4413"/>
      <c r="G44" s="4413"/>
      <c r="H44" s="4413"/>
      <c r="I44" s="4414" t="str">
        <f>S43&amp;".1"</f>
        <v>...1</v>
      </c>
      <c r="J44" s="1281"/>
      <c r="K44" s="1281"/>
      <c r="L44" s="1282"/>
      <c r="P44" s="4416">
        <v>1</v>
      </c>
      <c r="Q44" s="1368"/>
      <c r="R44" s="291"/>
      <c r="S44" s="1375"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257</v>
      </c>
      <c r="B45" s="1281" t="s">
        <v>258</v>
      </c>
      <c r="C45" s="1281" t="s">
        <v>259</v>
      </c>
      <c r="D45" s="1281" t="s">
        <v>518</v>
      </c>
      <c r="E45" s="4413"/>
      <c r="F45" s="4413"/>
      <c r="G45" s="4413"/>
      <c r="H45" s="4413"/>
      <c r="I45" s="4415"/>
      <c r="J45" s="4414" t="str">
        <f>I44&amp;".1"</f>
        <v>...1.1</v>
      </c>
      <c r="K45" s="1281"/>
      <c r="L45" s="1282" t="s">
        <v>427</v>
      </c>
      <c r="P45" s="4416"/>
      <c r="Q45" s="4416">
        <v>1</v>
      </c>
      <c r="R45" s="292"/>
      <c r="S45" s="1375"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257</v>
      </c>
      <c r="B46" s="1281" t="s">
        <v>258</v>
      </c>
      <c r="C46" s="1281" t="s">
        <v>259</v>
      </c>
      <c r="D46" s="1281" t="s">
        <v>518</v>
      </c>
      <c r="E46" s="4413"/>
      <c r="F46" s="4413"/>
      <c r="G46" s="4413"/>
      <c r="H46" s="4413"/>
      <c r="I46" s="4415"/>
      <c r="J46" s="4415"/>
      <c r="K46" s="4414" t="str">
        <f>J45&amp;".1"</f>
        <v>...1.1.1</v>
      </c>
      <c r="L46" s="1282"/>
      <c r="P46" s="4416"/>
      <c r="Q46" s="4416"/>
      <c r="R46" s="292">
        <v>1</v>
      </c>
      <c r="S46" s="1375" t="str">
        <f>$K46</f>
        <v>...1.1.1</v>
      </c>
      <c r="T46" s="1355"/>
      <c r="U46" s="236"/>
      <c r="V46" s="686"/>
      <c r="W46" s="686"/>
      <c r="X46" s="1175"/>
      <c r="Y46" s="4417"/>
      <c r="Z46" s="4284" t="s">
        <v>65</v>
      </c>
      <c r="AA46" s="4417"/>
      <c r="AB46" s="4284" t="s">
        <v>65</v>
      </c>
      <c r="AC46" s="686"/>
      <c r="AD46" s="686"/>
      <c r="AE46" s="1175"/>
      <c r="AF46" s="4417"/>
      <c r="AG46" s="4284" t="s">
        <v>65</v>
      </c>
      <c r="AH46" s="4419"/>
      <c r="AI46" s="4284" t="s">
        <v>65</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257</v>
      </c>
      <c r="B47" s="1281" t="s">
        <v>258</v>
      </c>
      <c r="C47" s="1281" t="s">
        <v>259</v>
      </c>
      <c r="D47" s="1281" t="s">
        <v>518</v>
      </c>
      <c r="E47" s="4413"/>
      <c r="F47" s="4413"/>
      <c r="G47" s="4413"/>
      <c r="H47" s="4413"/>
      <c r="I47" s="4415"/>
      <c r="J47" s="4415"/>
      <c r="K47" s="4414"/>
      <c r="L47" s="1282"/>
      <c r="P47" s="4416"/>
      <c r="Q47" s="4416"/>
      <c r="R47" s="292"/>
      <c r="S47" s="1374"/>
      <c r="T47" s="236"/>
      <c r="U47" s="236"/>
      <c r="V47" s="261"/>
      <c r="W47" s="261"/>
      <c r="X47" s="264" t="str">
        <f>Y46&amp;"-"&amp;AA46</f>
        <v>-</v>
      </c>
      <c r="Y47" s="4418"/>
      <c r="Z47" s="4284"/>
      <c r="AA47" s="4418"/>
      <c r="AB47" s="4284"/>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257</v>
      </c>
      <c r="B48" s="1281" t="s">
        <v>258</v>
      </c>
      <c r="C48" s="1281" t="s">
        <v>259</v>
      </c>
      <c r="D48" s="1281" t="s">
        <v>518</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257</v>
      </c>
      <c r="B49" s="1281" t="s">
        <v>258</v>
      </c>
      <c r="C49" s="1281" t="s">
        <v>259</v>
      </c>
      <c r="D49" s="1281" t="s">
        <v>518</v>
      </c>
      <c r="E49" s="4413"/>
      <c r="F49" s="4413"/>
      <c r="G49" s="4413"/>
      <c r="H49" s="4413"/>
      <c r="I49" s="4414"/>
      <c r="J49" s="1281"/>
      <c r="K49" s="1281"/>
      <c r="L49" s="1282"/>
      <c r="P49" s="4416"/>
      <c r="Q49" s="1368"/>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257</v>
      </c>
      <c r="B50" s="1281" t="s">
        <v>258</v>
      </c>
      <c r="C50" s="1281" t="s">
        <v>259</v>
      </c>
      <c r="D50" s="1281" t="s">
        <v>518</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257</v>
      </c>
      <c r="B51" s="1261" t="s">
        <v>258</v>
      </c>
      <c r="C51" s="1232"/>
      <c r="D51" s="1232"/>
      <c r="E51" s="4413"/>
      <c r="F51" s="4412"/>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257</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375"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371"/>
      <c r="Q3" s="287"/>
      <c r="R3" s="288"/>
      <c r="S3" s="1375"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375" t="e">
        <f>INDEX(PT_DIFFERENTIATION_NUM_CS,MATCH(C4,PT_DIFFERENTIATION_CS_ID,0))</f>
        <v>#N/A</v>
      </c>
      <c r="T4" s="245" t="s">
        <v>502</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503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68"/>
      <c r="R5" s="291"/>
      <c r="S5" s="1375"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375"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375"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374"/>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68"/>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376"/>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65"/>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65"/>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370" t="s">
        <v>510</v>
      </c>
      <c r="W38" s="4256" t="s">
        <v>453</v>
      </c>
      <c r="X38" s="4255"/>
      <c r="Y38" s="4256" t="s">
        <v>454</v>
      </c>
      <c r="Z38" s="4261"/>
      <c r="AA38" s="4255"/>
      <c r="AB38" s="4430"/>
      <c r="AC38" s="1370" t="s">
        <v>510</v>
      </c>
      <c r="AD38" s="4256" t="s">
        <v>453</v>
      </c>
      <c r="AE38" s="4255"/>
      <c r="AF38" s="4256" t="s">
        <v>454</v>
      </c>
      <c r="AG38" s="4261"/>
      <c r="AH38" s="4255"/>
      <c r="AI38" s="4430"/>
      <c r="AJ38" s="4433"/>
      <c r="AK38" s="4274"/>
      <c r="AQ38" s="1073">
        <v>34</v>
      </c>
    </row>
    <row r="39" spans="1:43" ht="35.65"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370" t="s">
        <v>513</v>
      </c>
      <c r="W39" s="1140" t="s">
        <v>514</v>
      </c>
      <c r="X39" s="1140" t="s">
        <v>515</v>
      </c>
      <c r="Y39" s="1373" t="s">
        <v>464</v>
      </c>
      <c r="Z39" s="4378" t="s">
        <v>465</v>
      </c>
      <c r="AA39" s="4392"/>
      <c r="AB39" s="4431"/>
      <c r="AC39" s="1370" t="s">
        <v>513</v>
      </c>
      <c r="AD39" s="1140" t="s">
        <v>514</v>
      </c>
      <c r="AE39" s="1140" t="s">
        <v>515</v>
      </c>
      <c r="AF39" s="1373" t="s">
        <v>464</v>
      </c>
      <c r="AG39" s="4378" t="s">
        <v>465</v>
      </c>
      <c r="AH39" s="4392"/>
      <c r="AI39" s="4431"/>
      <c r="AJ39" s="4434"/>
      <c r="AK39" s="4274"/>
      <c r="AQ39" s="1073">
        <v>34</v>
      </c>
    </row>
    <row r="40" spans="1:43" s="416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369">
        <f ca="1">OFFSET(V40,0,-1)+1</f>
        <v>3</v>
      </c>
      <c r="W40" s="1369">
        <f ca="1">OFFSET(W40,0,-1)+1</f>
        <v>4</v>
      </c>
      <c r="X40" s="1369">
        <f ca="1">OFFSET(X40,0,-1)+1</f>
        <v>5</v>
      </c>
      <c r="Y40" s="1369">
        <f ca="1">OFFSET(Y40,0,-1)+1</f>
        <v>6</v>
      </c>
      <c r="Z40" s="4423">
        <f ca="1">OFFSET(Z40,0,-1)+1</f>
        <v>7</v>
      </c>
      <c r="AA40" s="4423"/>
      <c r="AB40" s="1369">
        <f ca="1">OFFSET(AB40,0,-2)+1</f>
        <v>8</v>
      </c>
      <c r="AC40" s="1369">
        <f ca="1">OFFSET(AC40,0,-1)+1</f>
        <v>9</v>
      </c>
      <c r="AD40" s="1369">
        <f ca="1">OFFSET(AD40,0,-1)+1</f>
        <v>10</v>
      </c>
      <c r="AE40" s="1369">
        <f ca="1">OFFSET(AE40,0,-1)+1</f>
        <v>11</v>
      </c>
      <c r="AF40" s="1369">
        <f ca="1">OFFSET(AF40,0,-1)+1</f>
        <v>12</v>
      </c>
      <c r="AG40" s="4423">
        <f ca="1">OFFSET(AG40,0,-1)+1</f>
        <v>13</v>
      </c>
      <c r="AH40" s="4423"/>
      <c r="AI40" s="1369">
        <f ca="1">OFFSET(AI40,0,-2)+1</f>
        <v>14</v>
      </c>
      <c r="AJ40" s="1163">
        <f ca="1">OFFSET(AJ40,0,-1)</f>
        <v>14</v>
      </c>
      <c r="AK40" s="1369">
        <f ca="1">OFFSET(AK40,0,-1)+1</f>
        <v>15</v>
      </c>
      <c r="AL40" s="446"/>
      <c r="AM40" s="446"/>
      <c r="AN40" s="446"/>
      <c r="AO40" s="446"/>
      <c r="AP40" s="446"/>
      <c r="AQ40" s="431">
        <v>0</v>
      </c>
    </row>
    <row r="41" spans="1:43" ht="24" customHeight="1">
      <c r="A41" s="1281" t="s">
        <v>262</v>
      </c>
      <c r="B41" s="1281"/>
      <c r="C41" s="1281"/>
      <c r="D41" s="1281"/>
      <c r="E41" s="441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262</v>
      </c>
      <c r="B42" s="1281" t="s">
        <v>263</v>
      </c>
      <c r="C42" s="1281"/>
      <c r="D42" s="1281"/>
      <c r="E42" s="4413"/>
      <c r="F42" s="4412">
        <v>1</v>
      </c>
      <c r="G42" s="1281"/>
      <c r="H42" s="1281"/>
      <c r="I42" s="1281"/>
      <c r="J42" s="1281"/>
      <c r="K42" s="1281"/>
      <c r="L42" s="1282"/>
      <c r="M42" s="1283"/>
      <c r="N42" s="1283"/>
      <c r="O42" s="1283"/>
      <c r="P42" s="1371"/>
      <c r="Q42" s="287"/>
      <c r="R42" s="288"/>
      <c r="S42" s="1375"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262</v>
      </c>
      <c r="B43" s="1281" t="s">
        <v>263</v>
      </c>
      <c r="C43" s="1281" t="s">
        <v>264</v>
      </c>
      <c r="D43" s="1281"/>
      <c r="E43" s="4413"/>
      <c r="F43" s="4413"/>
      <c r="G43" s="4412">
        <v>1</v>
      </c>
      <c r="H43" s="1281"/>
      <c r="I43" s="1281"/>
      <c r="J43" s="1281"/>
      <c r="K43" s="1281"/>
      <c r="L43" s="1282"/>
      <c r="M43" s="1283"/>
      <c r="N43" s="1283"/>
      <c r="O43" s="1283"/>
      <c r="P43" s="289"/>
      <c r="Q43" s="287"/>
      <c r="R43" s="288"/>
      <c r="S43" s="1375" t="str">
        <f>INDEX(PT_DIFFERENTIATION_NUM_CS,MATCH(C43,PT_DIFFERENTIATION_CS_ID,0))</f>
        <v>..</v>
      </c>
      <c r="T43" s="245" t="s">
        <v>502</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503</v>
      </c>
      <c r="AM43" s="435"/>
      <c r="AN43" s="435" t="str">
        <f t="shared" si="1"/>
        <v>Наименование централизованной системы холодного водоснабжения</v>
      </c>
      <c r="AO43" s="435"/>
      <c r="AP43" s="435"/>
      <c r="AQ43" s="1073">
        <v>23</v>
      </c>
    </row>
    <row r="44" spans="1:43" ht="24" customHeight="1">
      <c r="A44" s="1281" t="s">
        <v>262</v>
      </c>
      <c r="B44" s="1281" t="s">
        <v>263</v>
      </c>
      <c r="C44" s="1281" t="s">
        <v>264</v>
      </c>
      <c r="D44" s="1281" t="s">
        <v>519</v>
      </c>
      <c r="E44" s="4413"/>
      <c r="F44" s="4413"/>
      <c r="G44" s="4413"/>
      <c r="H44" s="4413"/>
      <c r="I44" s="4414" t="str">
        <f>S43&amp;".1"</f>
        <v>...1</v>
      </c>
      <c r="J44" s="1281"/>
      <c r="K44" s="1281"/>
      <c r="L44" s="1282"/>
      <c r="P44" s="4416">
        <v>1</v>
      </c>
      <c r="Q44" s="1368"/>
      <c r="R44" s="291"/>
      <c r="S44" s="1375"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262</v>
      </c>
      <c r="B45" s="1281" t="s">
        <v>263</v>
      </c>
      <c r="C45" s="1281" t="s">
        <v>264</v>
      </c>
      <c r="D45" s="1281" t="s">
        <v>519</v>
      </c>
      <c r="E45" s="4413"/>
      <c r="F45" s="4413"/>
      <c r="G45" s="4413"/>
      <c r="H45" s="4413"/>
      <c r="I45" s="4415"/>
      <c r="J45" s="4414" t="str">
        <f>I44&amp;".1"</f>
        <v>...1.1</v>
      </c>
      <c r="K45" s="1281"/>
      <c r="L45" s="1282" t="s">
        <v>427</v>
      </c>
      <c r="P45" s="4416"/>
      <c r="Q45" s="4416">
        <v>1</v>
      </c>
      <c r="R45" s="292"/>
      <c r="S45" s="1375"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262</v>
      </c>
      <c r="B46" s="1281" t="s">
        <v>263</v>
      </c>
      <c r="C46" s="1281" t="s">
        <v>264</v>
      </c>
      <c r="D46" s="1281" t="s">
        <v>519</v>
      </c>
      <c r="E46" s="4413"/>
      <c r="F46" s="4413"/>
      <c r="G46" s="4413"/>
      <c r="H46" s="4413"/>
      <c r="I46" s="4415"/>
      <c r="J46" s="4415"/>
      <c r="K46" s="4414" t="str">
        <f>J45&amp;".1"</f>
        <v>...1.1.1</v>
      </c>
      <c r="L46" s="1282"/>
      <c r="P46" s="4416"/>
      <c r="Q46" s="4416"/>
      <c r="R46" s="292">
        <v>1</v>
      </c>
      <c r="S46" s="1375" t="str">
        <f>$K46</f>
        <v>...1.1.1</v>
      </c>
      <c r="T46" s="1355"/>
      <c r="U46" s="236"/>
      <c r="V46" s="686"/>
      <c r="W46" s="686"/>
      <c r="X46" s="1175"/>
      <c r="Y46" s="4417"/>
      <c r="Z46" s="4284" t="s">
        <v>65</v>
      </c>
      <c r="AA46" s="4417"/>
      <c r="AB46" s="4284" t="s">
        <v>65</v>
      </c>
      <c r="AC46" s="686"/>
      <c r="AD46" s="686"/>
      <c r="AE46" s="1175"/>
      <c r="AF46" s="4417"/>
      <c r="AG46" s="4284" t="s">
        <v>65</v>
      </c>
      <c r="AH46" s="4419"/>
      <c r="AI46" s="4284" t="s">
        <v>65</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262</v>
      </c>
      <c r="B47" s="1281" t="s">
        <v>263</v>
      </c>
      <c r="C47" s="1281" t="s">
        <v>264</v>
      </c>
      <c r="D47" s="1281" t="s">
        <v>519</v>
      </c>
      <c r="E47" s="4413"/>
      <c r="F47" s="4413"/>
      <c r="G47" s="4413"/>
      <c r="H47" s="4413"/>
      <c r="I47" s="4415"/>
      <c r="J47" s="4415"/>
      <c r="K47" s="4414"/>
      <c r="L47" s="1282"/>
      <c r="P47" s="4416"/>
      <c r="Q47" s="4416"/>
      <c r="R47" s="292"/>
      <c r="S47" s="1374"/>
      <c r="T47" s="236"/>
      <c r="U47" s="236"/>
      <c r="V47" s="261"/>
      <c r="W47" s="261"/>
      <c r="X47" s="264" t="str">
        <f>Y46&amp;"-"&amp;AA46</f>
        <v>-</v>
      </c>
      <c r="Y47" s="4418"/>
      <c r="Z47" s="4284"/>
      <c r="AA47" s="4418"/>
      <c r="AB47" s="4284"/>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262</v>
      </c>
      <c r="B48" s="1281" t="s">
        <v>263</v>
      </c>
      <c r="C48" s="1281" t="s">
        <v>264</v>
      </c>
      <c r="D48" s="1281" t="s">
        <v>519</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262</v>
      </c>
      <c r="B49" s="1281" t="s">
        <v>263</v>
      </c>
      <c r="C49" s="1281" t="s">
        <v>264</v>
      </c>
      <c r="D49" s="1281" t="s">
        <v>519</v>
      </c>
      <c r="E49" s="4413"/>
      <c r="F49" s="4413"/>
      <c r="G49" s="4413"/>
      <c r="H49" s="4413"/>
      <c r="I49" s="4414"/>
      <c r="J49" s="1281"/>
      <c r="K49" s="1281"/>
      <c r="L49" s="1282"/>
      <c r="P49" s="4416"/>
      <c r="Q49" s="1368"/>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262</v>
      </c>
      <c r="B50" s="1281" t="s">
        <v>263</v>
      </c>
      <c r="C50" s="1281" t="s">
        <v>264</v>
      </c>
      <c r="D50" s="1281" t="s">
        <v>519</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262</v>
      </c>
      <c r="B51" s="1261" t="s">
        <v>263</v>
      </c>
      <c r="C51" s="1232"/>
      <c r="D51" s="1232"/>
      <c r="E51" s="4413"/>
      <c r="F51" s="4412"/>
      <c r="G51" s="1232"/>
      <c r="H51" s="1232"/>
      <c r="I51" s="1232"/>
      <c r="J51" s="1232"/>
      <c r="K51" s="1232"/>
      <c r="L51" s="1376"/>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262</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4133" hidden="1" customWidth="1"/>
    <col min="4" max="4" width="11.85546875" style="4133" hidden="1" customWidth="1"/>
    <col min="5" max="11" width="10.140625" style="4133" hidden="1" customWidth="1"/>
    <col min="12" max="12" width="10.140625" style="4137" hidden="1" customWidth="1"/>
    <col min="13" max="15" width="10.140625" style="4167" hidden="1" customWidth="1"/>
    <col min="16" max="16" width="3" style="4166" customWidth="1"/>
    <col min="17" max="17" width="3" style="4200" customWidth="1"/>
    <col min="18" max="18" width="3" style="4168" customWidth="1"/>
    <col min="19" max="19" width="12" style="4169" customWidth="1"/>
    <col min="20" max="20" width="31" style="4133" customWidth="1"/>
    <col min="21" max="21" width="0.140625" style="4133" customWidth="1"/>
    <col min="22" max="23" width="21.7109375" style="4133" hidden="1" customWidth="1"/>
    <col min="24" max="24" width="11.7109375" style="4133" hidden="1" customWidth="1"/>
    <col min="25" max="25" width="3.7109375" style="4133" hidden="1" customWidth="1"/>
    <col min="26" max="26" width="11.7109375" style="4133" hidden="1" customWidth="1"/>
    <col min="27" max="27" width="8.5703125" style="4133" hidden="1" customWidth="1"/>
    <col min="28" max="28" width="27" style="4133" customWidth="1"/>
    <col min="29" max="29" width="24.5703125" style="4133" customWidth="1"/>
    <col min="30" max="31" width="21"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0.75" hidden="1" customHeight="1">
      <c r="AQ1" s="1549" t="s">
        <v>14</v>
      </c>
    </row>
    <row r="2" spans="1:43" ht="21" hidden="1" customHeight="1">
      <c r="A2" s="1185"/>
      <c r="B2" s="1185"/>
      <c r="C2" s="1185"/>
      <c r="D2" s="1185"/>
      <c r="E2" s="4438">
        <v>1</v>
      </c>
      <c r="F2" s="1185"/>
      <c r="G2" s="1185"/>
      <c r="H2" s="1185"/>
      <c r="I2" s="1185"/>
      <c r="J2" s="1185"/>
      <c r="K2" s="1185"/>
      <c r="L2" s="1228"/>
      <c r="M2" s="1528"/>
      <c r="N2" s="1528"/>
      <c r="O2" s="1528"/>
      <c r="P2" s="1327"/>
      <c r="Q2" s="798"/>
      <c r="R2" s="290"/>
      <c r="S2" s="1870" t="e">
        <f>INDEX(PT_DIFFERENTIATION_NUM_NTAR,MATCH(A2,PT_DIFFERENTIATION_NTAR_ID,0))</f>
        <v>#N/A</v>
      </c>
      <c r="T2" s="1443" t="s">
        <v>126</v>
      </c>
      <c r="U2" s="236"/>
      <c r="V2" s="4407"/>
      <c r="W2" s="4407"/>
      <c r="X2" s="4407"/>
      <c r="Y2" s="4407"/>
      <c r="Z2" s="4407"/>
      <c r="AA2" s="4408"/>
      <c r="AB2" s="1864"/>
      <c r="AC2" s="4407" t="e">
        <f>INDEX(PT_DIFFERENTIATION_NTAR,MATCH(A2,PT_DIFFERENTIATION_NTAR_ID,0))</f>
        <v>#N/A</v>
      </c>
      <c r="AD2" s="4407"/>
      <c r="AE2" s="4407"/>
      <c r="AF2" s="4407"/>
      <c r="AG2" s="4407"/>
      <c r="AH2" s="4407"/>
      <c r="AI2" s="4407"/>
      <c r="AJ2" s="4408"/>
      <c r="AK2" s="1176" t="s">
        <v>417</v>
      </c>
      <c r="AM2" s="1542"/>
      <c r="AN2" s="1542" t="str">
        <f t="shared" ref="AN2:AN14" si="0">IF(T2="","",T2)</f>
        <v>Наименование тарифа</v>
      </c>
      <c r="AO2" s="1542"/>
      <c r="AP2" s="1542"/>
      <c r="AQ2" s="1549">
        <v>0</v>
      </c>
    </row>
    <row r="3" spans="1:43" ht="21" hidden="1" customHeight="1">
      <c r="A3" s="1185"/>
      <c r="B3" s="1185"/>
      <c r="C3" s="1185"/>
      <c r="D3" s="1185"/>
      <c r="E3" s="4439"/>
      <c r="F3" s="4438">
        <v>1</v>
      </c>
      <c r="G3" s="1185"/>
      <c r="H3" s="1185"/>
      <c r="I3" s="1185"/>
      <c r="J3" s="1185"/>
      <c r="K3" s="1185"/>
      <c r="L3" s="1228"/>
      <c r="M3" s="1528"/>
      <c r="N3" s="1528"/>
      <c r="O3" s="1528"/>
      <c r="P3" s="1881"/>
      <c r="Q3" s="1329"/>
      <c r="R3" s="288"/>
      <c r="S3" s="1870" t="e">
        <f>INDEX(PT_DIFFERENTIATION_NUM_TER,MATCH(B3,PT_DIFFERENTIATION_TER_ID,0))</f>
        <v>#N/A</v>
      </c>
      <c r="T3" s="1440" t="s">
        <v>418</v>
      </c>
      <c r="U3" s="236"/>
      <c r="V3" s="4407"/>
      <c r="W3" s="4407"/>
      <c r="X3" s="4407"/>
      <c r="Y3" s="4407"/>
      <c r="Z3" s="4407"/>
      <c r="AA3" s="4408"/>
      <c r="AB3" s="1864"/>
      <c r="AC3" s="4407" t="e">
        <f>INDEX(PT_DIFFERENTIATION_TER,MATCH(B3,PT_DIFFERENTIATION_TER_ID,0))</f>
        <v>#N/A</v>
      </c>
      <c r="AD3" s="4407"/>
      <c r="AE3" s="4407"/>
      <c r="AF3" s="4407"/>
      <c r="AG3" s="4407"/>
      <c r="AH3" s="4407"/>
      <c r="AI3" s="4407"/>
      <c r="AJ3" s="4408"/>
      <c r="AK3" s="1176" t="s">
        <v>419</v>
      </c>
      <c r="AM3" s="1542"/>
      <c r="AN3" s="1542" t="str">
        <f t="shared" si="0"/>
        <v>Территория действия тарифа</v>
      </c>
      <c r="AO3" s="1542"/>
      <c r="AP3" s="1542"/>
      <c r="AQ3" s="1549">
        <v>0</v>
      </c>
    </row>
    <row r="4" spans="1:43" ht="22.5" hidden="1" customHeight="1">
      <c r="A4" s="1185"/>
      <c r="B4" s="1185"/>
      <c r="C4" s="1185"/>
      <c r="D4" s="1185"/>
      <c r="E4" s="4439"/>
      <c r="F4" s="4439"/>
      <c r="G4" s="4438">
        <v>1</v>
      </c>
      <c r="H4" s="1185"/>
      <c r="I4" s="1185"/>
      <c r="J4" s="1185"/>
      <c r="K4" s="1185"/>
      <c r="L4" s="1228"/>
      <c r="M4" s="1528"/>
      <c r="N4" s="1528"/>
      <c r="O4" s="1528"/>
      <c r="P4" s="1330"/>
      <c r="Q4" s="1329"/>
      <c r="R4" s="288"/>
      <c r="S4" s="1870" t="e">
        <f>INDEX(PT_DIFFERENTIATION_NUM_CS,MATCH(C4,PT_DIFFERENTIATION_CS_ID,0))</f>
        <v>#N/A</v>
      </c>
      <c r="T4" s="245" t="s">
        <v>420</v>
      </c>
      <c r="U4" s="236"/>
      <c r="V4" s="4407"/>
      <c r="W4" s="4407"/>
      <c r="X4" s="4407"/>
      <c r="Y4" s="4407"/>
      <c r="Z4" s="4407"/>
      <c r="AA4" s="4408"/>
      <c r="AB4" s="1864"/>
      <c r="AC4" s="4407" t="e">
        <f>INDEX(PT_DIFFERENTIATION_CS,MATCH(C4,PT_DIFFERENTIATION_CS_ID,0))</f>
        <v>#N/A</v>
      </c>
      <c r="AD4" s="4407"/>
      <c r="AE4" s="4407"/>
      <c r="AF4" s="4407"/>
      <c r="AG4" s="4407"/>
      <c r="AH4" s="4407"/>
      <c r="AI4" s="4407"/>
      <c r="AJ4" s="4408"/>
      <c r="AK4" s="1176" t="s">
        <v>421</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4439"/>
      <c r="F5" s="4439"/>
      <c r="G5" s="4439"/>
      <c r="H5" s="4438">
        <v>1</v>
      </c>
      <c r="I5" s="1185"/>
      <c r="J5" s="1185"/>
      <c r="K5" s="1185"/>
      <c r="L5" s="1228"/>
      <c r="M5" s="1528"/>
      <c r="N5" s="1528"/>
      <c r="O5" s="1528"/>
      <c r="P5" s="1330"/>
      <c r="Q5" s="1329"/>
      <c r="R5" s="288"/>
      <c r="S5" s="1870" t="e">
        <f>INDEX(PT_DIFFERENTIATION_NUM_IST_TE,MATCH(D5,PT_DIFFERENTIATION_IST_TE_ID,0))</f>
        <v>#N/A</v>
      </c>
      <c r="T5" s="246" t="s">
        <v>422</v>
      </c>
      <c r="U5" s="236"/>
      <c r="V5" s="4407"/>
      <c r="W5" s="4407"/>
      <c r="X5" s="4407"/>
      <c r="Y5" s="4407"/>
      <c r="Z5" s="4407"/>
      <c r="AA5" s="4408"/>
      <c r="AB5" s="1864"/>
      <c r="AC5" s="4407" t="e">
        <f>INDEX(PT_DIFFERENTIATION_IST_TE,MATCH(D5,PT_DIFFERENTIATION_IST_TE_ID,0))</f>
        <v>#N/A</v>
      </c>
      <c r="AD5" s="4407"/>
      <c r="AE5" s="4407"/>
      <c r="AF5" s="4407"/>
      <c r="AG5" s="4407"/>
      <c r="AH5" s="4407"/>
      <c r="AI5" s="4407"/>
      <c r="AJ5" s="4408"/>
      <c r="AK5" s="1176" t="s">
        <v>423</v>
      </c>
      <c r="AM5" s="1542"/>
      <c r="AN5" s="1542" t="str">
        <f t="shared" si="0"/>
        <v xml:space="preserve">Источник тепловой энергии  </v>
      </c>
      <c r="AO5" s="1542"/>
      <c r="AP5" s="1542"/>
      <c r="AQ5" s="1549">
        <v>0</v>
      </c>
    </row>
    <row r="6" spans="1:43" s="4140" customFormat="1" ht="0.75" hidden="1" customHeight="1">
      <c r="A6" s="1293"/>
      <c r="B6" s="1293"/>
      <c r="C6" s="1293"/>
      <c r="D6" s="1293"/>
      <c r="E6" s="4439"/>
      <c r="F6" s="4439"/>
      <c r="G6" s="4439"/>
      <c r="H6" s="4439"/>
      <c r="I6" s="4274" t="e">
        <f>S5&amp;".1"</f>
        <v>#N/A</v>
      </c>
      <c r="J6" s="1293"/>
      <c r="K6" s="1293"/>
      <c r="L6" s="1299" t="s">
        <v>424</v>
      </c>
      <c r="M6" s="1164"/>
      <c r="N6" s="1164"/>
      <c r="O6" s="1164"/>
      <c r="P6" s="4416">
        <v>1</v>
      </c>
      <c r="Q6" s="1866"/>
      <c r="R6" s="291"/>
      <c r="S6" s="964"/>
      <c r="T6" s="1301"/>
      <c r="U6" s="1302"/>
      <c r="V6" s="4444"/>
      <c r="W6" s="4444"/>
      <c r="X6" s="4444"/>
      <c r="Y6" s="4444"/>
      <c r="Z6" s="4444"/>
      <c r="AA6" s="4445"/>
      <c r="AB6" s="1872"/>
      <c r="AC6" s="4444"/>
      <c r="AD6" s="4444"/>
      <c r="AE6" s="4444"/>
      <c r="AF6" s="4444"/>
      <c r="AG6" s="4444"/>
      <c r="AH6" s="4444"/>
      <c r="AI6" s="4444"/>
      <c r="AJ6" s="4445"/>
      <c r="AK6" s="1303"/>
      <c r="AM6" s="1542"/>
      <c r="AN6" s="1542" t="str">
        <f t="shared" si="0"/>
        <v/>
      </c>
      <c r="AO6" s="1542"/>
      <c r="AP6" s="1542"/>
      <c r="AQ6" s="1554">
        <v>0</v>
      </c>
    </row>
    <row r="7" spans="1:43" s="4140" customFormat="1" ht="0.75" hidden="1" customHeight="1">
      <c r="A7" s="1293"/>
      <c r="B7" s="1293"/>
      <c r="C7" s="1293"/>
      <c r="D7" s="1293"/>
      <c r="E7" s="4439"/>
      <c r="F7" s="4439"/>
      <c r="G7" s="4439"/>
      <c r="H7" s="4439"/>
      <c r="I7" s="4256"/>
      <c r="J7" s="4274" t="e">
        <f>S5&amp;".1"</f>
        <v>#N/A</v>
      </c>
      <c r="K7" s="1293"/>
      <c r="L7" s="1299"/>
      <c r="M7" s="1164"/>
      <c r="N7" s="1164"/>
      <c r="O7" s="1164"/>
      <c r="P7" s="4416"/>
      <c r="Q7" s="4416">
        <v>1</v>
      </c>
      <c r="R7" s="292"/>
      <c r="S7" s="964"/>
      <c r="T7" s="1317"/>
      <c r="U7" s="1302"/>
      <c r="V7" s="4444"/>
      <c r="W7" s="4444"/>
      <c r="X7" s="4444"/>
      <c r="Y7" s="4444"/>
      <c r="Z7" s="4444"/>
      <c r="AA7" s="4445"/>
      <c r="AB7" s="1872"/>
      <c r="AC7" s="4444"/>
      <c r="AD7" s="4444"/>
      <c r="AE7" s="4444"/>
      <c r="AF7" s="4444"/>
      <c r="AG7" s="4444"/>
      <c r="AH7" s="4444"/>
      <c r="AI7" s="4444"/>
      <c r="AJ7" s="4445"/>
      <c r="AK7" s="1303"/>
      <c r="AM7" s="1542"/>
      <c r="AN7" s="1542" t="str">
        <f t="shared" si="0"/>
        <v/>
      </c>
      <c r="AO7" s="1542"/>
      <c r="AP7" s="1542"/>
      <c r="AQ7" s="1554">
        <v>0</v>
      </c>
    </row>
    <row r="8" spans="1:43" ht="21" hidden="1" customHeight="1">
      <c r="A8" s="1185"/>
      <c r="B8" s="1185"/>
      <c r="C8" s="1185"/>
      <c r="D8" s="1185"/>
      <c r="E8" s="4439"/>
      <c r="F8" s="4439"/>
      <c r="G8" s="4439"/>
      <c r="H8" s="4439"/>
      <c r="I8" s="4256"/>
      <c r="J8" s="4256"/>
      <c r="K8" s="1903" t="e">
        <f>S5&amp;".1"</f>
        <v>#N/A</v>
      </c>
      <c r="L8" s="1228"/>
      <c r="P8" s="4416"/>
      <c r="Q8" s="4416"/>
      <c r="R8" s="1907">
        <v>1</v>
      </c>
      <c r="S8" s="1905" t="e">
        <f>$K8</f>
        <v>#N/A</v>
      </c>
      <c r="T8" s="1906"/>
      <c r="U8" s="236"/>
      <c r="V8" s="686"/>
      <c r="W8" s="1175"/>
      <c r="X8" s="1904"/>
      <c r="Y8" s="1902" t="s">
        <v>65</v>
      </c>
      <c r="Z8" s="1904"/>
      <c r="AA8" s="1902" t="s">
        <v>65</v>
      </c>
      <c r="AB8" s="1908"/>
      <c r="AC8" s="1909" t="s">
        <v>28</v>
      </c>
      <c r="AD8" s="686"/>
      <c r="AE8" s="1175"/>
      <c r="AF8" s="1867"/>
      <c r="AG8" s="1854" t="s">
        <v>65</v>
      </c>
      <c r="AH8" s="1867"/>
      <c r="AI8" s="1854" t="s">
        <v>65</v>
      </c>
      <c r="AJ8" s="1266"/>
      <c r="AK8" s="4435" t="s">
        <v>485</v>
      </c>
      <c r="AL8" s="1554" t="e">
        <f ca="1">STRCHECKDATE(#REF!)</f>
        <v>#NAME?</v>
      </c>
      <c r="AM8" s="1542"/>
      <c r="AN8" s="1542" t="str">
        <f t="shared" si="0"/>
        <v/>
      </c>
      <c r="AO8" s="1542"/>
      <c r="AP8" s="1542"/>
      <c r="AQ8" s="1549">
        <v>0</v>
      </c>
    </row>
    <row r="9" spans="1:43" ht="11.25" hidden="1" customHeight="1">
      <c r="A9" s="1185"/>
      <c r="B9" s="1185"/>
      <c r="C9" s="1185"/>
      <c r="D9" s="1185"/>
      <c r="E9" s="4439"/>
      <c r="F9" s="4439"/>
      <c r="G9" s="4439"/>
      <c r="H9" s="4439"/>
      <c r="I9" s="4256"/>
      <c r="J9" s="4274"/>
      <c r="K9" s="1185"/>
      <c r="L9" s="1228"/>
      <c r="P9" s="4416"/>
      <c r="Q9" s="4416"/>
      <c r="R9" s="291"/>
      <c r="S9" s="1196"/>
      <c r="T9" s="223" t="s">
        <v>489</v>
      </c>
      <c r="U9" s="535"/>
      <c r="V9" s="535"/>
      <c r="W9" s="535"/>
      <c r="X9" s="535"/>
      <c r="Y9" s="535"/>
      <c r="Z9" s="535"/>
      <c r="AA9" s="535"/>
      <c r="AB9" s="535"/>
      <c r="AC9" s="535"/>
      <c r="AD9" s="535"/>
      <c r="AE9" s="535"/>
      <c r="AF9" s="535"/>
      <c r="AG9" s="535"/>
      <c r="AH9" s="535"/>
      <c r="AI9" s="535"/>
      <c r="AJ9" s="260"/>
      <c r="AK9" s="4437"/>
      <c r="AM9" s="1542"/>
      <c r="AN9" s="1542" t="str">
        <f t="shared" si="0"/>
        <v>Добавить строку</v>
      </c>
      <c r="AO9" s="1542"/>
      <c r="AP9" s="1542"/>
      <c r="AQ9" s="1549">
        <v>0</v>
      </c>
    </row>
    <row r="10" spans="1:43" s="4140" customFormat="1" ht="0.75" hidden="1" customHeight="1">
      <c r="A10" s="1293"/>
      <c r="B10" s="1293"/>
      <c r="C10" s="1293"/>
      <c r="D10" s="1293"/>
      <c r="E10" s="4439"/>
      <c r="F10" s="4439"/>
      <c r="G10" s="4439"/>
      <c r="H10" s="4439"/>
      <c r="I10" s="4274"/>
      <c r="J10" s="1293"/>
      <c r="K10" s="1293"/>
      <c r="L10" s="1299"/>
      <c r="M10" s="1164"/>
      <c r="N10" s="1164"/>
      <c r="O10" s="1164"/>
      <c r="P10" s="4416"/>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4140" customFormat="1" ht="0.75" hidden="1" customHeight="1">
      <c r="A11" s="1293"/>
      <c r="B11" s="1293"/>
      <c r="C11" s="1293"/>
      <c r="D11" s="1293"/>
      <c r="E11" s="4439"/>
      <c r="F11" s="4439"/>
      <c r="G11" s="4439"/>
      <c r="H11" s="443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4140" customFormat="1" ht="0.75" hidden="1" customHeight="1">
      <c r="A12" s="1293"/>
      <c r="B12" s="1293"/>
      <c r="C12" s="1293"/>
      <c r="D12" s="1292"/>
      <c r="E12" s="4439"/>
      <c r="F12" s="4439"/>
      <c r="G12" s="4438"/>
      <c r="H12" s="1292"/>
      <c r="I12" s="1292"/>
      <c r="J12" s="1292"/>
      <c r="K12" s="1292"/>
      <c r="L12" s="1295"/>
      <c r="M12" s="1296"/>
      <c r="N12" s="1296"/>
      <c r="O12" s="286"/>
      <c r="P12" s="1234"/>
      <c r="Q12" s="1235"/>
      <c r="R12" s="1234"/>
      <c r="S12" s="1240"/>
      <c r="T12" s="1243" t="s">
        <v>172</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4140" customFormat="1" ht="0.75" hidden="1" customHeight="1">
      <c r="A13" s="1293"/>
      <c r="B13" s="1293"/>
      <c r="C13" s="1292"/>
      <c r="D13" s="1292"/>
      <c r="E13" s="4439"/>
      <c r="F13" s="4438"/>
      <c r="G13" s="1292"/>
      <c r="H13" s="1292"/>
      <c r="I13" s="1292"/>
      <c r="J13" s="1292"/>
      <c r="K13" s="1292"/>
      <c r="L13" s="1295"/>
      <c r="M13" s="1297"/>
      <c r="N13" s="1297"/>
      <c r="O13" s="286"/>
      <c r="P13" s="1234"/>
      <c r="Q13" s="1235"/>
      <c r="R13" s="1234"/>
      <c r="S13" s="1240"/>
      <c r="T13" s="1243" t="s">
        <v>173</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4140" customFormat="1" ht="0.75" hidden="1" customHeight="1">
      <c r="A14" s="1293"/>
      <c r="B14" s="1293"/>
      <c r="C14" s="1293"/>
      <c r="D14" s="1293"/>
      <c r="E14" s="4438"/>
      <c r="F14" s="1293"/>
      <c r="G14" s="1293"/>
      <c r="H14" s="1293"/>
      <c r="I14" s="1293"/>
      <c r="J14" s="1293"/>
      <c r="K14" s="1293"/>
      <c r="L14" s="1299"/>
      <c r="M14" s="1297"/>
      <c r="N14" s="1297"/>
      <c r="O14" s="286"/>
      <c r="P14" s="315"/>
      <c r="Q14" s="1262"/>
      <c r="R14" s="315"/>
      <c r="S14" s="1240"/>
      <c r="T14" s="1243" t="s">
        <v>174</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435</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4199" customFormat="1" ht="14.25" hidden="1" customHeight="1">
      <c r="A20" s="1883"/>
      <c r="B20" s="1883"/>
      <c r="C20" s="1883"/>
      <c r="D20" s="1883"/>
      <c r="E20" s="1883"/>
      <c r="F20" s="1883"/>
      <c r="G20" s="1883"/>
      <c r="H20" s="1883"/>
      <c r="I20" s="1883"/>
      <c r="J20" s="1883"/>
      <c r="K20" s="1883"/>
      <c r="L20" s="1883"/>
      <c r="M20" s="1884"/>
      <c r="N20" s="1884"/>
      <c r="O20" s="1885" t="s">
        <v>436</v>
      </c>
      <c r="P20" s="1426"/>
      <c r="Q20" s="1428"/>
      <c r="R20" s="1428"/>
      <c r="Y20" s="1425" t="s">
        <v>438</v>
      </c>
      <c r="AA20" s="1425" t="s">
        <v>439</v>
      </c>
      <c r="AC20" s="1425" t="s">
        <v>491</v>
      </c>
      <c r="AG20" s="1425" t="s">
        <v>438</v>
      </c>
      <c r="AI20" s="1425" t="s">
        <v>439</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43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4393"/>
      <c r="U24" s="4393"/>
      <c r="V24" s="4393"/>
      <c r="W24" s="4393"/>
      <c r="X24" s="4393"/>
      <c r="Y24" s="4393"/>
      <c r="Z24" s="4393"/>
      <c r="AA24" s="4393"/>
      <c r="AB24" s="4393"/>
      <c r="AC24" s="4393"/>
      <c r="AD24" s="4393"/>
      <c r="AE24" s="4393"/>
      <c r="AF24" s="4393"/>
      <c r="AG24" s="4393"/>
      <c r="AH24" s="4393"/>
      <c r="AI24" s="1161"/>
      <c r="AQ24" s="1549">
        <v>38</v>
      </c>
    </row>
    <row r="25" spans="1:43" ht="14.65" customHeight="1">
      <c r="Q25" s="227"/>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4149" customFormat="1" ht="25.5" hidden="1" customHeight="1">
      <c r="A27" s="1166"/>
      <c r="B27" s="1166"/>
      <c r="C27" s="1166"/>
      <c r="D27" s="1166"/>
      <c r="E27" s="1166"/>
      <c r="F27" s="1166"/>
      <c r="G27" s="1166"/>
      <c r="H27" s="1166"/>
      <c r="I27" s="1166"/>
      <c r="J27" s="1166"/>
      <c r="K27" s="1166"/>
      <c r="L27" s="1298"/>
      <c r="M27" s="1166"/>
      <c r="N27" s="1166"/>
      <c r="O27" s="1166"/>
      <c r="P27" s="1286"/>
      <c r="Q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1553"/>
      <c r="AB27" s="1553"/>
      <c r="AC27" s="4405"/>
      <c r="AD27" s="4405"/>
      <c r="AE27" s="4405"/>
      <c r="AF27" s="4405"/>
      <c r="AG27" s="4405"/>
      <c r="AH27" s="4405"/>
      <c r="AI27" s="1553"/>
      <c r="AJ27" s="1553"/>
      <c r="AK27" s="216"/>
      <c r="AL27" s="303"/>
      <c r="AM27" s="303"/>
      <c r="AN27" s="303"/>
      <c r="AO27" s="303"/>
      <c r="AP27" s="303"/>
      <c r="AQ27" s="353">
        <v>0</v>
      </c>
    </row>
    <row r="28" spans="1:43" s="4149" customFormat="1" ht="18.75" hidden="1" customHeight="1">
      <c r="A28" s="1166"/>
      <c r="B28" s="1166"/>
      <c r="C28" s="1166"/>
      <c r="D28" s="1166"/>
      <c r="E28" s="1166"/>
      <c r="F28" s="1166"/>
      <c r="G28" s="1166"/>
      <c r="H28" s="1166"/>
      <c r="I28" s="1166"/>
      <c r="J28" s="1166"/>
      <c r="K28" s="1166"/>
      <c r="L28" s="1298"/>
      <c r="M28" s="1166"/>
      <c r="N28" s="1166"/>
      <c r="O28" s="1166"/>
      <c r="P28" s="1286"/>
      <c r="Q28" s="1286"/>
      <c r="S28" s="4403" t="s">
        <v>441</v>
      </c>
      <c r="T28" s="4403"/>
      <c r="U28" s="1290"/>
      <c r="V28" s="4404">
        <f>IF(TITLE_DATE_PR_CHANGE="",IF(TITLE_DATE_PR="","",TITLE_DATE_PR),TITLE_DATE_PR_CHANGE)</f>
        <v>45646</v>
      </c>
      <c r="W28" s="4404"/>
      <c r="X28" s="4404"/>
      <c r="Y28" s="4404"/>
      <c r="Z28" s="4404"/>
      <c r="AA28" s="1553"/>
      <c r="AB28" s="1553"/>
      <c r="AC28" s="4404"/>
      <c r="AD28" s="4404"/>
      <c r="AE28" s="4404"/>
      <c r="AF28" s="4404"/>
      <c r="AG28" s="4404"/>
      <c r="AH28" s="4404"/>
      <c r="AI28" s="1553"/>
      <c r="AJ28" s="1553"/>
      <c r="AK28" s="216"/>
      <c r="AL28" s="303"/>
      <c r="AM28" s="303"/>
      <c r="AN28" s="303"/>
      <c r="AO28" s="303"/>
      <c r="AP28" s="303"/>
      <c r="AQ28" s="353">
        <v>0</v>
      </c>
    </row>
    <row r="29" spans="1:43" s="4149" customFormat="1" ht="18.75" hidden="1" customHeight="1">
      <c r="A29" s="1166"/>
      <c r="B29" s="1166"/>
      <c r="C29" s="1166"/>
      <c r="D29" s="1166"/>
      <c r="E29" s="1166"/>
      <c r="F29" s="1166"/>
      <c r="G29" s="1166"/>
      <c r="H29" s="1166"/>
      <c r="I29" s="1166"/>
      <c r="J29" s="1166"/>
      <c r="K29" s="1166"/>
      <c r="L29" s="1298"/>
      <c r="M29" s="1166"/>
      <c r="N29" s="1166"/>
      <c r="O29" s="1166"/>
      <c r="P29" s="1286"/>
      <c r="Q29" s="1286"/>
      <c r="S29" s="4403" t="s">
        <v>442</v>
      </c>
      <c r="T29" s="4403"/>
      <c r="U29" s="1290"/>
      <c r="V29" s="4405" t="str">
        <f>IF(TITLE_NUMBER_PR_CHANGE="",IF(TITLE_NUMBER_PR="","",TITLE_NUMBER_PR),TITLE_NUMBER_PR_CHANGE)</f>
        <v>51/110</v>
      </c>
      <c r="W29" s="4405"/>
      <c r="X29" s="4405"/>
      <c r="Y29" s="4405"/>
      <c r="Z29" s="4405"/>
      <c r="AA29" s="1553"/>
      <c r="AB29" s="1553"/>
      <c r="AC29" s="4405"/>
      <c r="AD29" s="4405"/>
      <c r="AE29" s="4405"/>
      <c r="AF29" s="4405"/>
      <c r="AG29" s="4405"/>
      <c r="AH29" s="4405"/>
      <c r="AI29" s="1553"/>
      <c r="AJ29" s="1553"/>
      <c r="AK29" s="216"/>
      <c r="AL29" s="303"/>
      <c r="AM29" s="303"/>
      <c r="AN29" s="303"/>
      <c r="AO29" s="303"/>
      <c r="AP29" s="303"/>
      <c r="AQ29" s="353">
        <v>0</v>
      </c>
    </row>
    <row r="30" spans="1:43" s="4149" customFormat="1" ht="18.75" hidden="1" customHeight="1">
      <c r="A30" s="1166"/>
      <c r="B30" s="1166"/>
      <c r="C30" s="1166"/>
      <c r="D30" s="1166"/>
      <c r="E30" s="1166"/>
      <c r="F30" s="1166"/>
      <c r="G30" s="1166"/>
      <c r="H30" s="1166"/>
      <c r="I30" s="1166"/>
      <c r="J30" s="1166"/>
      <c r="K30" s="1166"/>
      <c r="L30" s="1298"/>
      <c r="M30" s="1166"/>
      <c r="N30" s="1166"/>
      <c r="O30" s="1166"/>
      <c r="P30" s="1286"/>
      <c r="Q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1553"/>
      <c r="AB30" s="1553"/>
      <c r="AC30" s="4405"/>
      <c r="AD30" s="4405"/>
      <c r="AE30" s="4405"/>
      <c r="AF30" s="4405"/>
      <c r="AG30" s="4405"/>
      <c r="AH30" s="440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4149" customFormat="1" ht="18.75" hidden="1" customHeight="1">
      <c r="A32" s="1166"/>
      <c r="B32" s="1166"/>
      <c r="C32" s="1166"/>
      <c r="D32" s="1166"/>
      <c r="E32" s="1166"/>
      <c r="F32" s="1166"/>
      <c r="G32" s="1166"/>
      <c r="H32" s="1166"/>
      <c r="I32" s="1166"/>
      <c r="J32" s="1166"/>
      <c r="K32" s="1166"/>
      <c r="L32" s="1298"/>
      <c r="M32" s="1166"/>
      <c r="N32" s="1166"/>
      <c r="O32" s="1166"/>
      <c r="P32" s="1286"/>
      <c r="Q32" s="1286"/>
      <c r="S32" s="4403" t="s">
        <v>441</v>
      </c>
      <c r="T32" s="4403"/>
      <c r="U32" s="1290"/>
      <c r="V32" s="4404">
        <f>IF(TITLE_DATE_PR_CHANGE="",IF(TITLE_DATE_PR="","",TITLE_DATE_PR),TITLE_DATE_PR_CHANGE)</f>
        <v>45646</v>
      </c>
      <c r="W32" s="4404"/>
      <c r="X32" s="4404"/>
      <c r="Y32" s="4404"/>
      <c r="Z32" s="4404"/>
      <c r="AA32" s="1553"/>
      <c r="AB32" s="1553"/>
      <c r="AC32" s="4404"/>
      <c r="AD32" s="4404"/>
      <c r="AE32" s="4404"/>
      <c r="AF32" s="4404"/>
      <c r="AG32" s="4404"/>
      <c r="AH32" s="4404"/>
      <c r="AI32" s="1553"/>
      <c r="AJ32" s="1553"/>
      <c r="AK32" s="216"/>
      <c r="AL32" s="303"/>
      <c r="AM32" s="303"/>
      <c r="AN32" s="303"/>
      <c r="AO32" s="303"/>
      <c r="AP32" s="303"/>
      <c r="AQ32" s="353">
        <v>0</v>
      </c>
    </row>
    <row r="33" spans="1:43" s="4149" customFormat="1" ht="18" hidden="1" customHeight="1">
      <c r="A33" s="1166"/>
      <c r="B33" s="1166"/>
      <c r="C33" s="1166"/>
      <c r="D33" s="1166"/>
      <c r="E33" s="1166"/>
      <c r="F33" s="1166"/>
      <c r="G33" s="1166"/>
      <c r="H33" s="1166"/>
      <c r="I33" s="1166"/>
      <c r="J33" s="1166"/>
      <c r="K33" s="1166"/>
      <c r="L33" s="1298"/>
      <c r="M33" s="1166"/>
      <c r="N33" s="1166"/>
      <c r="O33" s="1166"/>
      <c r="P33" s="1286"/>
      <c r="Q33" s="1286"/>
      <c r="S33" s="4403" t="s">
        <v>442</v>
      </c>
      <c r="T33" s="4403"/>
      <c r="U33" s="1290"/>
      <c r="V33" s="4405" t="str">
        <f>IF(TITLE_NUMBER_PR_CHANGE="",IF(TITLE_NUMBER_PR="","",TITLE_NUMBER_PR),TITLE_NUMBER_PR_CHANGE)</f>
        <v>51/110</v>
      </c>
      <c r="W33" s="4405"/>
      <c r="X33" s="4405"/>
      <c r="Y33" s="4405"/>
      <c r="Z33" s="4405"/>
      <c r="AA33" s="1553"/>
      <c r="AB33" s="1553"/>
      <c r="AC33" s="4405"/>
      <c r="AD33" s="4405"/>
      <c r="AE33" s="4405"/>
      <c r="AF33" s="4405"/>
      <c r="AG33" s="4405"/>
      <c r="AH33" s="4405"/>
      <c r="AI33" s="1553"/>
      <c r="AJ33" s="1553"/>
      <c r="AK33" s="216"/>
      <c r="AL33" s="303"/>
      <c r="AM33" s="303"/>
      <c r="AN33" s="303"/>
      <c r="AO33" s="303"/>
      <c r="AP33" s="303"/>
      <c r="AQ33" s="353">
        <v>0</v>
      </c>
    </row>
    <row r="34" spans="1:43" s="4149"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445</v>
      </c>
      <c r="AB34" s="1560"/>
      <c r="AC34" s="1553"/>
      <c r="AD34" s="1553"/>
      <c r="AE34" s="1553"/>
      <c r="AF34" s="1553"/>
      <c r="AG34" s="1553"/>
      <c r="AH34" s="1553"/>
      <c r="AI34" s="1560" t="s">
        <v>445</v>
      </c>
      <c r="AL34" s="303"/>
      <c r="AM34" s="303"/>
      <c r="AN34" s="303"/>
      <c r="AO34" s="303"/>
      <c r="AP34" s="303"/>
      <c r="AQ34" s="353">
        <v>1</v>
      </c>
    </row>
    <row r="35" spans="1:43" ht="14.65" customHeight="1">
      <c r="Q35" s="227"/>
      <c r="R35" s="311"/>
      <c r="S35" s="1193"/>
      <c r="T35" s="392"/>
      <c r="U35" s="1162"/>
      <c r="V35" s="4424"/>
      <c r="W35" s="4424"/>
      <c r="X35" s="4424"/>
      <c r="Y35" s="4424"/>
      <c r="Z35" s="4424"/>
      <c r="AA35" s="4424"/>
      <c r="AB35" s="1869"/>
      <c r="AC35" s="4424"/>
      <c r="AD35" s="4424"/>
      <c r="AE35" s="4424"/>
      <c r="AF35" s="4424"/>
      <c r="AG35" s="4424"/>
      <c r="AH35" s="4424"/>
      <c r="AI35" s="4424"/>
      <c r="AQ35" s="1549">
        <v>14</v>
      </c>
    </row>
    <row r="36" spans="1:43" ht="14.65" customHeight="1">
      <c r="Q36" s="227"/>
      <c r="R36" s="311"/>
      <c r="S36" s="4274" t="s">
        <v>321</v>
      </c>
      <c r="T36" s="4274"/>
      <c r="U36" s="4274"/>
      <c r="V36" s="4274"/>
      <c r="W36" s="4274"/>
      <c r="X36" s="4274"/>
      <c r="Y36" s="4274"/>
      <c r="Z36" s="4274"/>
      <c r="AA36" s="4345"/>
      <c r="AB36" s="4345"/>
      <c r="AC36" s="4345"/>
      <c r="AD36" s="4274"/>
      <c r="AE36" s="4274"/>
      <c r="AF36" s="4274"/>
      <c r="AG36" s="4274"/>
      <c r="AH36" s="4274"/>
      <c r="AI36" s="4274"/>
      <c r="AJ36" s="4274"/>
      <c r="AK36" s="4274" t="s">
        <v>322</v>
      </c>
      <c r="AQ36" s="1549">
        <v>14</v>
      </c>
    </row>
    <row r="37" spans="1:43" ht="14.65" customHeight="1">
      <c r="Q37" s="227"/>
      <c r="R37" s="311"/>
      <c r="S37" s="4425" t="s">
        <v>92</v>
      </c>
      <c r="T37" s="4373" t="s">
        <v>520</v>
      </c>
      <c r="U37" s="273"/>
      <c r="V37" s="4427"/>
      <c r="W37" s="4427"/>
      <c r="X37" s="4427"/>
      <c r="Y37" s="4427"/>
      <c r="Z37" s="4427"/>
      <c r="AA37" s="4373" t="s">
        <v>448</v>
      </c>
      <c r="AB37" s="4372" t="s">
        <v>521</v>
      </c>
      <c r="AC37" s="4372" t="s">
        <v>495</v>
      </c>
      <c r="AD37" s="4442" t="s">
        <v>447</v>
      </c>
      <c r="AE37" s="4442"/>
      <c r="AF37" s="4427"/>
      <c r="AG37" s="4427"/>
      <c r="AH37" s="4428"/>
      <c r="AI37" s="4429" t="s">
        <v>448</v>
      </c>
      <c r="AJ37" s="4432" t="s">
        <v>450</v>
      </c>
      <c r="AK37" s="4274"/>
      <c r="AQ37" s="1549">
        <v>14</v>
      </c>
    </row>
    <row r="38" spans="1:43" ht="35.65" customHeight="1">
      <c r="Q38" s="227"/>
      <c r="R38" s="311"/>
      <c r="S38" s="4425"/>
      <c r="T38" s="4373"/>
      <c r="U38" s="953"/>
      <c r="V38" s="4255" t="s">
        <v>498</v>
      </c>
      <c r="W38" s="4274"/>
      <c r="X38" s="4346" t="s">
        <v>454</v>
      </c>
      <c r="Y38" s="4454"/>
      <c r="Z38" s="4454"/>
      <c r="AA38" s="4373"/>
      <c r="AB38" s="4372"/>
      <c r="AC38" s="4372"/>
      <c r="AD38" s="4255" t="s">
        <v>498</v>
      </c>
      <c r="AE38" s="4274"/>
      <c r="AF38" s="4454" t="s">
        <v>454</v>
      </c>
      <c r="AG38" s="4454"/>
      <c r="AH38" s="4347"/>
      <c r="AI38" s="4430"/>
      <c r="AJ38" s="4433"/>
      <c r="AK38" s="4274"/>
      <c r="AQ38" s="1549">
        <v>34</v>
      </c>
    </row>
    <row r="39" spans="1:43" ht="14.65" customHeight="1">
      <c r="Q39" s="227"/>
      <c r="R39" s="311"/>
      <c r="S39" s="4425"/>
      <c r="T39" s="4373"/>
      <c r="U39" s="953"/>
      <c r="V39" s="4478" t="str">
        <f>IF($AD$39&lt;&gt;"",$AD$39,"")</f>
        <v/>
      </c>
      <c r="W39" s="4478"/>
      <c r="X39" s="4351"/>
      <c r="Y39" s="4455"/>
      <c r="Z39" s="4455"/>
      <c r="AA39" s="4373"/>
      <c r="AB39" s="4372"/>
      <c r="AC39" s="4372"/>
      <c r="AD39" s="4487"/>
      <c r="AE39" s="4477"/>
      <c r="AF39" s="4455"/>
      <c r="AG39" s="4455"/>
      <c r="AH39" s="4352"/>
      <c r="AI39" s="4430"/>
      <c r="AJ39" s="4433"/>
      <c r="AK39" s="4274"/>
      <c r="AQ39" s="1549">
        <v>14</v>
      </c>
    </row>
    <row r="40" spans="1:43" ht="14.65" customHeight="1">
      <c r="A40" s="1184"/>
      <c r="B40" s="1184" t="s">
        <v>138</v>
      </c>
      <c r="C40" s="1184" t="s">
        <v>139</v>
      </c>
      <c r="D40" s="1184" t="s">
        <v>140</v>
      </c>
      <c r="E40" s="1228" t="s">
        <v>455</v>
      </c>
      <c r="F40" s="1228" t="s">
        <v>456</v>
      </c>
      <c r="G40" s="1228" t="s">
        <v>457</v>
      </c>
      <c r="H40" s="1228" t="s">
        <v>458</v>
      </c>
      <c r="I40" s="1228" t="s">
        <v>459</v>
      </c>
      <c r="J40" s="1228" t="s">
        <v>460</v>
      </c>
      <c r="K40" s="1228" t="s">
        <v>461</v>
      </c>
      <c r="L40" s="1228" t="s">
        <v>436</v>
      </c>
      <c r="Q40" s="227"/>
      <c r="R40" s="311"/>
      <c r="S40" s="4425"/>
      <c r="T40" s="4373"/>
      <c r="U40" s="238"/>
      <c r="V40" s="1862" t="s">
        <v>499</v>
      </c>
      <c r="W40" s="1862" t="s">
        <v>500</v>
      </c>
      <c r="X40" s="1850" t="s">
        <v>464</v>
      </c>
      <c r="Y40" s="4378" t="s">
        <v>465</v>
      </c>
      <c r="Z40" s="4391"/>
      <c r="AA40" s="4373"/>
      <c r="AB40" s="4372"/>
      <c r="AC40" s="4372"/>
      <c r="AD40" s="1880" t="s">
        <v>499</v>
      </c>
      <c r="AE40" s="1871" t="s">
        <v>500</v>
      </c>
      <c r="AF40" s="1850" t="s">
        <v>464</v>
      </c>
      <c r="AG40" s="4378" t="s">
        <v>465</v>
      </c>
      <c r="AH40" s="4392"/>
      <c r="AI40" s="4431"/>
      <c r="AJ40" s="4434"/>
      <c r="AK40" s="4274"/>
      <c r="AQ40" s="1549">
        <v>14</v>
      </c>
    </row>
    <row r="41" spans="1:43" s="4164"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113</v>
      </c>
      <c r="T41" s="1173" t="s">
        <v>114</v>
      </c>
      <c r="U41" s="1163" t="str">
        <f ca="1">OFFSET(U41,0,-1)</f>
        <v>2</v>
      </c>
      <c r="V41" s="1868">
        <f ca="1">OFFSET(V41,0,-1)+1</f>
        <v>3</v>
      </c>
      <c r="W41" s="1868">
        <f ca="1">OFFSET(W41,0,-1)+1</f>
        <v>4</v>
      </c>
      <c r="X41" s="1868">
        <f ca="1">OFFSET(X41,0,-1)+1</f>
        <v>5</v>
      </c>
      <c r="Y41" s="4423">
        <f ca="1">OFFSET(Y41,0,-1)+1</f>
        <v>6</v>
      </c>
      <c r="Z41" s="4423"/>
      <c r="AA41" s="1259">
        <f ca="1">OFFSET(AA41,0,-2)+1</f>
        <v>7</v>
      </c>
      <c r="AB41" s="1259"/>
      <c r="AC41" s="1259"/>
      <c r="AD41" s="1868">
        <f ca="1">OFFSET(AD41,0,-1)+1</f>
        <v>1</v>
      </c>
      <c r="AE41" s="1868">
        <f ca="1">OFFSET(AE41,0,-1)+1</f>
        <v>2</v>
      </c>
      <c r="AF41" s="1868">
        <f ca="1">OFFSET(AF41,0,-1)+1</f>
        <v>3</v>
      </c>
      <c r="AG41" s="4423">
        <f ca="1">OFFSET(AG41,0,-1)+1</f>
        <v>4</v>
      </c>
      <c r="AH41" s="4423"/>
      <c r="AI41" s="1868">
        <f ca="1">OFFSET(AI41,0,-2)+1</f>
        <v>5</v>
      </c>
      <c r="AJ41" s="1163">
        <f ca="1">OFFSET(AJ41,0,-1)</f>
        <v>5</v>
      </c>
      <c r="AK41" s="1868">
        <f ca="1">OFFSET(AK41,0,-1)+1</f>
        <v>6</v>
      </c>
      <c r="AL41" s="1554"/>
      <c r="AM41" s="1554"/>
      <c r="AN41" s="1554"/>
      <c r="AO41" s="1554"/>
      <c r="AP41" s="1554"/>
      <c r="AQ41" s="1559">
        <v>0</v>
      </c>
    </row>
    <row r="42" spans="1:43" ht="107.25" customHeight="1">
      <c r="A42" s="1185" t="s">
        <v>227</v>
      </c>
      <c r="B42" s="1185"/>
      <c r="C42" s="1185"/>
      <c r="D42" s="1185"/>
      <c r="E42" s="4438">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126</v>
      </c>
      <c r="U42" s="236"/>
      <c r="V42" s="4407"/>
      <c r="W42" s="4407"/>
      <c r="X42" s="4407"/>
      <c r="Y42" s="4407"/>
      <c r="Z42" s="4407"/>
      <c r="AA42" s="4408"/>
      <c r="AB42" s="1864"/>
      <c r="AC42" s="4407" t="str">
        <f>INDEX(PT_DIFFERENTIATION_NTAR,MATCH(A42,PT_DIFFERENTIATION_NTAR_ID,0))</f>
        <v/>
      </c>
      <c r="AD42" s="4407"/>
      <c r="AE42" s="4407"/>
      <c r="AF42" s="4407"/>
      <c r="AG42" s="4407"/>
      <c r="AH42" s="4407"/>
      <c r="AI42" s="4407"/>
      <c r="AJ42" s="440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227</v>
      </c>
      <c r="B43" s="1185" t="s">
        <v>228</v>
      </c>
      <c r="C43" s="1185"/>
      <c r="D43" s="1185"/>
      <c r="E43" s="4439"/>
      <c r="F43" s="4438">
        <v>1</v>
      </c>
      <c r="G43" s="1185"/>
      <c r="H43" s="1185"/>
      <c r="I43" s="1185"/>
      <c r="J43" s="1185"/>
      <c r="K43" s="1185"/>
      <c r="L43" s="1228"/>
      <c r="M43" s="1528"/>
      <c r="N43" s="1528"/>
      <c r="O43" s="1528"/>
      <c r="P43" s="1881"/>
      <c r="Q43" s="1329"/>
      <c r="R43" s="288"/>
      <c r="S43" s="1870" t="str">
        <f>INDEX(PT_DIFFERENTIATION_NUM_TER,MATCH(B43,PT_DIFFERENTIATION_TER_ID,0))</f>
        <v>.</v>
      </c>
      <c r="T43" s="1440" t="s">
        <v>418</v>
      </c>
      <c r="U43" s="236"/>
      <c r="V43" s="4407"/>
      <c r="W43" s="4407"/>
      <c r="X43" s="4407"/>
      <c r="Y43" s="4407"/>
      <c r="Z43" s="4407"/>
      <c r="AA43" s="4408"/>
      <c r="AB43" s="1864"/>
      <c r="AC43" s="4407" t="str">
        <f>INDEX(PT_DIFFERENTIATION_TER,MATCH(B43,PT_DIFFERENTIATION_TER_ID,0))</f>
        <v/>
      </c>
      <c r="AD43" s="4407"/>
      <c r="AE43" s="4407"/>
      <c r="AF43" s="4407"/>
      <c r="AG43" s="4407"/>
      <c r="AH43" s="4407"/>
      <c r="AI43" s="4407"/>
      <c r="AJ43" s="4408"/>
      <c r="AK43" s="1176" t="s">
        <v>419</v>
      </c>
      <c r="AM43" s="1542"/>
      <c r="AN43" s="1542" t="str">
        <f t="shared" si="1"/>
        <v>Территория действия тарифа</v>
      </c>
      <c r="AO43" s="1542"/>
      <c r="AP43" s="1542"/>
      <c r="AQ43" s="1549">
        <v>21</v>
      </c>
    </row>
    <row r="44" spans="1:43" ht="24" customHeight="1">
      <c r="A44" s="1185" t="s">
        <v>227</v>
      </c>
      <c r="B44" s="1185" t="s">
        <v>228</v>
      </c>
      <c r="C44" s="1185" t="s">
        <v>229</v>
      </c>
      <c r="D44" s="1185"/>
      <c r="E44" s="4439"/>
      <c r="F44" s="4439"/>
      <c r="G44" s="4438">
        <v>1</v>
      </c>
      <c r="H44" s="1185"/>
      <c r="I44" s="1185"/>
      <c r="J44" s="1185"/>
      <c r="K44" s="1185"/>
      <c r="L44" s="1228"/>
      <c r="M44" s="1528"/>
      <c r="N44" s="1528"/>
      <c r="O44" s="1528"/>
      <c r="P44" s="1330"/>
      <c r="Q44" s="1329"/>
      <c r="R44" s="288"/>
      <c r="S44" s="1870" t="str">
        <f>INDEX(PT_DIFFERENTIATION_NUM_CS,MATCH(C44,PT_DIFFERENTIATION_CS_ID,0))</f>
        <v>..</v>
      </c>
      <c r="T44" s="245" t="s">
        <v>420</v>
      </c>
      <c r="U44" s="236"/>
      <c r="V44" s="4407"/>
      <c r="W44" s="4407"/>
      <c r="X44" s="4407"/>
      <c r="Y44" s="4407"/>
      <c r="Z44" s="4407"/>
      <c r="AA44" s="4408"/>
      <c r="AB44" s="1864"/>
      <c r="AC44" s="4407" t="str">
        <f>INDEX(PT_DIFFERENTIATION_CS,MATCH(C44,PT_DIFFERENTIATION_CS_ID,0))</f>
        <v/>
      </c>
      <c r="AD44" s="4407"/>
      <c r="AE44" s="4407"/>
      <c r="AF44" s="4407"/>
      <c r="AG44" s="4407"/>
      <c r="AH44" s="4407"/>
      <c r="AI44" s="4407"/>
      <c r="AJ44" s="4408"/>
      <c r="AK44" s="1176" t="s">
        <v>421</v>
      </c>
      <c r="AM44" s="1542"/>
      <c r="AN44" s="1542" t="str">
        <f t="shared" si="1"/>
        <v xml:space="preserve">Наименование системы теплоснабжения </v>
      </c>
      <c r="AO44" s="1542"/>
      <c r="AP44" s="1542"/>
      <c r="AQ44" s="1549">
        <v>23</v>
      </c>
    </row>
    <row r="45" spans="1:43" ht="21.95" customHeight="1">
      <c r="A45" s="1185" t="s">
        <v>227</v>
      </c>
      <c r="B45" s="1185" t="s">
        <v>228</v>
      </c>
      <c r="C45" s="1185" t="s">
        <v>229</v>
      </c>
      <c r="D45" s="1185" t="s">
        <v>230</v>
      </c>
      <c r="E45" s="4439"/>
      <c r="F45" s="4439"/>
      <c r="G45" s="4439"/>
      <c r="H45" s="4438">
        <v>1</v>
      </c>
      <c r="I45" s="1185"/>
      <c r="J45" s="1185"/>
      <c r="K45" s="1185"/>
      <c r="L45" s="1228"/>
      <c r="M45" s="1528"/>
      <c r="N45" s="1528"/>
      <c r="O45" s="1528"/>
      <c r="P45" s="1330"/>
      <c r="Q45" s="1329"/>
      <c r="R45" s="288"/>
      <c r="S45" s="1870" t="str">
        <f>INDEX(PT_DIFFERENTIATION_NUM_IST_TE,MATCH(D45,PT_DIFFERENTIATION_IST_TE_ID,0))</f>
        <v>...</v>
      </c>
      <c r="T45" s="246" t="s">
        <v>422</v>
      </c>
      <c r="U45" s="236"/>
      <c r="V45" s="4407"/>
      <c r="W45" s="4407"/>
      <c r="X45" s="4407"/>
      <c r="Y45" s="4407"/>
      <c r="Z45" s="4407"/>
      <c r="AA45" s="4408"/>
      <c r="AB45" s="1864"/>
      <c r="AC45" s="4407" t="str">
        <f>INDEX(PT_DIFFERENTIATION_IST_TE,MATCH(D45,PT_DIFFERENTIATION_IST_TE_ID,0))</f>
        <v/>
      </c>
      <c r="AD45" s="4407"/>
      <c r="AE45" s="4407"/>
      <c r="AF45" s="4407"/>
      <c r="AG45" s="4407"/>
      <c r="AH45" s="4407"/>
      <c r="AI45" s="4407"/>
      <c r="AJ45" s="4408"/>
      <c r="AK45" s="1176" t="s">
        <v>423</v>
      </c>
      <c r="AM45" s="1542"/>
      <c r="AN45" s="1542" t="str">
        <f t="shared" si="1"/>
        <v xml:space="preserve">Источник тепловой энергии  </v>
      </c>
      <c r="AO45" s="1542"/>
      <c r="AP45" s="1542"/>
      <c r="AQ45" s="1549">
        <v>21</v>
      </c>
    </row>
    <row r="46" spans="1:43" s="4140" customFormat="1" ht="0" hidden="1" customHeight="1">
      <c r="A46" s="1293" t="s">
        <v>227</v>
      </c>
      <c r="B46" s="1293" t="s">
        <v>228</v>
      </c>
      <c r="C46" s="1293" t="s">
        <v>229</v>
      </c>
      <c r="D46" s="1293" t="s">
        <v>230</v>
      </c>
      <c r="E46" s="4439"/>
      <c r="F46" s="4439"/>
      <c r="G46" s="4439"/>
      <c r="H46" s="4439"/>
      <c r="I46" s="4274" t="str">
        <f>S45&amp;".1"</f>
        <v>....1</v>
      </c>
      <c r="J46" s="1293"/>
      <c r="K46" s="1293"/>
      <c r="L46" s="1299" t="s">
        <v>424</v>
      </c>
      <c r="M46" s="1164"/>
      <c r="N46" s="1164"/>
      <c r="O46" s="1164"/>
      <c r="P46" s="4416">
        <v>1</v>
      </c>
      <c r="Q46" s="1866"/>
      <c r="R46" s="291"/>
      <c r="S46" s="964"/>
      <c r="T46" s="1301"/>
      <c r="U46" s="1302"/>
      <c r="V46" s="4444"/>
      <c r="W46" s="4444"/>
      <c r="X46" s="4444"/>
      <c r="Y46" s="4444"/>
      <c r="Z46" s="4444"/>
      <c r="AA46" s="4445"/>
      <c r="AB46" s="1872"/>
      <c r="AC46" s="4444"/>
      <c r="AD46" s="4444"/>
      <c r="AE46" s="4444"/>
      <c r="AF46" s="4444"/>
      <c r="AG46" s="4444"/>
      <c r="AH46" s="4444"/>
      <c r="AI46" s="4444"/>
      <c r="AJ46" s="4445"/>
      <c r="AK46" s="1303"/>
      <c r="AM46" s="1542"/>
      <c r="AN46" s="1542" t="str">
        <f t="shared" si="1"/>
        <v/>
      </c>
      <c r="AO46" s="1542"/>
      <c r="AP46" s="1542"/>
      <c r="AQ46" s="1554">
        <v>0</v>
      </c>
    </row>
    <row r="47" spans="1:43" s="4140" customFormat="1" ht="0" hidden="1" customHeight="1">
      <c r="A47" s="1293" t="s">
        <v>227</v>
      </c>
      <c r="B47" s="1293" t="s">
        <v>228</v>
      </c>
      <c r="C47" s="1293" t="s">
        <v>229</v>
      </c>
      <c r="D47" s="1293" t="s">
        <v>230</v>
      </c>
      <c r="E47" s="4439"/>
      <c r="F47" s="4439"/>
      <c r="G47" s="4439"/>
      <c r="H47" s="4439"/>
      <c r="I47" s="4256"/>
      <c r="J47" s="4274" t="str">
        <f>S45&amp;".1"</f>
        <v>....1</v>
      </c>
      <c r="K47" s="1293"/>
      <c r="L47" s="1299"/>
      <c r="M47" s="1164"/>
      <c r="N47" s="1164"/>
      <c r="O47" s="1164"/>
      <c r="P47" s="4416"/>
      <c r="Q47" s="4416">
        <v>1</v>
      </c>
      <c r="R47" s="292"/>
      <c r="S47" s="964"/>
      <c r="T47" s="1317"/>
      <c r="U47" s="1302"/>
      <c r="V47" s="4444"/>
      <c r="W47" s="4444"/>
      <c r="X47" s="4444"/>
      <c r="Y47" s="4444"/>
      <c r="Z47" s="4444"/>
      <c r="AA47" s="4445"/>
      <c r="AB47" s="1872"/>
      <c r="AC47" s="4444"/>
      <c r="AD47" s="4444"/>
      <c r="AE47" s="4444"/>
      <c r="AF47" s="4444"/>
      <c r="AG47" s="4444"/>
      <c r="AH47" s="4444"/>
      <c r="AI47" s="4444"/>
      <c r="AJ47" s="4445"/>
      <c r="AK47" s="1303"/>
      <c r="AM47" s="1542"/>
      <c r="AN47" s="1542" t="str">
        <f t="shared" si="1"/>
        <v/>
      </c>
      <c r="AO47" s="1542"/>
      <c r="AP47" s="1542"/>
      <c r="AQ47" s="1554">
        <v>0</v>
      </c>
    </row>
    <row r="48" spans="1:43" ht="21.95" customHeight="1">
      <c r="A48" s="1185" t="s">
        <v>227</v>
      </c>
      <c r="B48" s="1185" t="s">
        <v>228</v>
      </c>
      <c r="C48" s="1185" t="s">
        <v>229</v>
      </c>
      <c r="D48" s="1185" t="s">
        <v>230</v>
      </c>
      <c r="E48" s="4439"/>
      <c r="F48" s="4439"/>
      <c r="G48" s="4439"/>
      <c r="H48" s="4439"/>
      <c r="I48" s="4256"/>
      <c r="J48" s="4256"/>
      <c r="K48" s="1853" t="str">
        <f>S45&amp;".1"</f>
        <v>....1</v>
      </c>
      <c r="L48" s="1228"/>
      <c r="P48" s="4416"/>
      <c r="Q48" s="4416"/>
      <c r="R48" s="292">
        <v>1</v>
      </c>
      <c r="S48" s="1874" t="str">
        <f>$K48</f>
        <v>....1</v>
      </c>
      <c r="T48" s="1873"/>
      <c r="U48" s="236"/>
      <c r="V48" s="686"/>
      <c r="W48" s="1175"/>
      <c r="X48" s="1867"/>
      <c r="Y48" s="1854" t="s">
        <v>65</v>
      </c>
      <c r="Z48" s="1867"/>
      <c r="AA48" s="1854" t="s">
        <v>65</v>
      </c>
      <c r="AB48" s="1876"/>
      <c r="AC48" s="1875" t="s">
        <v>28</v>
      </c>
      <c r="AD48" s="686"/>
      <c r="AE48" s="1175"/>
      <c r="AF48" s="1867"/>
      <c r="AG48" s="1854" t="s">
        <v>65</v>
      </c>
      <c r="AH48" s="1867"/>
      <c r="AI48" s="1854" t="s">
        <v>65</v>
      </c>
      <c r="AJ48" s="1266"/>
      <c r="AK48" s="4435" t="s">
        <v>501</v>
      </c>
      <c r="AL48" s="1554" t="e">
        <f ca="1">STRCHECKDATE(#REF!)</f>
        <v>#NAME?</v>
      </c>
      <c r="AM48" s="1542"/>
      <c r="AN48" s="1542" t="str">
        <f t="shared" si="1"/>
        <v/>
      </c>
      <c r="AO48" s="1542"/>
      <c r="AP48" s="1542"/>
      <c r="AQ48" s="1549">
        <v>21</v>
      </c>
    </row>
    <row r="49" spans="1:43" ht="11.45" customHeight="1">
      <c r="A49" s="1185" t="s">
        <v>227</v>
      </c>
      <c r="B49" s="1185" t="s">
        <v>228</v>
      </c>
      <c r="C49" s="1185" t="s">
        <v>229</v>
      </c>
      <c r="D49" s="1185" t="s">
        <v>230</v>
      </c>
      <c r="E49" s="4439"/>
      <c r="F49" s="4439"/>
      <c r="G49" s="4439"/>
      <c r="H49" s="4439"/>
      <c r="I49" s="4256"/>
      <c r="J49" s="4274"/>
      <c r="K49" s="1185"/>
      <c r="L49" s="1228"/>
      <c r="P49" s="4416"/>
      <c r="Q49" s="4416"/>
      <c r="R49" s="291"/>
      <c r="S49" s="1196"/>
      <c r="T49" s="223" t="s">
        <v>489</v>
      </c>
      <c r="U49" s="535"/>
      <c r="V49" s="535"/>
      <c r="W49" s="535"/>
      <c r="X49" s="535"/>
      <c r="Y49" s="535"/>
      <c r="Z49" s="535"/>
      <c r="AA49" s="260"/>
      <c r="AB49" s="535"/>
      <c r="AC49" s="535"/>
      <c r="AD49" s="535"/>
      <c r="AE49" s="535"/>
      <c r="AF49" s="535"/>
      <c r="AG49" s="535"/>
      <c r="AH49" s="535"/>
      <c r="AI49" s="535"/>
      <c r="AJ49" s="260"/>
      <c r="AK49" s="4437"/>
      <c r="AM49" s="1542"/>
      <c r="AN49" s="1542" t="str">
        <f t="shared" si="1"/>
        <v>Добавить строку</v>
      </c>
      <c r="AO49" s="1542"/>
      <c r="AP49" s="1542"/>
      <c r="AQ49" s="1549">
        <v>11</v>
      </c>
    </row>
    <row r="50" spans="1:43" s="4140" customFormat="1" ht="1.1499999999999999" customHeight="1">
      <c r="A50" s="1293" t="s">
        <v>227</v>
      </c>
      <c r="B50" s="1293" t="s">
        <v>228</v>
      </c>
      <c r="C50" s="1293" t="s">
        <v>229</v>
      </c>
      <c r="D50" s="1293" t="s">
        <v>230</v>
      </c>
      <c r="E50" s="4439"/>
      <c r="F50" s="4439"/>
      <c r="G50" s="4439"/>
      <c r="H50" s="4439"/>
      <c r="I50" s="4274"/>
      <c r="J50" s="1293"/>
      <c r="K50" s="1293"/>
      <c r="L50" s="1299"/>
      <c r="M50" s="1164"/>
      <c r="N50" s="1164"/>
      <c r="O50" s="1164"/>
      <c r="P50" s="4416"/>
      <c r="Q50" s="1866"/>
      <c r="R50" s="291"/>
      <c r="S50" s="1304"/>
      <c r="T50" s="1305" t="s">
        <v>433</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4164" customFormat="1" ht="1.1499999999999999" customHeight="1">
      <c r="A51" s="1293" t="s">
        <v>227</v>
      </c>
      <c r="B51" s="1293" t="s">
        <v>228</v>
      </c>
      <c r="C51" s="1293" t="s">
        <v>229</v>
      </c>
      <c r="D51" s="1293" t="s">
        <v>230</v>
      </c>
      <c r="E51" s="4439"/>
      <c r="F51" s="4439"/>
      <c r="G51" s="4439"/>
      <c r="H51" s="443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4140" customFormat="1" ht="1.1499999999999999" customHeight="1">
      <c r="A52" s="1293" t="s">
        <v>227</v>
      </c>
      <c r="B52" s="1293" t="s">
        <v>228</v>
      </c>
      <c r="C52" s="1293" t="s">
        <v>229</v>
      </c>
      <c r="D52" s="1292"/>
      <c r="E52" s="4439"/>
      <c r="F52" s="4439"/>
      <c r="G52" s="4438"/>
      <c r="H52" s="1292"/>
      <c r="I52" s="1292"/>
      <c r="J52" s="1292"/>
      <c r="K52" s="1292"/>
      <c r="L52" s="1295"/>
      <c r="M52" s="1296"/>
      <c r="N52" s="1296"/>
      <c r="O52" s="286"/>
      <c r="P52" s="1234"/>
      <c r="Q52" s="1235"/>
      <c r="R52" s="1234"/>
      <c r="S52" s="1240"/>
      <c r="T52" s="1243" t="s">
        <v>172</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4140" customFormat="1" ht="1.1499999999999999" customHeight="1">
      <c r="A53" s="1293" t="s">
        <v>227</v>
      </c>
      <c r="B53" s="1293" t="s">
        <v>228</v>
      </c>
      <c r="C53" s="1292"/>
      <c r="D53" s="1292"/>
      <c r="E53" s="4439"/>
      <c r="F53" s="4438"/>
      <c r="G53" s="1292"/>
      <c r="H53" s="1292"/>
      <c r="I53" s="1292"/>
      <c r="J53" s="1292"/>
      <c r="K53" s="1292"/>
      <c r="L53" s="1295"/>
      <c r="M53" s="1297"/>
      <c r="N53" s="1297"/>
      <c r="O53" s="286"/>
      <c r="P53" s="1234"/>
      <c r="Q53" s="1235"/>
      <c r="R53" s="1234"/>
      <c r="S53" s="1240"/>
      <c r="T53" s="1243" t="s">
        <v>173</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4140" customFormat="1" ht="1.1499999999999999" customHeight="1">
      <c r="A54" s="1293" t="s">
        <v>227</v>
      </c>
      <c r="B54" s="1293"/>
      <c r="C54" s="1293"/>
      <c r="D54" s="1293"/>
      <c r="E54" s="4439"/>
      <c r="F54" s="1293"/>
      <c r="G54" s="1293"/>
      <c r="H54" s="1293"/>
      <c r="I54" s="1293"/>
      <c r="J54" s="1293"/>
      <c r="K54" s="1293"/>
      <c r="L54" s="1299"/>
      <c r="M54" s="1297"/>
      <c r="N54" s="1297"/>
      <c r="O54" s="286"/>
      <c r="P54" s="315"/>
      <c r="Q54" s="1262"/>
      <c r="R54" s="315"/>
      <c r="S54" s="1240"/>
      <c r="T54" s="1243" t="s">
        <v>174</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4140" customFormat="1" ht="1.1499999999999999" customHeight="1">
      <c r="A55" s="1293" t="s">
        <v>227</v>
      </c>
      <c r="B55" s="1293"/>
      <c r="C55" s="1293"/>
      <c r="D55" s="1293"/>
      <c r="E55" s="4438"/>
      <c r="F55" s="1293"/>
      <c r="G55" s="1293"/>
      <c r="H55" s="1293"/>
      <c r="I55" s="1293"/>
      <c r="J55" s="1293"/>
      <c r="K55" s="1293"/>
      <c r="L55" s="1299"/>
      <c r="M55" s="1297"/>
      <c r="N55" s="1297"/>
      <c r="O55" s="286"/>
      <c r="P55" s="315"/>
      <c r="Q55" s="1262"/>
      <c r="R55" s="315"/>
      <c r="S55" s="1240"/>
      <c r="T55" s="1243" t="s">
        <v>174</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4140"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188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4411"/>
      <c r="U58" s="4411"/>
      <c r="V58" s="4411"/>
      <c r="W58" s="4411"/>
      <c r="X58" s="4411"/>
      <c r="Y58" s="4411"/>
      <c r="Z58" s="4411"/>
      <c r="AA58" s="4411"/>
      <c r="AB58" s="4411"/>
      <c r="AC58" s="4411"/>
      <c r="AD58" s="4411"/>
      <c r="AE58" s="4411"/>
      <c r="AF58" s="4411"/>
      <c r="AG58" s="4411"/>
      <c r="AH58" s="4411"/>
      <c r="AI58" s="4411"/>
      <c r="AJ58" s="4411"/>
      <c r="AK58" s="4411"/>
      <c r="AQ58" s="1549">
        <v>19</v>
      </c>
    </row>
    <row r="59" spans="1:43" ht="21" customHeight="1">
      <c r="O59" s="1553"/>
      <c r="T59" s="4411"/>
      <c r="U59" s="4411"/>
      <c r="V59" s="4411"/>
      <c r="W59" s="4411"/>
      <c r="X59" s="4411"/>
      <c r="Y59" s="4411"/>
      <c r="Z59" s="4411"/>
      <c r="AA59" s="4411"/>
      <c r="AB59" s="4411"/>
      <c r="AC59" s="4411"/>
      <c r="AD59" s="4411"/>
      <c r="AE59" s="4411"/>
      <c r="AF59" s="4411"/>
      <c r="AG59" s="4411"/>
      <c r="AH59" s="4411"/>
      <c r="AI59" s="4411"/>
      <c r="AJ59" s="4411"/>
      <c r="AK59" s="4411"/>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4411"/>
      <c r="U61" s="4411"/>
      <c r="V61" s="4411"/>
      <c r="W61" s="4411"/>
      <c r="X61" s="4411"/>
      <c r="Y61" s="4411"/>
      <c r="Z61" s="4411"/>
      <c r="AA61" s="4411"/>
      <c r="AB61" s="4411"/>
      <c r="AC61" s="4411"/>
      <c r="AD61" s="4411"/>
      <c r="AE61" s="4411"/>
      <c r="AF61" s="4411"/>
      <c r="AG61" s="4411"/>
      <c r="AH61" s="4411"/>
      <c r="AI61" s="4411"/>
      <c r="AJ61" s="4411"/>
      <c r="AK61" s="4411"/>
      <c r="AQ61" s="1549">
        <v>19</v>
      </c>
    </row>
    <row r="62" spans="1:43" ht="16.899999999999999" customHeight="1">
      <c r="O62" s="1553"/>
      <c r="T62" s="4411"/>
      <c r="U62" s="4411"/>
      <c r="V62" s="4411"/>
      <c r="W62" s="4411"/>
      <c r="X62" s="4411"/>
      <c r="Y62" s="4411"/>
      <c r="Z62" s="4411"/>
      <c r="AA62" s="4411"/>
      <c r="AB62" s="4411"/>
      <c r="AC62" s="4411"/>
      <c r="AD62" s="4411"/>
      <c r="AE62" s="4411"/>
      <c r="AF62" s="4411"/>
      <c r="AG62" s="4411"/>
      <c r="AH62" s="4411"/>
      <c r="AI62" s="4411"/>
      <c r="AJ62" s="4411"/>
      <c r="AK62" s="4411"/>
      <c r="AQ62" s="1549">
        <v>16</v>
      </c>
    </row>
    <row r="63" spans="1:43" ht="14.65" customHeight="1">
      <c r="O63" s="1553"/>
      <c r="AQ63" s="1549">
        <v>14</v>
      </c>
    </row>
    <row r="64" spans="1:43" ht="22.5" hidden="1" customHeight="1">
      <c r="A64" s="1549" t="s">
        <v>86</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39" hidden="1" customWidth="1"/>
    <col min="2" max="2" width="11" style="4139" hidden="1" customWidth="1"/>
    <col min="3" max="3" width="10.5703125" style="4139" hidden="1"/>
    <col min="4" max="4" width="12.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6" hidden="1" customWidth="1"/>
    <col min="17" max="17" width="3.7109375" style="4200" hidden="1" customWidth="1"/>
    <col min="18" max="18" width="3" style="4168" customWidth="1"/>
    <col min="19" max="19" width="12" style="4169" customWidth="1"/>
    <col min="20" max="20" width="31" style="4133" customWidth="1"/>
    <col min="21" max="21" width="0.140625" style="4133" customWidth="1"/>
    <col min="22" max="25" width="21.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3.7109375" style="4133" customWidth="1"/>
    <col min="31" max="32" width="3" style="4133" customWidth="1"/>
    <col min="33" max="33" width="24" style="4133" customWidth="1"/>
    <col min="34" max="34" width="3.7109375" style="4133" customWidth="1"/>
    <col min="35" max="36" width="3" style="4133" customWidth="1"/>
    <col min="37" max="37" width="24" style="4133" customWidth="1"/>
    <col min="38" max="38" width="3.7109375" style="4133" customWidth="1"/>
    <col min="39" max="40" width="3" style="4133" customWidth="1"/>
    <col min="41" max="41" width="18" style="4133" customWidth="1"/>
    <col min="42" max="42" width="3.7109375" style="4133" customWidth="1"/>
    <col min="43" max="44" width="3" style="4133" customWidth="1"/>
    <col min="45" max="45" width="18" style="4133" customWidth="1"/>
    <col min="46" max="49" width="21" style="4133" customWidth="1"/>
    <col min="50" max="50" width="11" style="4133" customWidth="1"/>
    <col min="51" max="51" width="3.7109375" style="4133" customWidth="1"/>
    <col min="52" max="52" width="11" style="4133" customWidth="1"/>
    <col min="53" max="53" width="8.5703125" style="4133" hidden="1" customWidth="1"/>
    <col min="54" max="54" width="4" style="4133" customWidth="1"/>
    <col min="55" max="55" width="115" style="4133" customWidth="1"/>
    <col min="56" max="60" width="10" style="4140" customWidth="1"/>
    <col min="61" max="61" width="10.5703125" style="4133" hidden="1"/>
  </cols>
  <sheetData>
    <row r="1" spans="1:61" ht="22.5" hidden="1" customHeight="1">
      <c r="W1" s="263"/>
      <c r="Y1" s="263"/>
      <c r="Z1" s="263"/>
      <c r="AW1" s="263"/>
      <c r="AX1" s="263"/>
      <c r="BI1" s="1073" t="s">
        <v>14</v>
      </c>
    </row>
    <row r="2" spans="1:61" ht="21" hidden="1" customHeight="1">
      <c r="A2" s="1281"/>
      <c r="B2" s="1281"/>
      <c r="C2" s="1281"/>
      <c r="D2" s="1281"/>
      <c r="E2" s="4412">
        <v>1</v>
      </c>
      <c r="F2" s="1281"/>
      <c r="G2" s="1281"/>
      <c r="H2" s="1281"/>
      <c r="I2" s="1281"/>
      <c r="J2" s="1281"/>
      <c r="K2" s="1281"/>
      <c r="L2" s="1282"/>
      <c r="M2" s="1283"/>
      <c r="N2" s="1283"/>
      <c r="O2" s="1283"/>
      <c r="P2" s="1327"/>
      <c r="Q2" s="798"/>
      <c r="R2" s="290"/>
      <c r="S2" s="1383" t="e">
        <f>INDEX(PT_DIFFERENTIATION_NUM_NTAR,MATCH(A2,PT_DIFFERENTIATION_NTAR_ID,0))</f>
        <v>#N/A</v>
      </c>
      <c r="T2" s="234" t="s">
        <v>126</v>
      </c>
      <c r="U2" s="236"/>
      <c r="V2" s="4407"/>
      <c r="W2" s="4407"/>
      <c r="X2" s="4407"/>
      <c r="Y2" s="4407"/>
      <c r="Z2" s="4407"/>
      <c r="AA2" s="4407"/>
      <c r="AB2" s="4407"/>
      <c r="AC2" s="4408"/>
      <c r="AD2" s="4406" t="e">
        <f>INDEX(PT_DIFFERENTIATION_NTAR,MATCH(A2,PT_DIFFERENTIATION_NTAR_ID,0))</f>
        <v>#N/A</v>
      </c>
      <c r="AE2" s="4407"/>
      <c r="AF2" s="4407"/>
      <c r="AG2" s="4407"/>
      <c r="AH2" s="4407"/>
      <c r="AI2" s="4407"/>
      <c r="AJ2" s="4407"/>
      <c r="AK2" s="4407"/>
      <c r="AL2" s="4407"/>
      <c r="AM2" s="4407"/>
      <c r="AN2" s="4407"/>
      <c r="AO2" s="4407"/>
      <c r="AP2" s="4407"/>
      <c r="AQ2" s="4407"/>
      <c r="AR2" s="4407"/>
      <c r="AS2" s="4407"/>
      <c r="AT2" s="4407"/>
      <c r="AU2" s="4407"/>
      <c r="AV2" s="4407"/>
      <c r="AW2" s="4407"/>
      <c r="AX2" s="4407"/>
      <c r="AY2" s="4407"/>
      <c r="AZ2" s="4407"/>
      <c r="BA2" s="4407"/>
      <c r="BB2" s="440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413"/>
      <c r="F3" s="4412">
        <v>1</v>
      </c>
      <c r="G3" s="1281"/>
      <c r="H3" s="1281"/>
      <c r="I3" s="1281"/>
      <c r="J3" s="1281"/>
      <c r="K3" s="1281"/>
      <c r="L3" s="1282"/>
      <c r="M3" s="1283"/>
      <c r="N3" s="1283"/>
      <c r="O3" s="1283"/>
      <c r="P3" s="1328"/>
      <c r="Q3" s="1329"/>
      <c r="R3" s="288"/>
      <c r="S3" s="1383" t="e">
        <f>INDEX(PT_DIFFERENTIATION_NUM_TER,MATCH(B3,PT_DIFFERENTIATION_TER_ID,0))</f>
        <v>#N/A</v>
      </c>
      <c r="T3" s="244" t="s">
        <v>418</v>
      </c>
      <c r="U3" s="236"/>
      <c r="V3" s="4407"/>
      <c r="W3" s="4407"/>
      <c r="X3" s="4407"/>
      <c r="Y3" s="4407"/>
      <c r="Z3" s="4407"/>
      <c r="AA3" s="4407"/>
      <c r="AB3" s="4407"/>
      <c r="AC3" s="4408"/>
      <c r="AD3" s="4406" t="e">
        <f>INDEX(PT_DIFFERENTIATION_TER,MATCH(B3,PT_DIFFERENTIATION_TER_ID,0))</f>
        <v>#N/A</v>
      </c>
      <c r="AE3" s="4407"/>
      <c r="AF3" s="4407"/>
      <c r="AG3" s="4407"/>
      <c r="AH3" s="4407"/>
      <c r="AI3" s="4407"/>
      <c r="AJ3" s="4407"/>
      <c r="AK3" s="4407"/>
      <c r="AL3" s="4407"/>
      <c r="AM3" s="4407"/>
      <c r="AN3" s="4407"/>
      <c r="AO3" s="4407"/>
      <c r="AP3" s="4407"/>
      <c r="AQ3" s="4407"/>
      <c r="AR3" s="4407"/>
      <c r="AS3" s="4407"/>
      <c r="AT3" s="4407"/>
      <c r="AU3" s="4407"/>
      <c r="AV3" s="4407"/>
      <c r="AW3" s="4407"/>
      <c r="AX3" s="4407"/>
      <c r="AY3" s="4407"/>
      <c r="AZ3" s="4407"/>
      <c r="BA3" s="4407"/>
      <c r="BB3" s="4408"/>
      <c r="BC3" s="1176" t="s">
        <v>419</v>
      </c>
      <c r="BE3" s="435"/>
      <c r="BF3" s="435" t="str">
        <f t="shared" si="0"/>
        <v>Территория действия тарифа</v>
      </c>
      <c r="BG3" s="435"/>
      <c r="BH3" s="435"/>
      <c r="BI3" s="1073">
        <v>0</v>
      </c>
    </row>
    <row r="4" spans="1:61" ht="42" hidden="1" customHeight="1">
      <c r="A4" s="1281"/>
      <c r="B4" s="1281"/>
      <c r="C4" s="1281"/>
      <c r="D4" s="1281"/>
      <c r="E4" s="4413"/>
      <c r="F4" s="4413"/>
      <c r="G4" s="4412">
        <v>1</v>
      </c>
      <c r="H4" s="1281"/>
      <c r="I4" s="1281"/>
      <c r="J4" s="1281"/>
      <c r="K4" s="1281"/>
      <c r="L4" s="1282"/>
      <c r="M4" s="1283"/>
      <c r="N4" s="1283"/>
      <c r="O4" s="1283"/>
      <c r="P4" s="1330"/>
      <c r="Q4" s="1329"/>
      <c r="R4" s="288"/>
      <c r="S4" s="1383" t="e">
        <f>INDEX(PT_DIFFERENTIATION_NUM_CS,MATCH(C4,PT_DIFFERENTIATION_CS_ID,0))</f>
        <v>#N/A</v>
      </c>
      <c r="T4" s="245" t="s">
        <v>502</v>
      </c>
      <c r="U4" s="236"/>
      <c r="V4" s="4407"/>
      <c r="W4" s="4407"/>
      <c r="X4" s="4407"/>
      <c r="Y4" s="4407"/>
      <c r="Z4" s="4407"/>
      <c r="AA4" s="4407"/>
      <c r="AB4" s="4407"/>
      <c r="AC4" s="4408"/>
      <c r="AD4" s="4406" t="e">
        <f>INDEX(PT_DIFFERENTIATION_CS,MATCH(C4,PT_DIFFERENTIATION_CS_ID,0))</f>
        <v>#N/A</v>
      </c>
      <c r="AE4" s="4407"/>
      <c r="AF4" s="4407"/>
      <c r="AG4" s="4407"/>
      <c r="AH4" s="4407"/>
      <c r="AI4" s="4407"/>
      <c r="AJ4" s="4407"/>
      <c r="AK4" s="4407"/>
      <c r="AL4" s="4407"/>
      <c r="AM4" s="4407"/>
      <c r="AN4" s="4407"/>
      <c r="AO4" s="4407"/>
      <c r="AP4" s="4407"/>
      <c r="AQ4" s="4407"/>
      <c r="AR4" s="4407"/>
      <c r="AS4" s="4407"/>
      <c r="AT4" s="4407"/>
      <c r="AU4" s="4407"/>
      <c r="AV4" s="4407"/>
      <c r="AW4" s="4407"/>
      <c r="AX4" s="4407"/>
      <c r="AY4" s="4407"/>
      <c r="AZ4" s="4407"/>
      <c r="BA4" s="4407"/>
      <c r="BB4" s="4408"/>
      <c r="BC4" s="1176" t="s">
        <v>503</v>
      </c>
      <c r="BE4" s="435"/>
      <c r="BF4" s="435" t="str">
        <f t="shared" si="0"/>
        <v>Наименование централизованной системы холодного водоснабжения</v>
      </c>
      <c r="BG4" s="435"/>
      <c r="BH4" s="435"/>
      <c r="BI4" s="1073">
        <v>0</v>
      </c>
    </row>
    <row r="5" spans="1:61" s="4140" customFormat="1" ht="14.25" hidden="1" customHeight="1">
      <c r="A5" s="1261"/>
      <c r="B5" s="1261"/>
      <c r="C5" s="1261"/>
      <c r="D5" s="1261"/>
      <c r="E5" s="4413"/>
      <c r="F5" s="4413"/>
      <c r="G5" s="4413"/>
      <c r="H5" s="4412">
        <v>1</v>
      </c>
      <c r="I5" s="1261"/>
      <c r="J5" s="1261"/>
      <c r="K5" s="1261"/>
      <c r="L5" s="1264"/>
      <c r="M5" s="1233"/>
      <c r="N5" s="1233"/>
      <c r="O5" s="1233"/>
      <c r="P5" s="1415"/>
      <c r="Q5" s="1416"/>
      <c r="R5" s="292"/>
      <c r="S5" s="964"/>
      <c r="T5" s="1417"/>
      <c r="U5" s="1302"/>
      <c r="V5" s="4444"/>
      <c r="W5" s="4444"/>
      <c r="X5" s="4444"/>
      <c r="Y5" s="4444"/>
      <c r="Z5" s="4444"/>
      <c r="AA5" s="4444"/>
      <c r="AB5" s="4444"/>
      <c r="AC5" s="4445"/>
      <c r="AD5" s="4443"/>
      <c r="AE5" s="4444"/>
      <c r="AF5" s="4444"/>
      <c r="AG5" s="4444"/>
      <c r="AH5" s="4444"/>
      <c r="AI5" s="4444"/>
      <c r="AJ5" s="4444"/>
      <c r="AK5" s="4444"/>
      <c r="AL5" s="4444"/>
      <c r="AM5" s="4444"/>
      <c r="AN5" s="4444"/>
      <c r="AO5" s="4444"/>
      <c r="AP5" s="4444"/>
      <c r="AQ5" s="4444"/>
      <c r="AR5" s="4444"/>
      <c r="AS5" s="4444"/>
      <c r="AT5" s="4444"/>
      <c r="AU5" s="4444"/>
      <c r="AV5" s="4444"/>
      <c r="AW5" s="4444"/>
      <c r="AX5" s="4444"/>
      <c r="AY5" s="4444"/>
      <c r="AZ5" s="4444"/>
      <c r="BA5" s="4444"/>
      <c r="BB5" s="4445"/>
      <c r="BC5" s="1303" t="s">
        <v>423</v>
      </c>
      <c r="BE5" s="435"/>
      <c r="BF5" s="435" t="str">
        <f t="shared" si="0"/>
        <v/>
      </c>
      <c r="BG5" s="435"/>
      <c r="BH5" s="435"/>
      <c r="BI5" s="446">
        <v>0</v>
      </c>
    </row>
    <row r="6" spans="1:61" s="4140" customFormat="1" ht="14.25" hidden="1" customHeight="1">
      <c r="A6" s="1261"/>
      <c r="B6" s="1261"/>
      <c r="C6" s="1261"/>
      <c r="D6" s="1261"/>
      <c r="E6" s="4413"/>
      <c r="F6" s="4413"/>
      <c r="G6" s="4413"/>
      <c r="H6" s="4413"/>
      <c r="I6" s="4414" t="str">
        <f>S5&amp;".1"</f>
        <v>.1</v>
      </c>
      <c r="J6" s="1261"/>
      <c r="K6" s="1261"/>
      <c r="L6" s="1264" t="s">
        <v>424</v>
      </c>
      <c r="M6" s="445"/>
      <c r="N6" s="445"/>
      <c r="O6" s="445"/>
      <c r="P6" s="4416">
        <v>1</v>
      </c>
      <c r="Q6" s="1380"/>
      <c r="R6" s="291"/>
      <c r="S6" s="964"/>
      <c r="T6" s="1301"/>
      <c r="U6" s="1302"/>
      <c r="V6" s="4444"/>
      <c r="W6" s="4444"/>
      <c r="X6" s="4444"/>
      <c r="Y6" s="4444"/>
      <c r="Z6" s="4444"/>
      <c r="AA6" s="4444"/>
      <c r="AB6" s="4444"/>
      <c r="AC6" s="4445"/>
      <c r="AD6" s="4443"/>
      <c r="AE6" s="4444"/>
      <c r="AF6" s="4444"/>
      <c r="AG6" s="4444"/>
      <c r="AH6" s="4444"/>
      <c r="AI6" s="4444"/>
      <c r="AJ6" s="4444"/>
      <c r="AK6" s="4444"/>
      <c r="AL6" s="4444"/>
      <c r="AM6" s="4444"/>
      <c r="AN6" s="4444"/>
      <c r="AO6" s="4444"/>
      <c r="AP6" s="4444"/>
      <c r="AQ6" s="4444"/>
      <c r="AR6" s="4444"/>
      <c r="AS6" s="4444"/>
      <c r="AT6" s="4444"/>
      <c r="AU6" s="4444"/>
      <c r="AV6" s="4444"/>
      <c r="AW6" s="4444"/>
      <c r="AX6" s="4444"/>
      <c r="AY6" s="4444"/>
      <c r="AZ6" s="4444"/>
      <c r="BA6" s="4444"/>
      <c r="BB6" s="4445"/>
      <c r="BC6" s="1303"/>
      <c r="BE6" s="435"/>
      <c r="BF6" s="435" t="str">
        <f t="shared" si="0"/>
        <v/>
      </c>
      <c r="BG6" s="435"/>
      <c r="BH6" s="435"/>
      <c r="BI6" s="446">
        <v>0</v>
      </c>
    </row>
    <row r="7" spans="1:61" s="4140" customFormat="1" ht="14.25" hidden="1" customHeight="1">
      <c r="A7" s="1261"/>
      <c r="B7" s="1261"/>
      <c r="C7" s="1261"/>
      <c r="D7" s="1261"/>
      <c r="E7" s="4413"/>
      <c r="F7" s="4413"/>
      <c r="G7" s="4413"/>
      <c r="H7" s="4413"/>
      <c r="I7" s="4415"/>
      <c r="J7" s="4414" t="str">
        <f>S5&amp;".1"</f>
        <v>.1</v>
      </c>
      <c r="K7" s="1261"/>
      <c r="L7" s="1264"/>
      <c r="M7" s="445"/>
      <c r="N7" s="445"/>
      <c r="O7" s="445"/>
      <c r="P7" s="4416"/>
      <c r="Q7" s="4416">
        <v>1</v>
      </c>
      <c r="R7" s="292"/>
      <c r="S7" s="964"/>
      <c r="T7" s="1317"/>
      <c r="U7" s="1302"/>
      <c r="V7" s="4444"/>
      <c r="W7" s="4444"/>
      <c r="X7" s="4444"/>
      <c r="Y7" s="4444"/>
      <c r="Z7" s="4444"/>
      <c r="AA7" s="4444"/>
      <c r="AB7" s="4444"/>
      <c r="AC7" s="4445"/>
      <c r="AD7" s="4443"/>
      <c r="AE7" s="4444"/>
      <c r="AF7" s="4444"/>
      <c r="AG7" s="4444"/>
      <c r="AH7" s="4444"/>
      <c r="AI7" s="4444"/>
      <c r="AJ7" s="4444"/>
      <c r="AK7" s="4444"/>
      <c r="AL7" s="4444"/>
      <c r="AM7" s="4444"/>
      <c r="AN7" s="4444"/>
      <c r="AO7" s="4444"/>
      <c r="AP7" s="4444"/>
      <c r="AQ7" s="4444"/>
      <c r="AR7" s="4444"/>
      <c r="AS7" s="4444"/>
      <c r="AT7" s="4444"/>
      <c r="AU7" s="4444"/>
      <c r="AV7" s="4444"/>
      <c r="AW7" s="4444"/>
      <c r="AX7" s="4444"/>
      <c r="AY7" s="4444"/>
      <c r="AZ7" s="4444"/>
      <c r="BA7" s="4444"/>
      <c r="BB7" s="4445"/>
      <c r="BC7" s="1303"/>
      <c r="BE7" s="435"/>
      <c r="BF7" s="435" t="str">
        <f t="shared" si="0"/>
        <v/>
      </c>
      <c r="BG7" s="435"/>
      <c r="BH7" s="435"/>
      <c r="BI7" s="446">
        <v>0</v>
      </c>
    </row>
    <row r="8" spans="1:61" ht="11.25" hidden="1" customHeight="1">
      <c r="A8" s="1281"/>
      <c r="B8" s="1281"/>
      <c r="C8" s="1281"/>
      <c r="D8" s="1281"/>
      <c r="E8" s="4413"/>
      <c r="F8" s="4413"/>
      <c r="G8" s="4413"/>
      <c r="H8" s="4413"/>
      <c r="I8" s="4415"/>
      <c r="J8" s="4415"/>
      <c r="K8" s="4414" t="e">
        <f>S4&amp;".1"</f>
        <v>#N/A</v>
      </c>
      <c r="L8" s="1282"/>
      <c r="P8" s="4416"/>
      <c r="Q8" s="4416"/>
      <c r="R8" s="4472">
        <v>1</v>
      </c>
      <c r="S8" s="4469" t="e">
        <f>$K8</f>
        <v>#N/A</v>
      </c>
      <c r="T8" s="4489"/>
      <c r="U8" s="236"/>
      <c r="V8" s="686"/>
      <c r="W8" s="1175"/>
      <c r="X8" s="686"/>
      <c r="Y8" s="1175"/>
      <c r="Z8" s="1651"/>
      <c r="AA8" s="1377" t="s">
        <v>65</v>
      </c>
      <c r="AB8" s="1651"/>
      <c r="AC8" s="1377" t="s">
        <v>65</v>
      </c>
      <c r="AD8" s="4337" t="s">
        <v>65</v>
      </c>
      <c r="AE8" s="4465"/>
      <c r="AF8" s="4369">
        <v>1</v>
      </c>
      <c r="AG8" s="4488"/>
      <c r="AH8" s="4284" t="s">
        <v>65</v>
      </c>
      <c r="AI8" s="4465"/>
      <c r="AJ8" s="4369">
        <v>1</v>
      </c>
      <c r="AK8" s="4479" t="s">
        <v>28</v>
      </c>
      <c r="AL8" s="4284" t="s">
        <v>65</v>
      </c>
      <c r="AM8" s="4346"/>
      <c r="AN8" s="4369">
        <v>1</v>
      </c>
      <c r="AO8" s="4492"/>
      <c r="AP8" s="4493" t="s">
        <v>65</v>
      </c>
      <c r="AQ8" s="247"/>
      <c r="AR8" s="1381">
        <v>1</v>
      </c>
      <c r="AS8" s="1384" t="s">
        <v>28</v>
      </c>
      <c r="AT8" s="686"/>
      <c r="AU8" s="1175"/>
      <c r="AV8" s="686"/>
      <c r="AW8" s="1175"/>
      <c r="AX8" s="1651"/>
      <c r="AY8" s="1377" t="s">
        <v>65</v>
      </c>
      <c r="AZ8" s="1651"/>
      <c r="BA8" s="1377" t="s">
        <v>65</v>
      </c>
      <c r="BB8" s="1266"/>
      <c r="BC8" s="4435" t="s">
        <v>522</v>
      </c>
      <c r="BE8" s="435"/>
      <c r="BF8" s="435" t="str">
        <f t="shared" si="0"/>
        <v/>
      </c>
      <c r="BG8" s="435"/>
      <c r="BH8" s="435"/>
      <c r="BI8" s="1073">
        <v>0</v>
      </c>
    </row>
    <row r="9" spans="1:61" ht="11.25" hidden="1" customHeight="1">
      <c r="A9" s="1281"/>
      <c r="B9" s="1281"/>
      <c r="C9" s="1281"/>
      <c r="D9" s="1281"/>
      <c r="E9" s="4413"/>
      <c r="F9" s="4413"/>
      <c r="G9" s="4413"/>
      <c r="H9" s="4413"/>
      <c r="I9" s="4415"/>
      <c r="J9" s="4415"/>
      <c r="K9" s="4414"/>
      <c r="L9" s="1282"/>
      <c r="P9" s="4416"/>
      <c r="Q9" s="4416"/>
      <c r="R9" s="4472"/>
      <c r="S9" s="4470"/>
      <c r="T9" s="4490"/>
      <c r="U9" s="236"/>
      <c r="V9" s="1311"/>
      <c r="W9" s="1414"/>
      <c r="X9" s="1311"/>
      <c r="Y9" s="1414"/>
      <c r="Z9" s="1311"/>
      <c r="AA9" s="1311"/>
      <c r="AB9" s="1311"/>
      <c r="AC9" s="1311"/>
      <c r="AD9" s="4338"/>
      <c r="AE9" s="4465"/>
      <c r="AF9" s="4369"/>
      <c r="AG9" s="4488"/>
      <c r="AH9" s="4284"/>
      <c r="AI9" s="4465"/>
      <c r="AJ9" s="4369"/>
      <c r="AK9" s="4479"/>
      <c r="AL9" s="4284"/>
      <c r="AM9" s="4351"/>
      <c r="AN9" s="4369"/>
      <c r="AO9" s="4492"/>
      <c r="AP9" s="4494"/>
      <c r="AQ9" s="252"/>
      <c r="AR9" s="351"/>
      <c r="AS9" s="351" t="s">
        <v>523</v>
      </c>
      <c r="AT9" s="1311"/>
      <c r="AU9" s="1414"/>
      <c r="AV9" s="1311"/>
      <c r="AW9" s="1414"/>
      <c r="AX9" s="1311"/>
      <c r="AY9" s="1311"/>
      <c r="AZ9" s="1311"/>
      <c r="BA9" s="1311"/>
      <c r="BB9" s="1315"/>
      <c r="BC9" s="4436"/>
      <c r="BE9" s="435"/>
      <c r="BF9" s="435"/>
      <c r="BG9" s="435"/>
      <c r="BH9" s="435"/>
      <c r="BI9" s="1073">
        <v>0</v>
      </c>
    </row>
    <row r="10" spans="1:61" ht="11.25" hidden="1" customHeight="1">
      <c r="A10" s="1281"/>
      <c r="B10" s="1281"/>
      <c r="C10" s="1281"/>
      <c r="D10" s="1281"/>
      <c r="E10" s="4413"/>
      <c r="F10" s="4413"/>
      <c r="G10" s="4413"/>
      <c r="H10" s="4413"/>
      <c r="I10" s="4415"/>
      <c r="J10" s="4415"/>
      <c r="K10" s="4414"/>
      <c r="L10" s="1282"/>
      <c r="P10" s="4416"/>
      <c r="Q10" s="4416"/>
      <c r="R10" s="4472"/>
      <c r="S10" s="4470"/>
      <c r="T10" s="4490"/>
      <c r="U10" s="236"/>
      <c r="V10" s="1311"/>
      <c r="W10" s="1414"/>
      <c r="X10" s="1311"/>
      <c r="Y10" s="1414"/>
      <c r="Z10" s="1311"/>
      <c r="AA10" s="1311"/>
      <c r="AB10" s="1311"/>
      <c r="AC10" s="1311"/>
      <c r="AD10" s="4338"/>
      <c r="AE10" s="4465"/>
      <c r="AF10" s="4369"/>
      <c r="AG10" s="4488"/>
      <c r="AH10" s="4284"/>
      <c r="AI10" s="4465"/>
      <c r="AJ10" s="4369"/>
      <c r="AK10" s="4479"/>
      <c r="AL10" s="4284"/>
      <c r="AM10" s="252"/>
      <c r="AN10" s="1418"/>
      <c r="AO10" s="1418" t="s">
        <v>524</v>
      </c>
      <c r="AP10" s="351"/>
      <c r="AQ10" s="351"/>
      <c r="AR10" s="351"/>
      <c r="AS10" s="1311"/>
      <c r="AT10" s="1311"/>
      <c r="AU10" s="1414"/>
      <c r="AV10" s="1311"/>
      <c r="AW10" s="1414"/>
      <c r="AX10" s="1311"/>
      <c r="AY10" s="1311"/>
      <c r="AZ10" s="1311"/>
      <c r="BA10" s="1311"/>
      <c r="BB10" s="1315"/>
      <c r="BC10" s="4436"/>
      <c r="BE10" s="435"/>
      <c r="BF10" s="435"/>
      <c r="BG10" s="435"/>
      <c r="BH10" s="435"/>
      <c r="BI10" s="1073">
        <v>0</v>
      </c>
    </row>
    <row r="11" spans="1:61" ht="11.25" hidden="1" customHeight="1">
      <c r="A11" s="1281"/>
      <c r="B11" s="1281"/>
      <c r="C11" s="1281"/>
      <c r="D11" s="1281"/>
      <c r="E11" s="4413"/>
      <c r="F11" s="4413"/>
      <c r="G11" s="4413"/>
      <c r="H11" s="4413"/>
      <c r="I11" s="4415"/>
      <c r="J11" s="4415"/>
      <c r="K11" s="4414"/>
      <c r="L11" s="1282"/>
      <c r="P11" s="4416"/>
      <c r="Q11" s="4416"/>
      <c r="R11" s="4472"/>
      <c r="S11" s="4470"/>
      <c r="T11" s="4490"/>
      <c r="U11" s="236"/>
      <c r="V11" s="1311"/>
      <c r="W11" s="1414"/>
      <c r="X11" s="1311"/>
      <c r="Y11" s="1414"/>
      <c r="Z11" s="1311"/>
      <c r="AA11" s="1311"/>
      <c r="AB11" s="1311"/>
      <c r="AC11" s="1311"/>
      <c r="AD11" s="4338"/>
      <c r="AE11" s="4465"/>
      <c r="AF11" s="4369"/>
      <c r="AG11" s="4488"/>
      <c r="AH11" s="4284"/>
      <c r="AI11" s="230"/>
      <c r="AJ11" s="350"/>
      <c r="AK11" s="249" t="s">
        <v>525</v>
      </c>
      <c r="AL11" s="1311"/>
      <c r="AM11" s="1311"/>
      <c r="AN11" s="1311"/>
      <c r="AO11" s="1311"/>
      <c r="AP11" s="1311"/>
      <c r="AQ11" s="1311"/>
      <c r="AR11" s="1311"/>
      <c r="AS11" s="1311"/>
      <c r="AT11" s="1311"/>
      <c r="AU11" s="1414"/>
      <c r="AV11" s="1311"/>
      <c r="AW11" s="1414"/>
      <c r="AX11" s="1311"/>
      <c r="AY11" s="1311"/>
      <c r="AZ11" s="1311"/>
      <c r="BA11" s="1311"/>
      <c r="BB11" s="1315"/>
      <c r="BC11" s="4436"/>
      <c r="BE11" s="435"/>
      <c r="BF11" s="435"/>
      <c r="BG11" s="435"/>
      <c r="BH11" s="435"/>
      <c r="BI11" s="1073">
        <v>0</v>
      </c>
    </row>
    <row r="12" spans="1:61" ht="11.25" hidden="1" customHeight="1">
      <c r="A12" s="1281"/>
      <c r="B12" s="1281"/>
      <c r="C12" s="1281"/>
      <c r="D12" s="1281"/>
      <c r="E12" s="4413"/>
      <c r="F12" s="4413"/>
      <c r="G12" s="4413"/>
      <c r="H12" s="4413"/>
      <c r="I12" s="4415"/>
      <c r="J12" s="4415"/>
      <c r="K12" s="4414"/>
      <c r="L12" s="1282"/>
      <c r="P12" s="4416"/>
      <c r="Q12" s="4416"/>
      <c r="R12" s="4472"/>
      <c r="S12" s="4471"/>
      <c r="T12" s="4491"/>
      <c r="U12" s="236"/>
      <c r="V12" s="1311"/>
      <c r="W12" s="1312" t="str">
        <f>Z8&amp;"-"&amp;AB8</f>
        <v>-</v>
      </c>
      <c r="X12" s="1311"/>
      <c r="Y12" s="1312" t="str">
        <f>AB8&amp;"-"&amp;AD8</f>
        <v>-да</v>
      </c>
      <c r="Z12" s="1311"/>
      <c r="AA12" s="1311"/>
      <c r="AB12" s="1311"/>
      <c r="AC12" s="1311"/>
      <c r="AD12" s="4289"/>
      <c r="AE12" s="248"/>
      <c r="AF12" s="250"/>
      <c r="AG12" s="351" t="s">
        <v>526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436"/>
      <c r="BE12" s="435"/>
      <c r="BF12" s="435" t="str">
        <f t="shared" ref="BF12:BF18" si="1">IF(T12="","",T12)</f>
        <v/>
      </c>
      <c r="BG12" s="435"/>
      <c r="BH12" s="435"/>
      <c r="BI12" s="1073">
        <v>0</v>
      </c>
    </row>
    <row r="13" spans="1:61" ht="11.25" hidden="1" customHeight="1">
      <c r="A13" s="1281"/>
      <c r="B13" s="1281"/>
      <c r="C13" s="1281"/>
      <c r="D13" s="1281"/>
      <c r="E13" s="4413"/>
      <c r="F13" s="4413"/>
      <c r="G13" s="4413"/>
      <c r="H13" s="4413"/>
      <c r="I13" s="4415"/>
      <c r="J13" s="4414"/>
      <c r="K13" s="1281"/>
      <c r="L13" s="1282"/>
      <c r="P13" s="4416"/>
      <c r="Q13" s="4416"/>
      <c r="R13" s="291"/>
      <c r="S13" s="1196"/>
      <c r="T13" s="223" t="s">
        <v>489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437"/>
      <c r="BE13" s="435"/>
      <c r="BF13" s="435" t="str">
        <f t="shared" si="1"/>
        <v>Добавить строку</v>
      </c>
      <c r="BG13" s="435"/>
      <c r="BH13" s="435"/>
      <c r="BI13" s="1073">
        <v>0</v>
      </c>
    </row>
    <row r="14" spans="1:61" s="4140" customFormat="1" ht="14.25" hidden="1" customHeight="1">
      <c r="A14" s="1261"/>
      <c r="B14" s="1261"/>
      <c r="C14" s="1261"/>
      <c r="D14" s="1261"/>
      <c r="E14" s="4413"/>
      <c r="F14" s="4413"/>
      <c r="G14" s="4413"/>
      <c r="H14" s="4413"/>
      <c r="I14" s="4414"/>
      <c r="J14" s="1261"/>
      <c r="K14" s="1261"/>
      <c r="L14" s="1264"/>
      <c r="M14" s="445"/>
      <c r="N14" s="445"/>
      <c r="O14" s="445"/>
      <c r="P14" s="441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40" customFormat="1" ht="14.25" hidden="1" customHeight="1">
      <c r="A15" s="1261"/>
      <c r="B15" s="1261"/>
      <c r="C15" s="1261"/>
      <c r="D15" s="1261"/>
      <c r="E15" s="4413"/>
      <c r="F15" s="4413"/>
      <c r="G15" s="4413"/>
      <c r="H15" s="441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40" customFormat="1" ht="14.25" hidden="1" customHeight="1">
      <c r="A16" s="1261"/>
      <c r="B16" s="1261"/>
      <c r="C16" s="1261"/>
      <c r="D16" s="1232"/>
      <c r="E16" s="4413"/>
      <c r="F16" s="4413"/>
      <c r="G16" s="441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40" customFormat="1" ht="14.25" hidden="1" customHeight="1">
      <c r="A17" s="1261"/>
      <c r="B17" s="1261"/>
      <c r="C17" s="1232"/>
      <c r="D17" s="1232"/>
      <c r="E17" s="4413"/>
      <c r="F17" s="4412"/>
      <c r="G17" s="1232"/>
      <c r="H17" s="1232"/>
      <c r="I17" s="1232"/>
      <c r="J17" s="1232"/>
      <c r="K17" s="1232"/>
      <c r="L17" s="138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40" customFormat="1" ht="14.25" hidden="1" customHeight="1">
      <c r="A18" s="1261"/>
      <c r="B18" s="1261"/>
      <c r="C18" s="1261"/>
      <c r="D18" s="1261"/>
      <c r="E18" s="4412"/>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65</v>
      </c>
      <c r="AZ20" s="1653"/>
      <c r="BA20" s="1378" t="s">
        <v>65</v>
      </c>
      <c r="BI20" s="1073">
        <v>0</v>
      </c>
    </row>
    <row r="21" spans="1:61" ht="14.25" hidden="1" customHeight="1">
      <c r="BD21" s="431"/>
      <c r="BE21" s="431"/>
      <c r="BF21" s="431"/>
      <c r="BG21" s="431"/>
      <c r="BH21" s="431"/>
      <c r="BI21" s="1073">
        <v>0</v>
      </c>
    </row>
    <row r="22" spans="1:61" ht="14.25" hidden="1" customHeight="1">
      <c r="O22" s="1285" t="s">
        <v>435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199" customFormat="1" ht="14.25" hidden="1" customHeight="1">
      <c r="M24" s="1426"/>
      <c r="N24" s="1426"/>
      <c r="O24" s="1427" t="s">
        <v>436</v>
      </c>
      <c r="P24" s="1426"/>
      <c r="Q24" s="1428"/>
      <c r="R24" s="1428"/>
      <c r="AA24" s="1425" t="s">
        <v>438</v>
      </c>
      <c r="AC24" s="1425" t="s">
        <v>439</v>
      </c>
      <c r="AD24" s="1425" t="s">
        <v>490</v>
      </c>
      <c r="AH24" s="1425" t="s">
        <v>490</v>
      </c>
      <c r="AK24" s="1425" t="s">
        <v>527</v>
      </c>
      <c r="AL24" s="1425" t="s">
        <v>490</v>
      </c>
      <c r="AP24" s="1425" t="s">
        <v>490</v>
      </c>
      <c r="AY24" s="1425" t="s">
        <v>438</v>
      </c>
      <c r="BA24" s="1425" t="s">
        <v>439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39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4393"/>
      <c r="U28" s="4393"/>
      <c r="V28" s="4393"/>
      <c r="W28" s="4393"/>
      <c r="X28" s="4393"/>
      <c r="Y28" s="4393"/>
      <c r="Z28" s="4393"/>
      <c r="AA28" s="4393"/>
      <c r="AB28" s="4393"/>
      <c r="AC28" s="4393"/>
      <c r="AD28" s="4393"/>
      <c r="AE28" s="4393"/>
      <c r="AF28" s="4393"/>
      <c r="AG28" s="4393"/>
      <c r="AH28" s="4393"/>
      <c r="AI28" s="4393"/>
      <c r="AJ28" s="4393"/>
      <c r="AK28" s="4393"/>
      <c r="AL28" s="4393"/>
      <c r="AM28" s="4393"/>
      <c r="AN28" s="4393"/>
      <c r="AO28" s="4393"/>
      <c r="AP28" s="4393"/>
      <c r="AQ28" s="4393"/>
      <c r="AR28" s="4393"/>
      <c r="AS28" s="4393"/>
      <c r="AT28" s="4393"/>
      <c r="AU28" s="4393"/>
      <c r="AV28" s="4393"/>
      <c r="AW28" s="4393"/>
      <c r="AX28" s="4393"/>
      <c r="AY28" s="4393"/>
      <c r="AZ28" s="4393"/>
      <c r="BA28" s="1161"/>
      <c r="BI28" s="1073">
        <v>14</v>
      </c>
    </row>
    <row r="29" spans="1:61" ht="14.65" customHeight="1">
      <c r="Q29" s="227"/>
      <c r="R29" s="311"/>
      <c r="S29" s="4365" t="str">
        <f>IF(org=0,"Не определено",org)</f>
        <v>АО "Мурманэнергосбыт"</v>
      </c>
      <c r="T29" s="4365"/>
      <c r="U29" s="4365"/>
      <c r="V29" s="4365"/>
      <c r="W29" s="4365"/>
      <c r="X29" s="4365"/>
      <c r="Y29" s="4365"/>
      <c r="Z29" s="4365"/>
      <c r="AA29" s="4365"/>
      <c r="AB29" s="4365"/>
      <c r="AC29" s="4365"/>
      <c r="AD29" s="4365"/>
      <c r="AE29" s="4365"/>
      <c r="AF29" s="4365"/>
      <c r="AG29" s="4365"/>
      <c r="AH29" s="4365"/>
      <c r="AI29" s="4365"/>
      <c r="AJ29" s="4365"/>
      <c r="AK29" s="4365"/>
      <c r="AL29" s="4365"/>
      <c r="AM29" s="4365"/>
      <c r="AN29" s="4365"/>
      <c r="AO29" s="4365"/>
      <c r="AP29" s="4365"/>
      <c r="AQ29" s="4365"/>
      <c r="AR29" s="4365"/>
      <c r="AS29" s="4365"/>
      <c r="AT29" s="4365"/>
      <c r="AU29" s="4365"/>
      <c r="AV29" s="4365"/>
      <c r="AW29" s="4365"/>
      <c r="AX29" s="4365"/>
      <c r="AY29" s="4365"/>
      <c r="AZ29" s="4365"/>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49" customFormat="1" ht="25.5" customHeight="1">
      <c r="A31" s="1286"/>
      <c r="B31" s="1286"/>
      <c r="C31" s="1286"/>
      <c r="D31" s="1286"/>
      <c r="E31" s="1286"/>
      <c r="F31" s="1286"/>
      <c r="G31" s="1286"/>
      <c r="H31" s="1286"/>
      <c r="I31" s="1286"/>
      <c r="J31" s="1286"/>
      <c r="K31" s="1286"/>
      <c r="L31" s="1287"/>
      <c r="M31" s="1286"/>
      <c r="N31" s="1286"/>
      <c r="O31" s="1286"/>
      <c r="P31" s="1286"/>
      <c r="Q31" s="1286"/>
      <c r="S31" s="4403" t="s">
        <v>42</v>
      </c>
      <c r="T31" s="4403"/>
      <c r="U31" s="1290"/>
      <c r="V31" s="4405" t="str">
        <f>IF(TITLE_NAME_OR_PR_CHANGE="",IF(TITLE_NAME_OR_PR="","",TITLE_NAME_OR_PR),TITLE_NAME_OR_PR_CHANGE)</f>
        <v>Комитет по тарифному регулированию Мурманской области</v>
      </c>
      <c r="W31" s="4405"/>
      <c r="X31" s="4405"/>
      <c r="Y31" s="4405"/>
      <c r="Z31" s="4405"/>
      <c r="AA31" s="4405"/>
      <c r="AB31" s="4405"/>
      <c r="AC31" s="262"/>
      <c r="AD31" s="4405" t="str">
        <f>IF(TITLE_NAME_OR_PR_CHANGE="",IF(TITLE_NAME_OR_PR="","",TITLE_NAME_OR_PR),TITLE_NAME_OR_PR_CHANGE)</f>
        <v>Комитет по тарифному регулированию Мурманской области</v>
      </c>
      <c r="AE31" s="4405"/>
      <c r="AF31" s="4405"/>
      <c r="AG31" s="4405"/>
      <c r="AH31" s="4405"/>
      <c r="AI31" s="4405"/>
      <c r="AJ31" s="4405"/>
      <c r="AK31" s="4405"/>
      <c r="AL31" s="4405"/>
      <c r="AM31" s="4405"/>
      <c r="AN31" s="4405"/>
      <c r="AO31" s="4405"/>
      <c r="AP31" s="4405"/>
      <c r="AQ31" s="4405"/>
      <c r="AR31" s="4405"/>
      <c r="AS31" s="4405"/>
      <c r="AT31" s="4405"/>
      <c r="AU31" s="4405"/>
      <c r="AV31" s="4405"/>
      <c r="AW31" s="4405"/>
      <c r="AX31" s="4405"/>
      <c r="AY31" s="4405"/>
      <c r="AZ31" s="4405"/>
      <c r="BA31" s="262"/>
      <c r="BB31" s="262"/>
      <c r="BC31" s="216"/>
      <c r="BD31" s="303"/>
      <c r="BE31" s="303"/>
      <c r="BF31" s="303"/>
      <c r="BG31" s="303"/>
      <c r="BH31" s="303"/>
      <c r="BI31" s="353">
        <v>0</v>
      </c>
    </row>
    <row r="32" spans="1:61" s="4149" customFormat="1" ht="18.75" customHeight="1">
      <c r="A32" s="1286"/>
      <c r="B32" s="1286"/>
      <c r="C32" s="1286"/>
      <c r="D32" s="1286"/>
      <c r="E32" s="1286"/>
      <c r="F32" s="1286"/>
      <c r="G32" s="1286"/>
      <c r="H32" s="1286"/>
      <c r="I32" s="1286"/>
      <c r="J32" s="1286"/>
      <c r="K32" s="1286"/>
      <c r="L32" s="1287"/>
      <c r="M32" s="1286"/>
      <c r="N32" s="1286"/>
      <c r="O32" s="1286"/>
      <c r="P32" s="1286"/>
      <c r="Q32" s="1286"/>
      <c r="S32" s="4403" t="s">
        <v>441</v>
      </c>
      <c r="T32" s="4403"/>
      <c r="U32" s="1290"/>
      <c r="V32" s="4404">
        <f>IF(TITLE_DATE_PR_CHANGE="",IF(TITLE_DATE_PR="","",TITLE_DATE_PR),TITLE_DATE_PR_CHANGE)</f>
        <v>45646</v>
      </c>
      <c r="W32" s="4404"/>
      <c r="X32" s="4404"/>
      <c r="Y32" s="4404"/>
      <c r="Z32" s="4404"/>
      <c r="AA32" s="4404"/>
      <c r="AB32" s="4404"/>
      <c r="AC32" s="262"/>
      <c r="AD32" s="4404">
        <f>IF(TITLE_DATE_PR_CHANGE="",IF(TITLE_DATE_PR="","",TITLE_DATE_PR),TITLE_DATE_PR_CHANGE)</f>
        <v>45646</v>
      </c>
      <c r="AE32" s="4404"/>
      <c r="AF32" s="4404"/>
      <c r="AG32" s="4404"/>
      <c r="AH32" s="4404"/>
      <c r="AI32" s="4404"/>
      <c r="AJ32" s="4404"/>
      <c r="AK32" s="4404"/>
      <c r="AL32" s="4404"/>
      <c r="AM32" s="4404"/>
      <c r="AN32" s="4404"/>
      <c r="AO32" s="4404"/>
      <c r="AP32" s="4404"/>
      <c r="AQ32" s="4404"/>
      <c r="AR32" s="4404"/>
      <c r="AS32" s="4404"/>
      <c r="AT32" s="4404"/>
      <c r="AU32" s="4404"/>
      <c r="AV32" s="4404"/>
      <c r="AW32" s="4404"/>
      <c r="AX32" s="4404"/>
      <c r="AY32" s="4404"/>
      <c r="AZ32" s="4404"/>
      <c r="BA32" s="262"/>
      <c r="BB32" s="262"/>
      <c r="BC32" s="216"/>
      <c r="BD32" s="303"/>
      <c r="BE32" s="303"/>
      <c r="BF32" s="303"/>
      <c r="BG32" s="303"/>
      <c r="BH32" s="303"/>
      <c r="BI32" s="353">
        <v>0</v>
      </c>
    </row>
    <row r="33" spans="1:61" s="4149" customFormat="1" ht="18.75" customHeight="1">
      <c r="A33" s="1286"/>
      <c r="B33" s="1286"/>
      <c r="C33" s="1286"/>
      <c r="D33" s="1286"/>
      <c r="E33" s="1286"/>
      <c r="F33" s="1286"/>
      <c r="G33" s="1286"/>
      <c r="H33" s="1286"/>
      <c r="I33" s="1286"/>
      <c r="J33" s="1286"/>
      <c r="K33" s="1286"/>
      <c r="L33" s="1287"/>
      <c r="M33" s="1286"/>
      <c r="N33" s="1286"/>
      <c r="O33" s="1286"/>
      <c r="P33" s="1286"/>
      <c r="Q33" s="1286"/>
      <c r="S33" s="4403" t="s">
        <v>442</v>
      </c>
      <c r="T33" s="4403"/>
      <c r="U33" s="1290"/>
      <c r="V33" s="4405" t="str">
        <f>IF(TITLE_NUMBER_PR_CHANGE="",IF(TITLE_NUMBER_PR="","",TITLE_NUMBER_PR),TITLE_NUMBER_PR_CHANGE)</f>
        <v>51/110</v>
      </c>
      <c r="W33" s="4405"/>
      <c r="X33" s="4405"/>
      <c r="Y33" s="4405"/>
      <c r="Z33" s="4405"/>
      <c r="AA33" s="4405"/>
      <c r="AB33" s="4405"/>
      <c r="AC33" s="262"/>
      <c r="AD33" s="4405" t="str">
        <f>IF(TITLE_NUMBER_PR_CHANGE="",IF(TITLE_NUMBER_PR="","",TITLE_NUMBER_PR),TITLE_NUMBER_PR_CHANGE)</f>
        <v>51/110</v>
      </c>
      <c r="AE33" s="4405"/>
      <c r="AF33" s="4405"/>
      <c r="AG33" s="4405"/>
      <c r="AH33" s="4405"/>
      <c r="AI33" s="4405"/>
      <c r="AJ33" s="4405"/>
      <c r="AK33" s="4405"/>
      <c r="AL33" s="4405"/>
      <c r="AM33" s="4405"/>
      <c r="AN33" s="4405"/>
      <c r="AO33" s="4405"/>
      <c r="AP33" s="4405"/>
      <c r="AQ33" s="4405"/>
      <c r="AR33" s="4405"/>
      <c r="AS33" s="4405"/>
      <c r="AT33" s="4405"/>
      <c r="AU33" s="4405"/>
      <c r="AV33" s="4405"/>
      <c r="AW33" s="4405"/>
      <c r="AX33" s="4405"/>
      <c r="AY33" s="4405"/>
      <c r="AZ33" s="4405"/>
      <c r="BA33" s="262"/>
      <c r="BB33" s="262"/>
      <c r="BC33" s="216"/>
      <c r="BD33" s="303"/>
      <c r="BE33" s="303"/>
      <c r="BF33" s="303"/>
      <c r="BG33" s="303"/>
      <c r="BH33" s="303"/>
      <c r="BI33" s="353">
        <v>0</v>
      </c>
    </row>
    <row r="34" spans="1:61" s="4149" customFormat="1" ht="18.75" customHeight="1">
      <c r="A34" s="1286"/>
      <c r="B34" s="1286"/>
      <c r="C34" s="1286"/>
      <c r="D34" s="1286"/>
      <c r="E34" s="1286"/>
      <c r="F34" s="1286"/>
      <c r="G34" s="1286"/>
      <c r="H34" s="1286"/>
      <c r="I34" s="1286"/>
      <c r="J34" s="1286"/>
      <c r="K34" s="1286"/>
      <c r="L34" s="1287"/>
      <c r="M34" s="1286"/>
      <c r="N34" s="1286"/>
      <c r="O34" s="1286"/>
      <c r="P34" s="1286"/>
      <c r="Q34" s="1286"/>
      <c r="S34" s="4403" t="s">
        <v>44</v>
      </c>
      <c r="T34" s="4403"/>
      <c r="U34" s="1290"/>
      <c r="V34" s="4405" t="str">
        <f>IF(TITLE_IST_PUB_CHANGE="",IF(TITLE_IST_PUB="","",TITLE_IST_PUB),TITLE_IST_PUB_CHANGE)</f>
        <v>https://npa.gov-murman.ru/bitrix/components/b1team/govmurman.element.file/download.php?ID=537820&amp;FID=814582</v>
      </c>
      <c r="W34" s="4405"/>
      <c r="X34" s="4405"/>
      <c r="Y34" s="4405"/>
      <c r="Z34" s="4405"/>
      <c r="AA34" s="4405"/>
      <c r="AB34" s="4405"/>
      <c r="AC34" s="262"/>
      <c r="AD34" s="4405" t="str">
        <f>IF(TITLE_IST_PUB_CHANGE="",IF(TITLE_IST_PUB="","",TITLE_IST_PUB),TITLE_IST_PUB_CHANGE)</f>
        <v>https://npa.gov-murman.ru/bitrix/components/b1team/govmurman.element.file/download.php?ID=537820&amp;FID=814582</v>
      </c>
      <c r="AE34" s="4405"/>
      <c r="AF34" s="4405"/>
      <c r="AG34" s="4405"/>
      <c r="AH34" s="4405"/>
      <c r="AI34" s="4405"/>
      <c r="AJ34" s="4405"/>
      <c r="AK34" s="4405"/>
      <c r="AL34" s="4405"/>
      <c r="AM34" s="4405"/>
      <c r="AN34" s="4405"/>
      <c r="AO34" s="4405"/>
      <c r="AP34" s="4405"/>
      <c r="AQ34" s="4405"/>
      <c r="AR34" s="4405"/>
      <c r="AS34" s="4405"/>
      <c r="AT34" s="4405"/>
      <c r="AU34" s="4405"/>
      <c r="AV34" s="4405"/>
      <c r="AW34" s="4405"/>
      <c r="AX34" s="4405"/>
      <c r="AY34" s="4405"/>
      <c r="AZ34" s="440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49" customFormat="1" ht="18.75" hidden="1" customHeight="1">
      <c r="A36" s="1286"/>
      <c r="B36" s="1286"/>
      <c r="C36" s="1286"/>
      <c r="D36" s="1286"/>
      <c r="E36" s="1286"/>
      <c r="F36" s="1286"/>
      <c r="G36" s="1286"/>
      <c r="H36" s="1286"/>
      <c r="I36" s="1286"/>
      <c r="J36" s="1286"/>
      <c r="K36" s="1286"/>
      <c r="L36" s="1287"/>
      <c r="M36" s="1286"/>
      <c r="N36" s="1286"/>
      <c r="O36" s="1286"/>
      <c r="P36" s="1286"/>
      <c r="Q36" s="1286"/>
      <c r="S36" s="4403" t="s">
        <v>441</v>
      </c>
      <c r="T36" s="4403"/>
      <c r="U36" s="1290"/>
      <c r="V36" s="4404">
        <f>IF(TITLE_DATE_PR_CHANGE="",IF(TITLE_DATE_PR="","",TITLE_DATE_PR),TITLE_DATE_PR_CHANGE)</f>
        <v>45646</v>
      </c>
      <c r="W36" s="4404"/>
      <c r="X36" s="4404"/>
      <c r="Y36" s="4404"/>
      <c r="Z36" s="4404"/>
      <c r="AA36" s="4404"/>
      <c r="AB36" s="4404"/>
      <c r="AC36" s="262"/>
      <c r="AD36" s="4404">
        <f>IF(TITLE_DATE_PR_CHANGE="",IF(TITLE_DATE_PR="","",TITLE_DATE_PR),TITLE_DATE_PR_CHANGE)</f>
        <v>45646</v>
      </c>
      <c r="AE36" s="4404"/>
      <c r="AF36" s="4404"/>
      <c r="AG36" s="4404"/>
      <c r="AH36" s="4404"/>
      <c r="AI36" s="4404"/>
      <c r="AJ36" s="4404"/>
      <c r="AK36" s="4404"/>
      <c r="AL36" s="4404"/>
      <c r="AM36" s="4404"/>
      <c r="AN36" s="4404"/>
      <c r="AO36" s="4404"/>
      <c r="AP36" s="4404"/>
      <c r="AQ36" s="4404"/>
      <c r="AR36" s="4404"/>
      <c r="AS36" s="4404"/>
      <c r="AT36" s="4404"/>
      <c r="AU36" s="4404"/>
      <c r="AV36" s="4404"/>
      <c r="AW36" s="4404"/>
      <c r="AX36" s="4404"/>
      <c r="AY36" s="4404"/>
      <c r="AZ36" s="4404"/>
      <c r="BA36" s="262"/>
      <c r="BB36" s="262"/>
      <c r="BC36" s="216"/>
      <c r="BD36" s="303"/>
      <c r="BE36" s="303"/>
      <c r="BF36" s="303"/>
      <c r="BG36" s="303"/>
      <c r="BH36" s="303"/>
      <c r="BI36" s="353">
        <v>0</v>
      </c>
    </row>
    <row r="37" spans="1:61" s="4149" customFormat="1" ht="18.75" hidden="1" customHeight="1">
      <c r="A37" s="1286"/>
      <c r="B37" s="1286"/>
      <c r="C37" s="1286"/>
      <c r="D37" s="1286"/>
      <c r="E37" s="1286"/>
      <c r="F37" s="1286"/>
      <c r="G37" s="1286"/>
      <c r="H37" s="1286"/>
      <c r="I37" s="1286"/>
      <c r="J37" s="1286"/>
      <c r="K37" s="1286"/>
      <c r="L37" s="1287"/>
      <c r="M37" s="1286"/>
      <c r="N37" s="1286"/>
      <c r="O37" s="1286"/>
      <c r="P37" s="1286"/>
      <c r="Q37" s="1286"/>
      <c r="S37" s="4403" t="s">
        <v>442</v>
      </c>
      <c r="T37" s="4403"/>
      <c r="U37" s="1290"/>
      <c r="V37" s="4405" t="str">
        <f>IF(TITLE_NUMBER_PR_CHANGE="",IF(TITLE_NUMBER_PR="","",TITLE_NUMBER_PR),TITLE_NUMBER_PR_CHANGE)</f>
        <v>51/110</v>
      </c>
      <c r="W37" s="4405"/>
      <c r="X37" s="4405"/>
      <c r="Y37" s="4405"/>
      <c r="Z37" s="4405"/>
      <c r="AA37" s="4405"/>
      <c r="AB37" s="4405"/>
      <c r="AC37" s="262"/>
      <c r="AD37" s="4405" t="str">
        <f>IF(TITLE_NUMBER_PR_CHANGE="",IF(TITLE_NUMBER_PR="","",TITLE_NUMBER_PR),TITLE_NUMBER_PR_CHANGE)</f>
        <v>51/110</v>
      </c>
      <c r="AE37" s="4405"/>
      <c r="AF37" s="4405"/>
      <c r="AG37" s="4405"/>
      <c r="AH37" s="4405"/>
      <c r="AI37" s="4405"/>
      <c r="AJ37" s="4405"/>
      <c r="AK37" s="4405"/>
      <c r="AL37" s="4405"/>
      <c r="AM37" s="4405"/>
      <c r="AN37" s="4405"/>
      <c r="AO37" s="4405"/>
      <c r="AP37" s="4405"/>
      <c r="AQ37" s="4405"/>
      <c r="AR37" s="4405"/>
      <c r="AS37" s="4405"/>
      <c r="AT37" s="4405"/>
      <c r="AU37" s="4405"/>
      <c r="AV37" s="4405"/>
      <c r="AW37" s="4405"/>
      <c r="AX37" s="4405"/>
      <c r="AY37" s="4405"/>
      <c r="AZ37" s="4405"/>
      <c r="BA37" s="262"/>
      <c r="BB37" s="262"/>
      <c r="BC37" s="216"/>
      <c r="BD37" s="303"/>
      <c r="BE37" s="303"/>
      <c r="BF37" s="303"/>
      <c r="BG37" s="303"/>
      <c r="BH37" s="303"/>
      <c r="BI37" s="353">
        <v>0</v>
      </c>
    </row>
    <row r="38" spans="1:61" s="414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445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445</v>
      </c>
      <c r="BD38" s="303"/>
      <c r="BE38" s="303"/>
      <c r="BF38" s="303"/>
      <c r="BG38" s="303"/>
      <c r="BH38" s="303"/>
      <c r="BI38" s="353">
        <v>0</v>
      </c>
    </row>
    <row r="39" spans="1:61" ht="14.65" customHeight="1">
      <c r="Q39" s="227"/>
      <c r="R39" s="311"/>
      <c r="S39" s="1193"/>
      <c r="T39" s="298"/>
      <c r="U39" s="1162"/>
      <c r="V39" s="4424"/>
      <c r="W39" s="4424"/>
      <c r="X39" s="4424"/>
      <c r="Y39" s="4424"/>
      <c r="Z39" s="4424"/>
      <c r="AA39" s="4424"/>
      <c r="AB39" s="4424"/>
      <c r="AC39" s="4424"/>
      <c r="AD39" s="4424"/>
      <c r="AE39" s="4424"/>
      <c r="AF39" s="4424"/>
      <c r="AG39" s="4424"/>
      <c r="AH39" s="4424"/>
      <c r="AI39" s="4424"/>
      <c r="AJ39" s="4424"/>
      <c r="AK39" s="4424"/>
      <c r="AL39" s="4424"/>
      <c r="AM39" s="4424"/>
      <c r="AN39" s="4424"/>
      <c r="AO39" s="4424"/>
      <c r="AP39" s="4424"/>
      <c r="AQ39" s="4424"/>
      <c r="AR39" s="4424"/>
      <c r="AS39" s="4424"/>
      <c r="AT39" s="4424"/>
      <c r="AU39" s="4424"/>
      <c r="AV39" s="4424"/>
      <c r="AW39" s="4424"/>
      <c r="AX39" s="4424"/>
      <c r="AY39" s="4424"/>
      <c r="AZ39" s="4424"/>
      <c r="BA39" s="4424"/>
      <c r="BI39" s="1073">
        <v>14</v>
      </c>
    </row>
    <row r="40" spans="1:61" ht="14.65" customHeight="1">
      <c r="Q40" s="227"/>
      <c r="R40" s="311"/>
      <c r="S40" s="4274" t="s">
        <v>321</v>
      </c>
      <c r="T40" s="4274"/>
      <c r="U40" s="4274"/>
      <c r="V40" s="4274"/>
      <c r="W40" s="4274"/>
      <c r="X40" s="4274"/>
      <c r="Y40" s="4274"/>
      <c r="Z40" s="4274"/>
      <c r="AA40" s="4274"/>
      <c r="AB40" s="4274"/>
      <c r="AC40" s="4274"/>
      <c r="AD40" s="4274"/>
      <c r="AE40" s="4274"/>
      <c r="AF40" s="4274"/>
      <c r="AG40" s="4274"/>
      <c r="AH40" s="4274"/>
      <c r="AI40" s="4274"/>
      <c r="AJ40" s="4274"/>
      <c r="AK40" s="4274"/>
      <c r="AL40" s="4274"/>
      <c r="AM40" s="4274"/>
      <c r="AN40" s="4274"/>
      <c r="AO40" s="4274"/>
      <c r="AP40" s="4274"/>
      <c r="AQ40" s="4274"/>
      <c r="AR40" s="4274"/>
      <c r="AS40" s="4274"/>
      <c r="AT40" s="4274"/>
      <c r="AU40" s="4274"/>
      <c r="AV40" s="4274"/>
      <c r="AW40" s="4274"/>
      <c r="AX40" s="4274"/>
      <c r="AY40" s="4274"/>
      <c r="AZ40" s="4274"/>
      <c r="BA40" s="4274"/>
      <c r="BB40" s="4274"/>
      <c r="BC40" s="4274" t="s">
        <v>322</v>
      </c>
      <c r="BI40" s="1073">
        <v>14</v>
      </c>
    </row>
    <row r="41" spans="1:61" ht="14.65" customHeight="1">
      <c r="Q41" s="227"/>
      <c r="R41" s="311"/>
      <c r="S41" s="4425" t="s">
        <v>92</v>
      </c>
      <c r="T41" s="4373" t="s">
        <v>528</v>
      </c>
      <c r="U41" s="237"/>
      <c r="V41" s="4426" t="s">
        <v>447</v>
      </c>
      <c r="W41" s="4427"/>
      <c r="X41" s="4427"/>
      <c r="Y41" s="4427"/>
      <c r="Z41" s="4427"/>
      <c r="AA41" s="4427"/>
      <c r="AB41" s="4428"/>
      <c r="AC41" s="4429" t="s">
        <v>448</v>
      </c>
      <c r="AD41" s="4458" t="s">
        <v>529</v>
      </c>
      <c r="AE41" s="4442"/>
      <c r="AF41" s="4442"/>
      <c r="AG41" s="4459"/>
      <c r="AH41" s="4458" t="s">
        <v>530</v>
      </c>
      <c r="AI41" s="4442"/>
      <c r="AJ41" s="4442"/>
      <c r="AK41" s="4459"/>
      <c r="AL41" s="4458" t="s">
        <v>531</v>
      </c>
      <c r="AM41" s="4442"/>
      <c r="AN41" s="4442"/>
      <c r="AO41" s="4459"/>
      <c r="AP41" s="4458" t="s">
        <v>532</v>
      </c>
      <c r="AQ41" s="4442"/>
      <c r="AR41" s="4442"/>
      <c r="AS41" s="4459"/>
      <c r="AT41" s="4426" t="s">
        <v>447</v>
      </c>
      <c r="AU41" s="4427"/>
      <c r="AV41" s="4427"/>
      <c r="AW41" s="4427"/>
      <c r="AX41" s="4427"/>
      <c r="AY41" s="4427"/>
      <c r="AZ41" s="4428"/>
      <c r="BA41" s="4429" t="s">
        <v>448</v>
      </c>
      <c r="BB41" s="4432" t="s">
        <v>450</v>
      </c>
      <c r="BC41" s="4274"/>
      <c r="BI41" s="1073">
        <v>14</v>
      </c>
    </row>
    <row r="42" spans="1:61" ht="35.65" customHeight="1">
      <c r="Q42" s="227"/>
      <c r="R42" s="311"/>
      <c r="S42" s="4425"/>
      <c r="T42" s="4373"/>
      <c r="U42" s="953"/>
      <c r="V42" s="4346" t="s">
        <v>533</v>
      </c>
      <c r="W42" s="4347"/>
      <c r="X42" s="4346" t="s">
        <v>534</v>
      </c>
      <c r="Y42" s="4347"/>
      <c r="Z42" s="4346" t="s">
        <v>535</v>
      </c>
      <c r="AA42" s="4454"/>
      <c r="AB42" s="4347"/>
      <c r="AC42" s="4430"/>
      <c r="AD42" s="4460"/>
      <c r="AE42" s="4461"/>
      <c r="AF42" s="4461"/>
      <c r="AG42" s="4473"/>
      <c r="AH42" s="4460"/>
      <c r="AI42" s="4461"/>
      <c r="AJ42" s="4461"/>
      <c r="AK42" s="4473"/>
      <c r="AL42" s="4460"/>
      <c r="AM42" s="4461"/>
      <c r="AN42" s="4461"/>
      <c r="AO42" s="4473"/>
      <c r="AP42" s="4460"/>
      <c r="AQ42" s="4461"/>
      <c r="AR42" s="4461"/>
      <c r="AS42" s="4473"/>
      <c r="AT42" s="4346" t="s">
        <v>533</v>
      </c>
      <c r="AU42" s="4347"/>
      <c r="AV42" s="4346" t="s">
        <v>534</v>
      </c>
      <c r="AW42" s="4347"/>
      <c r="AX42" s="4346" t="s">
        <v>535</v>
      </c>
      <c r="AY42" s="4454"/>
      <c r="AZ42" s="4347"/>
      <c r="BA42" s="4430"/>
      <c r="BB42" s="4433"/>
      <c r="BC42" s="4274"/>
      <c r="BI42" s="1073">
        <v>34</v>
      </c>
    </row>
    <row r="43" spans="1:61" ht="14.65" customHeight="1">
      <c r="Q43" s="227"/>
      <c r="R43" s="311"/>
      <c r="S43" s="4425"/>
      <c r="T43" s="4373"/>
      <c r="U43" s="953"/>
      <c r="V43" s="4351"/>
      <c r="W43" s="4352"/>
      <c r="X43" s="4351"/>
      <c r="Y43" s="4352"/>
      <c r="Z43" s="4351"/>
      <c r="AA43" s="4455"/>
      <c r="AB43" s="4352"/>
      <c r="AC43" s="4430"/>
      <c r="AD43" s="4460"/>
      <c r="AE43" s="4461"/>
      <c r="AF43" s="4461"/>
      <c r="AG43" s="4473"/>
      <c r="AH43" s="4460"/>
      <c r="AI43" s="4461"/>
      <c r="AJ43" s="4461"/>
      <c r="AK43" s="4473"/>
      <c r="AL43" s="4460"/>
      <c r="AM43" s="4461"/>
      <c r="AN43" s="4461"/>
      <c r="AO43" s="4473"/>
      <c r="AP43" s="4460"/>
      <c r="AQ43" s="4461"/>
      <c r="AR43" s="4461"/>
      <c r="AS43" s="4473"/>
      <c r="AT43" s="4351"/>
      <c r="AU43" s="4352"/>
      <c r="AV43" s="4351"/>
      <c r="AW43" s="4352"/>
      <c r="AX43" s="4351"/>
      <c r="AY43" s="4455"/>
      <c r="AZ43" s="4352"/>
      <c r="BA43" s="4430"/>
      <c r="BB43" s="4433"/>
      <c r="BC43" s="4274"/>
      <c r="BI43" s="1073">
        <v>14</v>
      </c>
    </row>
    <row r="44" spans="1:61" ht="14.65" customHeight="1">
      <c r="A44" s="1288"/>
      <c r="B44" s="1288" t="s">
        <v>138</v>
      </c>
      <c r="C44" s="1288" t="s">
        <v>139</v>
      </c>
      <c r="D44" s="1288" t="s">
        <v>140</v>
      </c>
      <c r="E44" s="1282" t="s">
        <v>455</v>
      </c>
      <c r="F44" s="1282" t="s">
        <v>456</v>
      </c>
      <c r="G44" s="1282" t="s">
        <v>457</v>
      </c>
      <c r="H44" s="1282" t="s">
        <v>458</v>
      </c>
      <c r="I44" s="1282" t="s">
        <v>459</v>
      </c>
      <c r="J44" s="1282" t="s">
        <v>460</v>
      </c>
      <c r="K44" s="1282" t="s">
        <v>461</v>
      </c>
      <c r="L44" s="1282" t="s">
        <v>436</v>
      </c>
      <c r="Q44" s="227"/>
      <c r="R44" s="311"/>
      <c r="S44" s="4425"/>
      <c r="T44" s="4373"/>
      <c r="U44" s="238"/>
      <c r="V44" s="1366" t="s">
        <v>499</v>
      </c>
      <c r="W44" s="1366" t="s">
        <v>500</v>
      </c>
      <c r="X44" s="1366" t="s">
        <v>499</v>
      </c>
      <c r="Y44" s="1366" t="s">
        <v>500</v>
      </c>
      <c r="Z44" s="1373" t="s">
        <v>464</v>
      </c>
      <c r="AA44" s="4378" t="s">
        <v>465</v>
      </c>
      <c r="AB44" s="4392"/>
      <c r="AC44" s="4431"/>
      <c r="AD44" s="4462"/>
      <c r="AE44" s="4463"/>
      <c r="AF44" s="4463"/>
      <c r="AG44" s="4464"/>
      <c r="AH44" s="4462"/>
      <c r="AI44" s="4463"/>
      <c r="AJ44" s="4463"/>
      <c r="AK44" s="4464"/>
      <c r="AL44" s="4462"/>
      <c r="AM44" s="4463"/>
      <c r="AN44" s="4463"/>
      <c r="AO44" s="4464"/>
      <c r="AP44" s="4462"/>
      <c r="AQ44" s="4463"/>
      <c r="AR44" s="4463"/>
      <c r="AS44" s="4464"/>
      <c r="AT44" s="1366" t="s">
        <v>499</v>
      </c>
      <c r="AU44" s="1366" t="s">
        <v>500</v>
      </c>
      <c r="AV44" s="1366" t="s">
        <v>499</v>
      </c>
      <c r="AW44" s="1366" t="s">
        <v>500</v>
      </c>
      <c r="AX44" s="1373" t="s">
        <v>464</v>
      </c>
      <c r="AY44" s="4378" t="s">
        <v>465</v>
      </c>
      <c r="AZ44" s="4392"/>
      <c r="BA44" s="4431"/>
      <c r="BB44" s="4434"/>
      <c r="BC44" s="4274"/>
      <c r="BI44" s="1073">
        <v>14</v>
      </c>
    </row>
    <row r="45" spans="1:61" s="416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369">
        <f t="shared" ref="V45:AA45" ca="1" si="2">OFFSET(V45,0,-1)+1</f>
        <v>3</v>
      </c>
      <c r="W45" s="1369">
        <f t="shared" ca="1" si="2"/>
        <v>4</v>
      </c>
      <c r="X45" s="1369">
        <f t="shared" ca="1" si="2"/>
        <v>5</v>
      </c>
      <c r="Y45" s="1369">
        <f t="shared" ca="1" si="2"/>
        <v>6</v>
      </c>
      <c r="Z45" s="1369">
        <f t="shared" ca="1" si="2"/>
        <v>7</v>
      </c>
      <c r="AA45" s="4423">
        <f t="shared" ca="1" si="2"/>
        <v>8</v>
      </c>
      <c r="AB45" s="442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4423">
        <f ca="1">OFFSET(AY45,0,-1)+1</f>
        <v>3</v>
      </c>
      <c r="AZ45" s="4423"/>
      <c r="BA45" s="1369">
        <f ca="1">OFFSET(BA45,0,-2)+1</f>
        <v>4</v>
      </c>
      <c r="BB45" s="1163">
        <f ca="1">OFFSET(BB45,0,-1)</f>
        <v>4</v>
      </c>
      <c r="BC45" s="1369">
        <f ca="1">OFFSET(BC45,0,-1)+1</f>
        <v>5</v>
      </c>
      <c r="BD45" s="446"/>
      <c r="BE45" s="446"/>
      <c r="BF45" s="446"/>
      <c r="BG45" s="446"/>
      <c r="BH45" s="446"/>
      <c r="BI45" s="431">
        <v>0</v>
      </c>
    </row>
    <row r="46" spans="1:61" ht="21.95" customHeight="1">
      <c r="A46" s="1281" t="s">
        <v>267</v>
      </c>
      <c r="B46" s="1281"/>
      <c r="C46" s="1281"/>
      <c r="D46" s="1281"/>
      <c r="E46" s="441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126</v>
      </c>
      <c r="U46" s="236"/>
      <c r="V46" s="4407"/>
      <c r="W46" s="4407"/>
      <c r="X46" s="4407"/>
      <c r="Y46" s="4407"/>
      <c r="Z46" s="4407"/>
      <c r="AA46" s="4407"/>
      <c r="AB46" s="4407"/>
      <c r="AC46" s="4408"/>
      <c r="AD46" s="4406" t="str">
        <f>INDEX(PT_DIFFERENTIATION_NTAR,MATCH(A46,PT_DIFFERENTIATION_NTAR_ID,0))</f>
        <v/>
      </c>
      <c r="AE46" s="4407"/>
      <c r="AF46" s="4407"/>
      <c r="AG46" s="4407"/>
      <c r="AH46" s="4407"/>
      <c r="AI46" s="4407"/>
      <c r="AJ46" s="4407"/>
      <c r="AK46" s="4407"/>
      <c r="AL46" s="4407"/>
      <c r="AM46" s="4407"/>
      <c r="AN46" s="4407"/>
      <c r="AO46" s="4407"/>
      <c r="AP46" s="4407"/>
      <c r="AQ46" s="4407"/>
      <c r="AR46" s="4407"/>
      <c r="AS46" s="4407"/>
      <c r="AT46" s="4407"/>
      <c r="AU46" s="4407"/>
      <c r="AV46" s="4407"/>
      <c r="AW46" s="4407"/>
      <c r="AX46" s="4407"/>
      <c r="AY46" s="4407"/>
      <c r="AZ46" s="4407"/>
      <c r="BA46" s="4407"/>
      <c r="BB46" s="440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267</v>
      </c>
      <c r="B47" s="1281" t="s">
        <v>268</v>
      </c>
      <c r="C47" s="1281"/>
      <c r="D47" s="1281"/>
      <c r="E47" s="4413"/>
      <c r="F47" s="4412">
        <v>1</v>
      </c>
      <c r="G47" s="1281"/>
      <c r="H47" s="1281"/>
      <c r="I47" s="1281"/>
      <c r="J47" s="1281"/>
      <c r="K47" s="1281"/>
      <c r="L47" s="1282"/>
      <c r="M47" s="1283"/>
      <c r="N47" s="1283"/>
      <c r="O47" s="1283"/>
      <c r="P47" s="1328"/>
      <c r="Q47" s="1329"/>
      <c r="R47" s="288"/>
      <c r="S47" s="1375" t="str">
        <f>INDEX(PT_DIFFERENTIATION_NUM_TER,MATCH(B47,PT_DIFFERENTIATION_TER_ID,0))</f>
        <v>.</v>
      </c>
      <c r="T47" s="244" t="s">
        <v>418</v>
      </c>
      <c r="U47" s="236"/>
      <c r="V47" s="4407"/>
      <c r="W47" s="4407"/>
      <c r="X47" s="4407"/>
      <c r="Y47" s="4407"/>
      <c r="Z47" s="4407"/>
      <c r="AA47" s="4407"/>
      <c r="AB47" s="4407"/>
      <c r="AC47" s="4408"/>
      <c r="AD47" s="4406" t="str">
        <f>INDEX(PT_DIFFERENTIATION_TER,MATCH(B47,PT_DIFFERENTIATION_TER_ID,0))</f>
        <v/>
      </c>
      <c r="AE47" s="4407"/>
      <c r="AF47" s="4407"/>
      <c r="AG47" s="4407"/>
      <c r="AH47" s="4407"/>
      <c r="AI47" s="4407"/>
      <c r="AJ47" s="4407"/>
      <c r="AK47" s="4407"/>
      <c r="AL47" s="4407"/>
      <c r="AM47" s="4407"/>
      <c r="AN47" s="4407"/>
      <c r="AO47" s="4407"/>
      <c r="AP47" s="4407"/>
      <c r="AQ47" s="4407"/>
      <c r="AR47" s="4407"/>
      <c r="AS47" s="4407"/>
      <c r="AT47" s="4407"/>
      <c r="AU47" s="4407"/>
      <c r="AV47" s="4407"/>
      <c r="AW47" s="4407"/>
      <c r="AX47" s="4407"/>
      <c r="AY47" s="4407"/>
      <c r="AZ47" s="4407"/>
      <c r="BA47" s="4407"/>
      <c r="BB47" s="4408"/>
      <c r="BC47" s="1176" t="s">
        <v>419</v>
      </c>
      <c r="BE47" s="435"/>
      <c r="BF47" s="435" t="str">
        <f t="shared" si="3"/>
        <v>Территория действия тарифа</v>
      </c>
      <c r="BG47" s="435"/>
      <c r="BH47" s="435"/>
      <c r="BI47" s="1073">
        <v>21</v>
      </c>
    </row>
    <row r="48" spans="1:61" ht="43.15" customHeight="1">
      <c r="A48" s="1281" t="s">
        <v>267</v>
      </c>
      <c r="B48" s="1281" t="s">
        <v>268</v>
      </c>
      <c r="C48" s="1281" t="s">
        <v>269</v>
      </c>
      <c r="D48" s="1281"/>
      <c r="E48" s="4413"/>
      <c r="F48" s="4413"/>
      <c r="G48" s="4412">
        <v>1</v>
      </c>
      <c r="H48" s="1281"/>
      <c r="I48" s="1281"/>
      <c r="J48" s="1281"/>
      <c r="K48" s="1281"/>
      <c r="L48" s="1282"/>
      <c r="M48" s="1283"/>
      <c r="N48" s="1283"/>
      <c r="O48" s="1283"/>
      <c r="P48" s="1330"/>
      <c r="Q48" s="1329"/>
      <c r="R48" s="288"/>
      <c r="S48" s="1375" t="str">
        <f>INDEX(PT_DIFFERENTIATION_NUM_CS,MATCH(C48,PT_DIFFERENTIATION_CS_ID,0))</f>
        <v>..</v>
      </c>
      <c r="T48" s="245" t="s">
        <v>502</v>
      </c>
      <c r="U48" s="236"/>
      <c r="V48" s="4407"/>
      <c r="W48" s="4407"/>
      <c r="X48" s="4407"/>
      <c r="Y48" s="4407"/>
      <c r="Z48" s="4407"/>
      <c r="AA48" s="4407"/>
      <c r="AB48" s="4407"/>
      <c r="AC48" s="4408"/>
      <c r="AD48" s="4406" t="str">
        <f>INDEX(PT_DIFFERENTIATION_CS,MATCH(C48,PT_DIFFERENTIATION_CS_ID,0))</f>
        <v/>
      </c>
      <c r="AE48" s="4407"/>
      <c r="AF48" s="4407"/>
      <c r="AG48" s="4407"/>
      <c r="AH48" s="4407"/>
      <c r="AI48" s="4407"/>
      <c r="AJ48" s="4407"/>
      <c r="AK48" s="4407"/>
      <c r="AL48" s="4407"/>
      <c r="AM48" s="4407"/>
      <c r="AN48" s="4407"/>
      <c r="AO48" s="4407"/>
      <c r="AP48" s="4407"/>
      <c r="AQ48" s="4407"/>
      <c r="AR48" s="4407"/>
      <c r="AS48" s="4407"/>
      <c r="AT48" s="4407"/>
      <c r="AU48" s="4407"/>
      <c r="AV48" s="4407"/>
      <c r="AW48" s="4407"/>
      <c r="AX48" s="4407"/>
      <c r="AY48" s="4407"/>
      <c r="AZ48" s="4407"/>
      <c r="BA48" s="4407"/>
      <c r="BB48" s="4408"/>
      <c r="BC48" s="1176" t="s">
        <v>503</v>
      </c>
      <c r="BE48" s="435"/>
      <c r="BF48" s="435" t="str">
        <f t="shared" si="3"/>
        <v>Наименование централизованной системы холодного водоснабжения</v>
      </c>
      <c r="BG48" s="435"/>
      <c r="BH48" s="435"/>
      <c r="BI48" s="1073">
        <v>41</v>
      </c>
    </row>
    <row r="49" spans="1:61" s="4140" customFormat="1" ht="0" hidden="1" customHeight="1">
      <c r="A49" s="1261" t="s">
        <v>267</v>
      </c>
      <c r="B49" s="1261" t="s">
        <v>268</v>
      </c>
      <c r="C49" s="1261" t="s">
        <v>269</v>
      </c>
      <c r="D49" s="1261" t="s">
        <v>536</v>
      </c>
      <c r="E49" s="4413"/>
      <c r="F49" s="4413"/>
      <c r="G49" s="4413"/>
      <c r="H49" s="4412">
        <v>1</v>
      </c>
      <c r="I49" s="1261"/>
      <c r="J49" s="1261"/>
      <c r="K49" s="1261"/>
      <c r="L49" s="1264"/>
      <c r="M49" s="1233"/>
      <c r="N49" s="1233"/>
      <c r="O49" s="1233"/>
      <c r="P49" s="1415"/>
      <c r="Q49" s="1416"/>
      <c r="R49" s="292"/>
      <c r="S49" s="964"/>
      <c r="T49" s="1417"/>
      <c r="U49" s="1302"/>
      <c r="V49" s="4444"/>
      <c r="W49" s="4444"/>
      <c r="X49" s="4444"/>
      <c r="Y49" s="4444"/>
      <c r="Z49" s="4444"/>
      <c r="AA49" s="4444"/>
      <c r="AB49" s="4444"/>
      <c r="AC49" s="4445"/>
      <c r="AD49" s="4443"/>
      <c r="AE49" s="4444"/>
      <c r="AF49" s="4444"/>
      <c r="AG49" s="4444"/>
      <c r="AH49" s="4444"/>
      <c r="AI49" s="4444"/>
      <c r="AJ49" s="4444"/>
      <c r="AK49" s="4444"/>
      <c r="AL49" s="4444"/>
      <c r="AM49" s="4444"/>
      <c r="AN49" s="4444"/>
      <c r="AO49" s="4444"/>
      <c r="AP49" s="4444"/>
      <c r="AQ49" s="4444"/>
      <c r="AR49" s="4444"/>
      <c r="AS49" s="4444"/>
      <c r="AT49" s="4444"/>
      <c r="AU49" s="4444"/>
      <c r="AV49" s="4444"/>
      <c r="AW49" s="4444"/>
      <c r="AX49" s="4444"/>
      <c r="AY49" s="4444"/>
      <c r="AZ49" s="4444"/>
      <c r="BA49" s="4444"/>
      <c r="BB49" s="4445"/>
      <c r="BC49" s="1303" t="s">
        <v>423</v>
      </c>
      <c r="BE49" s="435"/>
      <c r="BF49" s="435" t="str">
        <f t="shared" si="3"/>
        <v/>
      </c>
      <c r="BG49" s="435"/>
      <c r="BH49" s="435"/>
      <c r="BI49" s="446">
        <v>0</v>
      </c>
    </row>
    <row r="50" spans="1:61" s="4140" customFormat="1" ht="0" hidden="1" customHeight="1">
      <c r="A50" s="1261" t="s">
        <v>267</v>
      </c>
      <c r="B50" s="1261" t="s">
        <v>268</v>
      </c>
      <c r="C50" s="1261" t="s">
        <v>269</v>
      </c>
      <c r="D50" s="1261" t="s">
        <v>536</v>
      </c>
      <c r="E50" s="4413"/>
      <c r="F50" s="4413"/>
      <c r="G50" s="4413"/>
      <c r="H50" s="4413"/>
      <c r="I50" s="4414" t="str">
        <f>S49&amp;".1"</f>
        <v>.1</v>
      </c>
      <c r="J50" s="1261"/>
      <c r="K50" s="1261"/>
      <c r="L50" s="1264" t="s">
        <v>424</v>
      </c>
      <c r="M50" s="445"/>
      <c r="N50" s="445"/>
      <c r="O50" s="445"/>
      <c r="P50" s="4416">
        <v>1</v>
      </c>
      <c r="Q50" s="1380"/>
      <c r="R50" s="291"/>
      <c r="S50" s="964"/>
      <c r="T50" s="1301"/>
      <c r="U50" s="1302"/>
      <c r="V50" s="4444"/>
      <c r="W50" s="4444"/>
      <c r="X50" s="4444"/>
      <c r="Y50" s="4444"/>
      <c r="Z50" s="4444"/>
      <c r="AA50" s="4444"/>
      <c r="AB50" s="4444"/>
      <c r="AC50" s="4445"/>
      <c r="AD50" s="4443"/>
      <c r="AE50" s="4444"/>
      <c r="AF50" s="4444"/>
      <c r="AG50" s="4444"/>
      <c r="AH50" s="4444"/>
      <c r="AI50" s="4444"/>
      <c r="AJ50" s="4444"/>
      <c r="AK50" s="4444"/>
      <c r="AL50" s="4444"/>
      <c r="AM50" s="4444"/>
      <c r="AN50" s="4444"/>
      <c r="AO50" s="4444"/>
      <c r="AP50" s="4444"/>
      <c r="AQ50" s="4444"/>
      <c r="AR50" s="4444"/>
      <c r="AS50" s="4444"/>
      <c r="AT50" s="4444"/>
      <c r="AU50" s="4444"/>
      <c r="AV50" s="4444"/>
      <c r="AW50" s="4444"/>
      <c r="AX50" s="4444"/>
      <c r="AY50" s="4444"/>
      <c r="AZ50" s="4444"/>
      <c r="BA50" s="4444"/>
      <c r="BB50" s="4445"/>
      <c r="BC50" s="1303"/>
      <c r="BE50" s="435"/>
      <c r="BF50" s="435" t="str">
        <f t="shared" si="3"/>
        <v/>
      </c>
      <c r="BG50" s="435"/>
      <c r="BH50" s="435"/>
      <c r="BI50" s="446">
        <v>0</v>
      </c>
    </row>
    <row r="51" spans="1:61" s="4140" customFormat="1" ht="0" hidden="1" customHeight="1">
      <c r="A51" s="1261" t="s">
        <v>267</v>
      </c>
      <c r="B51" s="1261" t="s">
        <v>268</v>
      </c>
      <c r="C51" s="1261" t="s">
        <v>269</v>
      </c>
      <c r="D51" s="1261" t="s">
        <v>536</v>
      </c>
      <c r="E51" s="4413"/>
      <c r="F51" s="4413"/>
      <c r="G51" s="4413"/>
      <c r="H51" s="4413"/>
      <c r="I51" s="4415"/>
      <c r="J51" s="4414" t="str">
        <f>S49&amp;".1"</f>
        <v>.1</v>
      </c>
      <c r="K51" s="1261"/>
      <c r="L51" s="1264"/>
      <c r="M51" s="445"/>
      <c r="N51" s="445"/>
      <c r="O51" s="445"/>
      <c r="P51" s="4416"/>
      <c r="Q51" s="4416">
        <v>1</v>
      </c>
      <c r="R51" s="292"/>
      <c r="S51" s="964"/>
      <c r="T51" s="1317"/>
      <c r="U51" s="1302"/>
      <c r="V51" s="4444"/>
      <c r="W51" s="4444"/>
      <c r="X51" s="4444"/>
      <c r="Y51" s="4444"/>
      <c r="Z51" s="4444"/>
      <c r="AA51" s="4444"/>
      <c r="AB51" s="4444"/>
      <c r="AC51" s="4445"/>
      <c r="AD51" s="4443"/>
      <c r="AE51" s="4444"/>
      <c r="AF51" s="4444"/>
      <c r="AG51" s="4444"/>
      <c r="AH51" s="4444"/>
      <c r="AI51" s="4444"/>
      <c r="AJ51" s="4444"/>
      <c r="AK51" s="4444"/>
      <c r="AL51" s="4444"/>
      <c r="AM51" s="4444"/>
      <c r="AN51" s="4495"/>
      <c r="AO51" s="4495"/>
      <c r="AP51" s="4444"/>
      <c r="AQ51" s="4444"/>
      <c r="AR51" s="4444"/>
      <c r="AS51" s="4444"/>
      <c r="AT51" s="4444"/>
      <c r="AU51" s="4444"/>
      <c r="AV51" s="4444"/>
      <c r="AW51" s="4444"/>
      <c r="AX51" s="4444"/>
      <c r="AY51" s="4444"/>
      <c r="AZ51" s="4444"/>
      <c r="BA51" s="4444"/>
      <c r="BB51" s="4445"/>
      <c r="BC51" s="1303"/>
      <c r="BE51" s="435"/>
      <c r="BF51" s="435" t="str">
        <f t="shared" si="3"/>
        <v/>
      </c>
      <c r="BG51" s="435"/>
      <c r="BH51" s="435"/>
      <c r="BI51" s="446">
        <v>0</v>
      </c>
    </row>
    <row r="52" spans="1:61" ht="11.45" customHeight="1">
      <c r="A52" s="1281" t="s">
        <v>267</v>
      </c>
      <c r="B52" s="1281" t="s">
        <v>268</v>
      </c>
      <c r="C52" s="1281" t="s">
        <v>269</v>
      </c>
      <c r="D52" s="1281" t="s">
        <v>536</v>
      </c>
      <c r="E52" s="4413"/>
      <c r="F52" s="4413"/>
      <c r="G52" s="4413"/>
      <c r="H52" s="4413"/>
      <c r="I52" s="4415"/>
      <c r="J52" s="4415"/>
      <c r="K52" s="4414" t="str">
        <f>S48&amp;".1"</f>
        <v>...1</v>
      </c>
      <c r="L52" s="1282"/>
      <c r="P52" s="4416"/>
      <c r="Q52" s="4416"/>
      <c r="R52" s="292">
        <v>1</v>
      </c>
      <c r="S52" s="4469" t="str">
        <f>$K52</f>
        <v>...1</v>
      </c>
      <c r="T52" s="4489"/>
      <c r="U52" s="236"/>
      <c r="V52" s="686"/>
      <c r="W52" s="1175"/>
      <c r="X52" s="686"/>
      <c r="Y52" s="1175"/>
      <c r="Z52" s="1651"/>
      <c r="AA52" s="1377" t="s">
        <v>65</v>
      </c>
      <c r="AB52" s="1651"/>
      <c r="AC52" s="1377" t="s">
        <v>65</v>
      </c>
      <c r="AD52" s="4337" t="s">
        <v>65</v>
      </c>
      <c r="AE52" s="4465"/>
      <c r="AF52" s="4369">
        <v>1</v>
      </c>
      <c r="AG52" s="4488"/>
      <c r="AH52" s="4284" t="s">
        <v>65</v>
      </c>
      <c r="AI52" s="4465"/>
      <c r="AJ52" s="4369">
        <v>1</v>
      </c>
      <c r="AK52" s="4479" t="s">
        <v>28</v>
      </c>
      <c r="AL52" s="4284" t="s">
        <v>65</v>
      </c>
      <c r="AM52" s="4346"/>
      <c r="AN52" s="4369">
        <v>1</v>
      </c>
      <c r="AO52" s="4492"/>
      <c r="AP52" s="4493" t="s">
        <v>65</v>
      </c>
      <c r="AQ52" s="247"/>
      <c r="AR52" s="1381">
        <v>1</v>
      </c>
      <c r="AS52" s="1384" t="s">
        <v>28</v>
      </c>
      <c r="AT52" s="686"/>
      <c r="AU52" s="1175"/>
      <c r="AV52" s="686"/>
      <c r="AW52" s="1175"/>
      <c r="AX52" s="1651"/>
      <c r="AY52" s="1377" t="s">
        <v>65</v>
      </c>
      <c r="AZ52" s="1651"/>
      <c r="BA52" s="1377" t="s">
        <v>65</v>
      </c>
      <c r="BB52" s="1266"/>
      <c r="BC52" s="4435" t="s">
        <v>522</v>
      </c>
      <c r="BE52" s="435"/>
      <c r="BF52" s="435" t="str">
        <f t="shared" si="3"/>
        <v/>
      </c>
      <c r="BG52" s="435"/>
      <c r="BH52" s="435"/>
      <c r="BI52" s="1073">
        <v>11</v>
      </c>
    </row>
    <row r="53" spans="1:61" ht="11.45" customHeight="1">
      <c r="A53" s="1281"/>
      <c r="B53" s="1281"/>
      <c r="C53" s="1281"/>
      <c r="D53" s="1281"/>
      <c r="E53" s="4413"/>
      <c r="F53" s="4413"/>
      <c r="G53" s="4413"/>
      <c r="H53" s="4413"/>
      <c r="I53" s="4415"/>
      <c r="J53" s="4415"/>
      <c r="K53" s="4414"/>
      <c r="L53" s="1282"/>
      <c r="P53" s="4416"/>
      <c r="Q53" s="4416"/>
      <c r="R53" s="292"/>
      <c r="S53" s="4470"/>
      <c r="T53" s="4490"/>
      <c r="U53" s="236"/>
      <c r="V53" s="1311"/>
      <c r="W53" s="1414"/>
      <c r="X53" s="1311"/>
      <c r="Y53" s="1414"/>
      <c r="Z53" s="1311"/>
      <c r="AA53" s="1311"/>
      <c r="AB53" s="1311"/>
      <c r="AC53" s="1311"/>
      <c r="AD53" s="4338"/>
      <c r="AE53" s="4465"/>
      <c r="AF53" s="4369"/>
      <c r="AG53" s="4488"/>
      <c r="AH53" s="4284"/>
      <c r="AI53" s="4465"/>
      <c r="AJ53" s="4369"/>
      <c r="AK53" s="4479"/>
      <c r="AL53" s="4284"/>
      <c r="AM53" s="4351"/>
      <c r="AN53" s="4369"/>
      <c r="AO53" s="4492"/>
      <c r="AP53" s="4494"/>
      <c r="AQ53" s="252"/>
      <c r="AR53" s="351"/>
      <c r="AS53" s="351" t="s">
        <v>523</v>
      </c>
      <c r="AT53" s="1311"/>
      <c r="AU53" s="1414"/>
      <c r="AV53" s="1311"/>
      <c r="AW53" s="1414"/>
      <c r="AX53" s="1311"/>
      <c r="AY53" s="1311"/>
      <c r="AZ53" s="1311"/>
      <c r="BA53" s="1311"/>
      <c r="BB53" s="1315"/>
      <c r="BC53" s="4436"/>
      <c r="BE53" s="435"/>
      <c r="BF53" s="435"/>
      <c r="BG53" s="435"/>
      <c r="BH53" s="435"/>
      <c r="BI53" s="1073">
        <v>11</v>
      </c>
    </row>
    <row r="54" spans="1:61" ht="11.45" customHeight="1">
      <c r="A54" s="1281" t="s">
        <v>267</v>
      </c>
      <c r="B54" s="1281"/>
      <c r="C54" s="1281"/>
      <c r="D54" s="1281"/>
      <c r="E54" s="4413"/>
      <c r="F54" s="4413"/>
      <c r="G54" s="4413"/>
      <c r="H54" s="4413"/>
      <c r="I54" s="4415"/>
      <c r="J54" s="4415"/>
      <c r="K54" s="4414"/>
      <c r="L54" s="1282"/>
      <c r="P54" s="4416"/>
      <c r="Q54" s="4416"/>
      <c r="R54" s="292"/>
      <c r="S54" s="4470"/>
      <c r="T54" s="4490"/>
      <c r="U54" s="236"/>
      <c r="V54" s="1311"/>
      <c r="W54" s="1414"/>
      <c r="X54" s="1311"/>
      <c r="Y54" s="1414"/>
      <c r="Z54" s="1311"/>
      <c r="AA54" s="1311"/>
      <c r="AB54" s="1311"/>
      <c r="AC54" s="1311"/>
      <c r="AD54" s="4338"/>
      <c r="AE54" s="4465"/>
      <c r="AF54" s="4369"/>
      <c r="AG54" s="4488"/>
      <c r="AH54" s="4284"/>
      <c r="AI54" s="4465"/>
      <c r="AJ54" s="4369"/>
      <c r="AK54" s="4479"/>
      <c r="AL54" s="4284"/>
      <c r="AM54" s="252"/>
      <c r="AN54" s="1418"/>
      <c r="AO54" s="1418" t="s">
        <v>524</v>
      </c>
      <c r="AP54" s="351"/>
      <c r="AQ54" s="351"/>
      <c r="AR54" s="351"/>
      <c r="AS54" s="1311"/>
      <c r="AT54" s="1311"/>
      <c r="AU54" s="1414"/>
      <c r="AV54" s="1311"/>
      <c r="AW54" s="1414"/>
      <c r="AX54" s="1311"/>
      <c r="AY54" s="1311"/>
      <c r="AZ54" s="1311"/>
      <c r="BA54" s="1311"/>
      <c r="BB54" s="1315"/>
      <c r="BC54" s="4436"/>
      <c r="BE54" s="435"/>
      <c r="BF54" s="435"/>
      <c r="BG54" s="435"/>
      <c r="BH54" s="435"/>
      <c r="BI54" s="1073">
        <v>11</v>
      </c>
    </row>
    <row r="55" spans="1:61" ht="11.45" customHeight="1">
      <c r="A55" s="1281" t="s">
        <v>267</v>
      </c>
      <c r="B55" s="1281"/>
      <c r="C55" s="1281"/>
      <c r="D55" s="1281"/>
      <c r="E55" s="4413"/>
      <c r="F55" s="4413"/>
      <c r="G55" s="4413"/>
      <c r="H55" s="4413"/>
      <c r="I55" s="4415"/>
      <c r="J55" s="4415"/>
      <c r="K55" s="4414"/>
      <c r="L55" s="1282"/>
      <c r="P55" s="4416"/>
      <c r="Q55" s="4416"/>
      <c r="R55" s="292"/>
      <c r="S55" s="4470"/>
      <c r="T55" s="4490"/>
      <c r="U55" s="236"/>
      <c r="V55" s="1311"/>
      <c r="W55" s="1414"/>
      <c r="X55" s="1311"/>
      <c r="Y55" s="1414"/>
      <c r="Z55" s="1311"/>
      <c r="AA55" s="1311"/>
      <c r="AB55" s="1311"/>
      <c r="AC55" s="1311"/>
      <c r="AD55" s="4338"/>
      <c r="AE55" s="4465"/>
      <c r="AF55" s="4369"/>
      <c r="AG55" s="4488"/>
      <c r="AH55" s="4284"/>
      <c r="AI55" s="230"/>
      <c r="AJ55" s="350"/>
      <c r="AK55" s="249" t="s">
        <v>525</v>
      </c>
      <c r="AL55" s="1311"/>
      <c r="AM55" s="1311"/>
      <c r="AN55" s="1311"/>
      <c r="AO55" s="1311"/>
      <c r="AP55" s="1311"/>
      <c r="AQ55" s="1311"/>
      <c r="AR55" s="1311"/>
      <c r="AS55" s="1311"/>
      <c r="AT55" s="1311"/>
      <c r="AU55" s="1414"/>
      <c r="AV55" s="1311"/>
      <c r="AW55" s="1414"/>
      <c r="AX55" s="1311"/>
      <c r="AY55" s="1311"/>
      <c r="AZ55" s="1311"/>
      <c r="BA55" s="1311"/>
      <c r="BB55" s="1315"/>
      <c r="BC55" s="4436"/>
      <c r="BE55" s="435"/>
      <c r="BF55" s="435"/>
      <c r="BG55" s="435"/>
      <c r="BH55" s="435"/>
      <c r="BI55" s="1073">
        <v>11</v>
      </c>
    </row>
    <row r="56" spans="1:61" ht="11.45" customHeight="1">
      <c r="A56" s="1281" t="s">
        <v>267</v>
      </c>
      <c r="B56" s="1281" t="s">
        <v>268</v>
      </c>
      <c r="C56" s="1281" t="s">
        <v>269</v>
      </c>
      <c r="D56" s="1281" t="s">
        <v>536</v>
      </c>
      <c r="E56" s="4413"/>
      <c r="F56" s="4413"/>
      <c r="G56" s="4413"/>
      <c r="H56" s="4413"/>
      <c r="I56" s="4415"/>
      <c r="J56" s="4415"/>
      <c r="K56" s="4414"/>
      <c r="L56" s="1282"/>
      <c r="P56" s="4416"/>
      <c r="Q56" s="4416"/>
      <c r="R56" s="292"/>
      <c r="S56" s="4471"/>
      <c r="T56" s="4491"/>
      <c r="U56" s="236"/>
      <c r="V56" s="1311"/>
      <c r="W56" s="1312" t="str">
        <f>Z52&amp;"-"&amp;AB52</f>
        <v>-</v>
      </c>
      <c r="X56" s="1311"/>
      <c r="Y56" s="1312" t="str">
        <f>AB52&amp;"-"&amp;AD52</f>
        <v>-да</v>
      </c>
      <c r="Z56" s="1311"/>
      <c r="AA56" s="1311"/>
      <c r="AB56" s="1311"/>
      <c r="AC56" s="1311"/>
      <c r="AD56" s="4289"/>
      <c r="AE56" s="248"/>
      <c r="AF56" s="250"/>
      <c r="AG56" s="351" t="s">
        <v>526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436"/>
      <c r="BE56" s="435"/>
      <c r="BF56" s="435" t="str">
        <f t="shared" ref="BF56:BF63" si="4">IF(T56="","",T56)</f>
        <v/>
      </c>
      <c r="BG56" s="435"/>
      <c r="BH56" s="435"/>
      <c r="BI56" s="1073">
        <v>11</v>
      </c>
    </row>
    <row r="57" spans="1:61" ht="11.45" customHeight="1">
      <c r="A57" s="1281" t="s">
        <v>267</v>
      </c>
      <c r="B57" s="1281" t="s">
        <v>268</v>
      </c>
      <c r="C57" s="1281" t="s">
        <v>269</v>
      </c>
      <c r="D57" s="1281" t="s">
        <v>536</v>
      </c>
      <c r="E57" s="4413"/>
      <c r="F57" s="4413"/>
      <c r="G57" s="4413"/>
      <c r="H57" s="4413"/>
      <c r="I57" s="4415"/>
      <c r="J57" s="4414"/>
      <c r="K57" s="1281"/>
      <c r="L57" s="1282"/>
      <c r="P57" s="4416"/>
      <c r="Q57" s="4416"/>
      <c r="R57" s="291"/>
      <c r="S57" s="1196"/>
      <c r="T57" s="223" t="s">
        <v>489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437"/>
      <c r="BE57" s="435"/>
      <c r="BF57" s="435" t="str">
        <f t="shared" si="4"/>
        <v>Добавить строку</v>
      </c>
      <c r="BG57" s="435"/>
      <c r="BH57" s="435"/>
      <c r="BI57" s="1073">
        <v>11</v>
      </c>
    </row>
    <row r="58" spans="1:61" s="4140" customFormat="1" ht="0" hidden="1" customHeight="1">
      <c r="A58" s="1261" t="s">
        <v>267</v>
      </c>
      <c r="B58" s="1261" t="s">
        <v>268</v>
      </c>
      <c r="C58" s="1261" t="s">
        <v>269</v>
      </c>
      <c r="D58" s="1261" t="s">
        <v>536</v>
      </c>
      <c r="E58" s="4413"/>
      <c r="F58" s="4413"/>
      <c r="G58" s="4413"/>
      <c r="H58" s="4413"/>
      <c r="I58" s="4414"/>
      <c r="J58" s="1261"/>
      <c r="K58" s="1261"/>
      <c r="L58" s="1264"/>
      <c r="M58" s="445"/>
      <c r="N58" s="445"/>
      <c r="O58" s="445"/>
      <c r="P58" s="441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40" customFormat="1" ht="0" hidden="1" customHeight="1">
      <c r="A59" s="1261" t="s">
        <v>267</v>
      </c>
      <c r="B59" s="1261" t="s">
        <v>268</v>
      </c>
      <c r="C59" s="1261" t="s">
        <v>269</v>
      </c>
      <c r="D59" s="1261" t="s">
        <v>536</v>
      </c>
      <c r="E59" s="4413"/>
      <c r="F59" s="4413"/>
      <c r="G59" s="4413"/>
      <c r="H59" s="441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40" customFormat="1" ht="0" hidden="1" customHeight="1">
      <c r="A60" s="1261" t="s">
        <v>267</v>
      </c>
      <c r="B60" s="1261" t="s">
        <v>268</v>
      </c>
      <c r="C60" s="1261" t="s">
        <v>269</v>
      </c>
      <c r="D60" s="1232"/>
      <c r="E60" s="4413"/>
      <c r="F60" s="4413"/>
      <c r="G60" s="441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40" customFormat="1" ht="0" hidden="1" customHeight="1">
      <c r="A61" s="1261" t="s">
        <v>267</v>
      </c>
      <c r="B61" s="1261" t="s">
        <v>268</v>
      </c>
      <c r="C61" s="1232"/>
      <c r="D61" s="1232"/>
      <c r="E61" s="4413"/>
      <c r="F61" s="4412"/>
      <c r="G61" s="1232"/>
      <c r="H61" s="1232"/>
      <c r="I61" s="1232"/>
      <c r="J61" s="1232"/>
      <c r="K61" s="1232"/>
      <c r="L61" s="138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40" customFormat="1" ht="0" hidden="1" customHeight="1">
      <c r="A62" s="1261" t="s">
        <v>267</v>
      </c>
      <c r="B62" s="1261"/>
      <c r="C62" s="1261"/>
      <c r="D62" s="1261"/>
      <c r="E62" s="4412"/>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40"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4411"/>
      <c r="U65" s="4411"/>
      <c r="V65" s="4411"/>
      <c r="W65" s="4411"/>
      <c r="X65" s="4411"/>
      <c r="Y65" s="4411"/>
      <c r="Z65" s="4411"/>
      <c r="AA65" s="4411"/>
      <c r="AB65" s="4411"/>
      <c r="AC65" s="4411"/>
      <c r="AD65" s="4411"/>
      <c r="AE65" s="4411"/>
      <c r="AF65" s="4411"/>
      <c r="AG65" s="4411"/>
      <c r="AH65" s="4411"/>
      <c r="AI65" s="4411"/>
      <c r="AJ65" s="4411"/>
      <c r="AK65" s="4411"/>
      <c r="AL65" s="4411"/>
      <c r="AM65" s="4411"/>
      <c r="AN65" s="4411"/>
      <c r="AO65" s="4411"/>
      <c r="AP65" s="4411"/>
      <c r="AQ65" s="4411"/>
      <c r="AR65" s="4411"/>
      <c r="AS65" s="4411"/>
      <c r="AT65" s="4411"/>
      <c r="AU65" s="4411"/>
      <c r="AV65" s="4411"/>
      <c r="AW65" s="4411"/>
      <c r="AX65" s="4411"/>
      <c r="AY65" s="4411"/>
      <c r="AZ65" s="4411"/>
      <c r="BA65" s="4411"/>
      <c r="BB65" s="4411"/>
      <c r="BC65" s="4411"/>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4411"/>
      <c r="U67" s="4411"/>
      <c r="V67" s="4411"/>
      <c r="W67" s="4411"/>
      <c r="X67" s="4411"/>
      <c r="Y67" s="4411"/>
      <c r="Z67" s="4411"/>
      <c r="AA67" s="4411"/>
      <c r="AB67" s="4411"/>
      <c r="AC67" s="4411"/>
      <c r="AD67" s="4411"/>
      <c r="AE67" s="4411"/>
      <c r="AF67" s="4411"/>
      <c r="AG67" s="4411"/>
      <c r="AH67" s="4411"/>
      <c r="AI67" s="4411"/>
      <c r="AJ67" s="4411"/>
      <c r="AK67" s="4411"/>
      <c r="AL67" s="4411"/>
      <c r="AM67" s="4411"/>
      <c r="AN67" s="4411"/>
      <c r="AO67" s="4411"/>
      <c r="AP67" s="4411"/>
      <c r="AQ67" s="4411"/>
      <c r="AR67" s="4411"/>
      <c r="AS67" s="4411"/>
      <c r="AT67" s="4411"/>
      <c r="AU67" s="4411"/>
      <c r="AV67" s="4411"/>
      <c r="AW67" s="4411"/>
      <c r="AX67" s="4411"/>
      <c r="AY67" s="4411"/>
      <c r="AZ67" s="4411"/>
      <c r="BA67" s="4411"/>
      <c r="BB67" s="4411"/>
      <c r="BC67" s="4411"/>
      <c r="BI67" s="1073">
        <v>19</v>
      </c>
    </row>
    <row r="68" spans="1:61" ht="14.65" customHeight="1">
      <c r="O68" s="472"/>
      <c r="BI68" s="1073">
        <v>14</v>
      </c>
    </row>
    <row r="69" spans="1:61" ht="14.25" hidden="1" customHeight="1">
      <c r="A69" s="1078" t="s">
        <v>86</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405"/>
      <c r="Q3" s="287"/>
      <c r="R3" s="288"/>
      <c r="S3" s="1411"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411" t="e">
        <f>INDEX(PT_DIFFERENTIATION_NUM_CS,MATCH(C4,PT_DIFFERENTIATION_CS_ID,0))</f>
        <v>#N/A</v>
      </c>
      <c r="T4" s="245" t="s">
        <v>537</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538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99"/>
      <c r="R5" s="291"/>
      <c r="S5" s="1411"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411"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411"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408"/>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99"/>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96"/>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96"/>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401" t="s">
        <v>510</v>
      </c>
      <c r="W38" s="4256" t="s">
        <v>453</v>
      </c>
      <c r="X38" s="4255"/>
      <c r="Y38" s="4256" t="s">
        <v>454</v>
      </c>
      <c r="Z38" s="4261"/>
      <c r="AA38" s="4255"/>
      <c r="AB38" s="4430"/>
      <c r="AC38" s="1401" t="s">
        <v>510</v>
      </c>
      <c r="AD38" s="4256" t="s">
        <v>453</v>
      </c>
      <c r="AE38" s="4255"/>
      <c r="AF38" s="4256" t="s">
        <v>454</v>
      </c>
      <c r="AG38" s="4261"/>
      <c r="AH38" s="4255"/>
      <c r="AI38" s="4430"/>
      <c r="AJ38" s="4433"/>
      <c r="AK38" s="4274"/>
      <c r="AQ38" s="1073">
        <v>34</v>
      </c>
    </row>
    <row r="39" spans="1:43" ht="90.4"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401" t="s">
        <v>539</v>
      </c>
      <c r="W39" s="1140" t="s">
        <v>540</v>
      </c>
      <c r="X39" s="1140" t="s">
        <v>515</v>
      </c>
      <c r="Y39" s="1407" t="s">
        <v>464</v>
      </c>
      <c r="Z39" s="4378" t="s">
        <v>465</v>
      </c>
      <c r="AA39" s="4392"/>
      <c r="AB39" s="4431"/>
      <c r="AC39" s="1401" t="s">
        <v>539</v>
      </c>
      <c r="AD39" s="1140" t="s">
        <v>540</v>
      </c>
      <c r="AE39" s="1140" t="s">
        <v>515</v>
      </c>
      <c r="AF39" s="1407" t="s">
        <v>464</v>
      </c>
      <c r="AG39" s="4378" t="s">
        <v>465</v>
      </c>
      <c r="AH39" s="4392"/>
      <c r="AI39" s="4431"/>
      <c r="AJ39" s="4434"/>
      <c r="AK39" s="4274"/>
      <c r="AQ39" s="1073">
        <v>86</v>
      </c>
    </row>
    <row r="40" spans="1:43" s="416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400">
        <f ca="1">OFFSET(V40,0,-1)+1</f>
        <v>3</v>
      </c>
      <c r="W40" s="1400">
        <f ca="1">OFFSET(W40,0,-1)+1</f>
        <v>4</v>
      </c>
      <c r="X40" s="1400">
        <f ca="1">OFFSET(X40,0,-1)+1</f>
        <v>5</v>
      </c>
      <c r="Y40" s="1400">
        <f ca="1">OFFSET(Y40,0,-1)+1</f>
        <v>6</v>
      </c>
      <c r="Z40" s="4423">
        <f ca="1">OFFSET(Z40,0,-1)+1</f>
        <v>7</v>
      </c>
      <c r="AA40" s="4423"/>
      <c r="AB40" s="1400">
        <f ca="1">OFFSET(AB40,0,-2)+1</f>
        <v>8</v>
      </c>
      <c r="AC40" s="1400">
        <f ca="1">OFFSET(AC40,0,-1)+1</f>
        <v>9</v>
      </c>
      <c r="AD40" s="1400">
        <f ca="1">OFFSET(AD40,0,-1)+1</f>
        <v>10</v>
      </c>
      <c r="AE40" s="1400">
        <f ca="1">OFFSET(AE40,0,-1)+1</f>
        <v>11</v>
      </c>
      <c r="AF40" s="1400">
        <f ca="1">OFFSET(AF40,0,-1)+1</f>
        <v>12</v>
      </c>
      <c r="AG40" s="4423">
        <f ca="1">OFFSET(AG40,0,-1)+1</f>
        <v>13</v>
      </c>
      <c r="AH40" s="4423"/>
      <c r="AI40" s="1400">
        <f ca="1">OFFSET(AI40,0,-2)+1</f>
        <v>14</v>
      </c>
      <c r="AJ40" s="1163">
        <f ca="1">OFFSET(AJ40,0,-1)</f>
        <v>14</v>
      </c>
      <c r="AK40" s="1400">
        <f ca="1">OFFSET(AK40,0,-1)+1</f>
        <v>15</v>
      </c>
      <c r="AL40" s="446"/>
      <c r="AM40" s="446"/>
      <c r="AN40" s="446"/>
      <c r="AO40" s="446"/>
      <c r="AP40" s="446"/>
      <c r="AQ40" s="431">
        <v>0</v>
      </c>
    </row>
    <row r="41" spans="1:43" ht="24" customHeight="1">
      <c r="A41" s="1281" t="s">
        <v>287</v>
      </c>
      <c r="B41" s="1281"/>
      <c r="C41" s="1281"/>
      <c r="D41" s="1281"/>
      <c r="E41" s="441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287</v>
      </c>
      <c r="B42" s="1281" t="s">
        <v>288</v>
      </c>
      <c r="C42" s="1281"/>
      <c r="D42" s="1281"/>
      <c r="E42" s="4413"/>
      <c r="F42" s="4412">
        <v>1</v>
      </c>
      <c r="G42" s="1281"/>
      <c r="H42" s="1281"/>
      <c r="I42" s="1281"/>
      <c r="J42" s="1281"/>
      <c r="K42" s="1281"/>
      <c r="L42" s="1282"/>
      <c r="M42" s="1283"/>
      <c r="N42" s="1283"/>
      <c r="O42" s="1283"/>
      <c r="P42" s="1405"/>
      <c r="Q42" s="287"/>
      <c r="R42" s="288"/>
      <c r="S42" s="1411"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287</v>
      </c>
      <c r="B43" s="1281" t="s">
        <v>288</v>
      </c>
      <c r="C43" s="1281" t="s">
        <v>289</v>
      </c>
      <c r="D43" s="1281"/>
      <c r="E43" s="4413"/>
      <c r="F43" s="4413"/>
      <c r="G43" s="4412">
        <v>1</v>
      </c>
      <c r="H43" s="1281"/>
      <c r="I43" s="1281"/>
      <c r="J43" s="1281"/>
      <c r="K43" s="1281"/>
      <c r="L43" s="1282"/>
      <c r="M43" s="1283"/>
      <c r="N43" s="1283"/>
      <c r="O43" s="1283"/>
      <c r="P43" s="289"/>
      <c r="Q43" s="287"/>
      <c r="R43" s="288"/>
      <c r="S43" s="1411" t="str">
        <f>INDEX(PT_DIFFERENTIATION_NUM_CS,MATCH(C43,PT_DIFFERENTIATION_CS_ID,0))</f>
        <v>..</v>
      </c>
      <c r="T43" s="245" t="s">
        <v>537</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538</v>
      </c>
      <c r="AM43" s="435"/>
      <c r="AN43" s="435" t="str">
        <f t="shared" si="1"/>
        <v>Наименование централизованной системы водоотведения</v>
      </c>
      <c r="AO43" s="435"/>
      <c r="AP43" s="435"/>
      <c r="AQ43" s="1073">
        <v>23</v>
      </c>
    </row>
    <row r="44" spans="1:43" ht="24" customHeight="1">
      <c r="A44" s="1281" t="s">
        <v>287</v>
      </c>
      <c r="B44" s="1281" t="s">
        <v>288</v>
      </c>
      <c r="C44" s="1281" t="s">
        <v>289</v>
      </c>
      <c r="D44" s="1281" t="s">
        <v>541</v>
      </c>
      <c r="E44" s="4413"/>
      <c r="F44" s="4413"/>
      <c r="G44" s="4413"/>
      <c r="H44" s="4413"/>
      <c r="I44" s="4414" t="str">
        <f>S43&amp;".1"</f>
        <v>...1</v>
      </c>
      <c r="J44" s="1281"/>
      <c r="K44" s="1281"/>
      <c r="L44" s="1282"/>
      <c r="P44" s="4416">
        <v>1</v>
      </c>
      <c r="Q44" s="1399"/>
      <c r="R44" s="291"/>
      <c r="S44" s="1411"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287</v>
      </c>
      <c r="B45" s="1281" t="s">
        <v>288</v>
      </c>
      <c r="C45" s="1281" t="s">
        <v>289</v>
      </c>
      <c r="D45" s="1281" t="s">
        <v>541</v>
      </c>
      <c r="E45" s="4413"/>
      <c r="F45" s="4413"/>
      <c r="G45" s="4413"/>
      <c r="H45" s="4413"/>
      <c r="I45" s="4415"/>
      <c r="J45" s="4414" t="str">
        <f>I44&amp;".1"</f>
        <v>...1.1</v>
      </c>
      <c r="K45" s="1281"/>
      <c r="L45" s="1282" t="s">
        <v>427</v>
      </c>
      <c r="P45" s="4416"/>
      <c r="Q45" s="4416">
        <v>1</v>
      </c>
      <c r="R45" s="292"/>
      <c r="S45" s="1411"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287</v>
      </c>
      <c r="B46" s="1281" t="s">
        <v>288</v>
      </c>
      <c r="C46" s="1281" t="s">
        <v>289</v>
      </c>
      <c r="D46" s="1281" t="s">
        <v>541</v>
      </c>
      <c r="E46" s="4413"/>
      <c r="F46" s="4413"/>
      <c r="G46" s="4413"/>
      <c r="H46" s="4413"/>
      <c r="I46" s="4415"/>
      <c r="J46" s="4415"/>
      <c r="K46" s="4414" t="str">
        <f>J45&amp;".1"</f>
        <v>...1.1.1</v>
      </c>
      <c r="L46" s="1282"/>
      <c r="P46" s="4416"/>
      <c r="Q46" s="4416"/>
      <c r="R46" s="292">
        <v>1</v>
      </c>
      <c r="S46" s="1411" t="str">
        <f>$K46</f>
        <v>...1.1.1</v>
      </c>
      <c r="T46" s="1355"/>
      <c r="U46" s="236"/>
      <c r="V46" s="1278"/>
      <c r="W46" s="1278"/>
      <c r="X46" s="1279"/>
      <c r="Y46" s="4410"/>
      <c r="Z46" s="4409" t="s">
        <v>65</v>
      </c>
      <c r="AA46" s="4410"/>
      <c r="AB46" s="4409" t="s">
        <v>65</v>
      </c>
      <c r="AC46" s="686"/>
      <c r="AD46" s="686"/>
      <c r="AE46" s="1175"/>
      <c r="AF46" s="4417"/>
      <c r="AG46" s="4284" t="s">
        <v>65</v>
      </c>
      <c r="AH46" s="4419"/>
      <c r="AI46" s="4284" t="s">
        <v>19</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287</v>
      </c>
      <c r="B47" s="1281" t="s">
        <v>288</v>
      </c>
      <c r="C47" s="1281" t="s">
        <v>289</v>
      </c>
      <c r="D47" s="1281" t="s">
        <v>541</v>
      </c>
      <c r="E47" s="4413"/>
      <c r="F47" s="4413"/>
      <c r="G47" s="4413"/>
      <c r="H47" s="4413"/>
      <c r="I47" s="4415"/>
      <c r="J47" s="4415"/>
      <c r="K47" s="4414"/>
      <c r="L47" s="1282"/>
      <c r="P47" s="4416"/>
      <c r="Q47" s="4416"/>
      <c r="R47" s="292"/>
      <c r="S47" s="1408"/>
      <c r="T47" s="236"/>
      <c r="U47" s="236"/>
      <c r="V47" s="1278"/>
      <c r="W47" s="1278"/>
      <c r="X47" s="264" t="str">
        <f>Y46&amp;"-"&amp;AA46</f>
        <v>-</v>
      </c>
      <c r="Y47" s="4409"/>
      <c r="Z47" s="4409"/>
      <c r="AA47" s="4409"/>
      <c r="AB47" s="4409"/>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287</v>
      </c>
      <c r="B48" s="1281" t="s">
        <v>288</v>
      </c>
      <c r="C48" s="1281" t="s">
        <v>289</v>
      </c>
      <c r="D48" s="1281" t="s">
        <v>541</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287</v>
      </c>
      <c r="B49" s="1281" t="s">
        <v>288</v>
      </c>
      <c r="C49" s="1281" t="s">
        <v>289</v>
      </c>
      <c r="D49" s="1281" t="s">
        <v>541</v>
      </c>
      <c r="E49" s="4413"/>
      <c r="F49" s="4413"/>
      <c r="G49" s="4413"/>
      <c r="H49" s="4413"/>
      <c r="I49" s="4414"/>
      <c r="J49" s="1281"/>
      <c r="K49" s="1281"/>
      <c r="L49" s="1282"/>
      <c r="P49" s="4416"/>
      <c r="Q49" s="1399"/>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287</v>
      </c>
      <c r="B50" s="1281" t="s">
        <v>288</v>
      </c>
      <c r="C50" s="1281" t="s">
        <v>289</v>
      </c>
      <c r="D50" s="1281" t="s">
        <v>541</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287</v>
      </c>
      <c r="B51" s="1261" t="s">
        <v>288</v>
      </c>
      <c r="C51" s="1232"/>
      <c r="D51" s="1232"/>
      <c r="E51" s="4413"/>
      <c r="F51" s="4412"/>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287</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4" width="24.7109375" style="4133" hidden="1" customWidth="1"/>
    <col min="25" max="25" width="11.7109375" style="4133" hidden="1" customWidth="1"/>
    <col min="26" max="26" width="3.7109375" style="4133" hidden="1" customWidth="1"/>
    <col min="27" max="27" width="11.7109375" style="4133" hidden="1" customWidth="1"/>
    <col min="28" max="28" width="8.5703125" style="4133" hidden="1" customWidth="1"/>
    <col min="29" max="29" width="24.7109375" style="4133" customWidth="1"/>
    <col min="30" max="31" width="24" style="4133" customWidth="1"/>
    <col min="32" max="32" width="11" style="4133" customWidth="1"/>
    <col min="33" max="33" width="3.7109375" style="4133" customWidth="1"/>
    <col min="34" max="34" width="11" style="4133" customWidth="1"/>
    <col min="35" max="35" width="8.5703125" style="4133" hidden="1" customWidth="1"/>
    <col min="36" max="36" width="4" style="4133" customWidth="1"/>
    <col min="37" max="37" width="115" style="4133" customWidth="1"/>
    <col min="38" max="42" width="10" style="4140" customWidth="1"/>
    <col min="43" max="43" width="10.5703125" style="4133" hidden="1"/>
  </cols>
  <sheetData>
    <row r="1" spans="1:43" ht="22.5" hidden="1" customHeight="1">
      <c r="X1" s="263"/>
      <c r="Y1" s="263"/>
      <c r="AE1" s="263"/>
      <c r="AF1" s="263"/>
      <c r="AQ1" s="1073" t="s">
        <v>14</v>
      </c>
    </row>
    <row r="2" spans="1:43" ht="23.25" hidden="1" customHeight="1">
      <c r="A2" s="1281"/>
      <c r="B2" s="1281"/>
      <c r="C2" s="1281"/>
      <c r="D2" s="1281"/>
      <c r="E2" s="4412">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4406"/>
      <c r="W2" s="4407"/>
      <c r="X2" s="4407"/>
      <c r="Y2" s="4407"/>
      <c r="Z2" s="4407"/>
      <c r="AA2" s="4407"/>
      <c r="AB2" s="4408"/>
      <c r="AC2" s="4406" t="e">
        <f>INDEX(PT_DIFFERENTIATION_NTAR,MATCH(A2,PT_DIFFERENTIATION_NTAR_ID,0))</f>
        <v>#N/A</v>
      </c>
      <c r="AD2" s="4407"/>
      <c r="AE2" s="4407"/>
      <c r="AF2" s="4407"/>
      <c r="AG2" s="4407"/>
      <c r="AH2" s="4407"/>
      <c r="AI2" s="4407"/>
      <c r="AJ2" s="440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4413"/>
      <c r="F3" s="4412">
        <v>1</v>
      </c>
      <c r="G3" s="1281"/>
      <c r="H3" s="1281"/>
      <c r="I3" s="1281"/>
      <c r="J3" s="1281"/>
      <c r="K3" s="1281"/>
      <c r="L3" s="1282"/>
      <c r="M3" s="1283"/>
      <c r="N3" s="1283"/>
      <c r="O3" s="1283"/>
      <c r="P3" s="1405"/>
      <c r="Q3" s="287"/>
      <c r="R3" s="288"/>
      <c r="S3" s="1411" t="e">
        <f>INDEX(PT_DIFFERENTIATION_NUM_TER,MATCH(B3,PT_DIFFERENTIATION_TER_ID,0))</f>
        <v>#N/A</v>
      </c>
      <c r="T3" s="244" t="s">
        <v>418</v>
      </c>
      <c r="U3" s="236"/>
      <c r="V3" s="4406"/>
      <c r="W3" s="4407"/>
      <c r="X3" s="4407"/>
      <c r="Y3" s="4407"/>
      <c r="Z3" s="4407"/>
      <c r="AA3" s="4407"/>
      <c r="AB3" s="4408"/>
      <c r="AC3" s="4406" t="e">
        <f>INDEX(PT_DIFFERENTIATION_TER,MATCH(B3,PT_DIFFERENTIATION_TER_ID,0))</f>
        <v>#N/A</v>
      </c>
      <c r="AD3" s="4407"/>
      <c r="AE3" s="4407"/>
      <c r="AF3" s="4407"/>
      <c r="AG3" s="4407"/>
      <c r="AH3" s="4407"/>
      <c r="AI3" s="4407"/>
      <c r="AJ3" s="4408"/>
      <c r="AK3" s="1176" t="s">
        <v>419</v>
      </c>
      <c r="AM3" s="435"/>
      <c r="AN3" s="435" t="str">
        <f t="shared" si="0"/>
        <v>Территория действия тарифа</v>
      </c>
      <c r="AO3" s="435"/>
      <c r="AP3" s="435"/>
      <c r="AQ3" s="1073">
        <v>0</v>
      </c>
    </row>
    <row r="4" spans="1:43" ht="23.25" hidden="1" customHeight="1">
      <c r="A4" s="1281"/>
      <c r="B4" s="1281"/>
      <c r="C4" s="1281"/>
      <c r="D4" s="1281"/>
      <c r="E4" s="4413"/>
      <c r="F4" s="4413"/>
      <c r="G4" s="4412">
        <v>1</v>
      </c>
      <c r="H4" s="1281"/>
      <c r="I4" s="1281"/>
      <c r="J4" s="1281"/>
      <c r="K4" s="1281"/>
      <c r="L4" s="1282"/>
      <c r="M4" s="1283"/>
      <c r="N4" s="1283"/>
      <c r="O4" s="1283"/>
      <c r="P4" s="289"/>
      <c r="Q4" s="287"/>
      <c r="R4" s="288"/>
      <c r="S4" s="1411" t="e">
        <f>INDEX(PT_DIFFERENTIATION_NUM_CS,MATCH(C4,PT_DIFFERENTIATION_CS_ID,0))</f>
        <v>#N/A</v>
      </c>
      <c r="T4" s="245" t="s">
        <v>537</v>
      </c>
      <c r="U4" s="236"/>
      <c r="V4" s="4406"/>
      <c r="W4" s="4407"/>
      <c r="X4" s="4407"/>
      <c r="Y4" s="4407"/>
      <c r="Z4" s="4407"/>
      <c r="AA4" s="4407"/>
      <c r="AB4" s="4408"/>
      <c r="AC4" s="4406" t="e">
        <f>INDEX(PT_DIFFERENTIATION_CS,MATCH(C4,PT_DIFFERENTIATION_CS_ID,0))</f>
        <v>#N/A</v>
      </c>
      <c r="AD4" s="4407"/>
      <c r="AE4" s="4407"/>
      <c r="AF4" s="4407"/>
      <c r="AG4" s="4407"/>
      <c r="AH4" s="4407"/>
      <c r="AI4" s="4407"/>
      <c r="AJ4" s="4408"/>
      <c r="AK4" s="1176" t="s">
        <v>538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4413"/>
      <c r="F5" s="4413"/>
      <c r="G5" s="4413"/>
      <c r="H5" s="4413"/>
      <c r="I5" s="4414" t="e">
        <f>S4&amp;".1"</f>
        <v>#N/A</v>
      </c>
      <c r="J5" s="1281"/>
      <c r="K5" s="1281"/>
      <c r="L5" s="1282"/>
      <c r="P5" s="4416">
        <v>1</v>
      </c>
      <c r="Q5" s="1399"/>
      <c r="R5" s="291"/>
      <c r="S5" s="1411" t="e">
        <f>$I5</f>
        <v>#N/A</v>
      </c>
      <c r="T5" s="221" t="s">
        <v>504</v>
      </c>
      <c r="U5" s="236"/>
      <c r="V5" s="4480"/>
      <c r="W5" s="4481"/>
      <c r="X5" s="4481"/>
      <c r="Y5" s="4481"/>
      <c r="Z5" s="4481"/>
      <c r="AA5" s="4481"/>
      <c r="AB5" s="4482"/>
      <c r="AC5" s="4483"/>
      <c r="AD5" s="4484"/>
      <c r="AE5" s="4484"/>
      <c r="AF5" s="4484"/>
      <c r="AG5" s="4484"/>
      <c r="AH5" s="4484"/>
      <c r="AI5" s="4484"/>
      <c r="AJ5" s="4485"/>
      <c r="AK5" s="1176" t="s">
        <v>505</v>
      </c>
      <c r="AM5" s="435"/>
      <c r="AN5" s="435" t="str">
        <f t="shared" si="0"/>
        <v>Наименование признака дифференциации</v>
      </c>
      <c r="AO5" s="435"/>
      <c r="AP5" s="435"/>
      <c r="AQ5" s="1073">
        <v>0</v>
      </c>
    </row>
    <row r="6" spans="1:43" ht="23.25" hidden="1" customHeight="1">
      <c r="A6" s="1281"/>
      <c r="B6" s="1281"/>
      <c r="C6" s="1281"/>
      <c r="D6" s="1281"/>
      <c r="E6" s="4413"/>
      <c r="F6" s="4413"/>
      <c r="G6" s="4413"/>
      <c r="H6" s="4413"/>
      <c r="I6" s="4415"/>
      <c r="J6" s="4414" t="e">
        <f>I5&amp;".1"</f>
        <v>#N/A</v>
      </c>
      <c r="K6" s="1281"/>
      <c r="L6" s="1282" t="s">
        <v>427</v>
      </c>
      <c r="P6" s="4416"/>
      <c r="Q6" s="4416">
        <v>1</v>
      </c>
      <c r="R6" s="292"/>
      <c r="S6" s="1411" t="e">
        <f>$J6</f>
        <v>#N/A</v>
      </c>
      <c r="T6" s="222" t="s">
        <v>428</v>
      </c>
      <c r="U6" s="236"/>
      <c r="V6" s="4400"/>
      <c r="W6" s="4401"/>
      <c r="X6" s="4401"/>
      <c r="Y6" s="4401"/>
      <c r="Z6" s="4401"/>
      <c r="AA6" s="4401"/>
      <c r="AB6" s="4402"/>
      <c r="AC6" s="4400"/>
      <c r="AD6" s="4401"/>
      <c r="AE6" s="4401"/>
      <c r="AF6" s="4401"/>
      <c r="AG6" s="4401"/>
      <c r="AH6" s="4401"/>
      <c r="AI6" s="4401"/>
      <c r="AJ6" s="4402"/>
      <c r="AK6" s="1225" t="s">
        <v>506</v>
      </c>
      <c r="AM6" s="435"/>
      <c r="AN6" s="435" t="str">
        <f t="shared" si="0"/>
        <v>Группа потребителей</v>
      </c>
      <c r="AO6" s="435"/>
      <c r="AP6" s="435"/>
      <c r="AQ6" s="1073">
        <v>0</v>
      </c>
    </row>
    <row r="7" spans="1:43" ht="23.25" hidden="1" customHeight="1">
      <c r="A7" s="1281"/>
      <c r="B7" s="1281"/>
      <c r="C7" s="1281"/>
      <c r="D7" s="1281"/>
      <c r="E7" s="4413"/>
      <c r="F7" s="4413"/>
      <c r="G7" s="4413"/>
      <c r="H7" s="4413"/>
      <c r="I7" s="4415"/>
      <c r="J7" s="4415"/>
      <c r="K7" s="4414" t="e">
        <f>J6&amp;".1"</f>
        <v>#N/A</v>
      </c>
      <c r="L7" s="1282"/>
      <c r="P7" s="4416"/>
      <c r="Q7" s="4416"/>
      <c r="R7" s="292">
        <v>1</v>
      </c>
      <c r="S7" s="1411" t="e">
        <f>$K7</f>
        <v>#N/A</v>
      </c>
      <c r="T7" s="1355"/>
      <c r="U7" s="236"/>
      <c r="V7" s="686"/>
      <c r="W7" s="686"/>
      <c r="X7" s="1175"/>
      <c r="Y7" s="4417"/>
      <c r="Z7" s="4284" t="s">
        <v>65</v>
      </c>
      <c r="AA7" s="4417"/>
      <c r="AB7" s="4284" t="s">
        <v>65</v>
      </c>
      <c r="AC7" s="686"/>
      <c r="AD7" s="686"/>
      <c r="AE7" s="1175"/>
      <c r="AF7" s="4417"/>
      <c r="AG7" s="4284" t="s">
        <v>65</v>
      </c>
      <c r="AH7" s="4419"/>
      <c r="AI7" s="4284" t="s">
        <v>65</v>
      </c>
      <c r="AJ7" s="1356"/>
      <c r="AK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4413"/>
      <c r="F8" s="4413"/>
      <c r="G8" s="4413"/>
      <c r="H8" s="4413"/>
      <c r="I8" s="4415"/>
      <c r="J8" s="4415"/>
      <c r="K8" s="4414"/>
      <c r="L8" s="1282"/>
      <c r="P8" s="4416"/>
      <c r="Q8" s="4416"/>
      <c r="R8" s="292"/>
      <c r="S8" s="1408"/>
      <c r="T8" s="236"/>
      <c r="U8" s="236"/>
      <c r="V8" s="261"/>
      <c r="W8" s="261"/>
      <c r="X8" s="264" t="str">
        <f>Y7&amp;"-"&amp;AA7</f>
        <v>-</v>
      </c>
      <c r="Y8" s="4418"/>
      <c r="Z8" s="4284"/>
      <c r="AA8" s="4418"/>
      <c r="AB8" s="4284"/>
      <c r="AC8" s="261"/>
      <c r="AD8" s="261"/>
      <c r="AE8" s="264" t="str">
        <f>AF7&amp;"-"&amp;AH7</f>
        <v>-</v>
      </c>
      <c r="AF8" s="4418"/>
      <c r="AG8" s="4284"/>
      <c r="AH8" s="4420"/>
      <c r="AI8" s="4284"/>
      <c r="AJ8" s="1357"/>
      <c r="AK8" s="4486"/>
      <c r="AM8" s="435"/>
      <c r="AN8" s="435" t="str">
        <f t="shared" si="0"/>
        <v/>
      </c>
      <c r="AO8" s="435"/>
      <c r="AP8" s="435"/>
      <c r="AQ8" s="1073">
        <v>0</v>
      </c>
    </row>
    <row r="9" spans="1:43" ht="21" hidden="1" customHeight="1">
      <c r="A9" s="1281"/>
      <c r="B9" s="1281"/>
      <c r="C9" s="1281"/>
      <c r="D9" s="1281"/>
      <c r="E9" s="4413"/>
      <c r="F9" s="4413"/>
      <c r="G9" s="4413"/>
      <c r="H9" s="4413"/>
      <c r="I9" s="4415"/>
      <c r="J9" s="4414"/>
      <c r="K9" s="1281"/>
      <c r="L9" s="1282"/>
      <c r="P9" s="4416"/>
      <c r="Q9" s="4416"/>
      <c r="R9" s="291"/>
      <c r="S9" s="1196"/>
      <c r="T9" s="223" t="s">
        <v>507</v>
      </c>
      <c r="U9" s="302"/>
      <c r="V9" s="302"/>
      <c r="W9" s="302"/>
      <c r="X9" s="302"/>
      <c r="Y9" s="302"/>
      <c r="Z9" s="302"/>
      <c r="AA9" s="302"/>
      <c r="AB9" s="302"/>
      <c r="AC9" s="302"/>
      <c r="AD9" s="302"/>
      <c r="AE9" s="302"/>
      <c r="AF9" s="302"/>
      <c r="AG9" s="302"/>
      <c r="AH9" s="302"/>
      <c r="AI9" s="302"/>
      <c r="AJ9" s="302"/>
      <c r="AK9" s="1176" t="s">
        <v>508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4413"/>
      <c r="F10" s="4413"/>
      <c r="G10" s="4413"/>
      <c r="H10" s="4413"/>
      <c r="I10" s="4414"/>
      <c r="J10" s="1281"/>
      <c r="K10" s="1281"/>
      <c r="L10" s="1282"/>
      <c r="P10" s="4416"/>
      <c r="Q10" s="1399"/>
      <c r="R10" s="291"/>
      <c r="S10" s="1196"/>
      <c r="T10" s="300" t="s">
        <v>433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4140" customFormat="1" ht="14.25" hidden="1" customHeight="1">
      <c r="A12" s="1261"/>
      <c r="B12" s="1261"/>
      <c r="C12" s="1232"/>
      <c r="D12" s="1232"/>
      <c r="E12" s="4413"/>
      <c r="F12" s="4412"/>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4410"/>
      <c r="AG15" s="4409" t="s">
        <v>65</v>
      </c>
      <c r="AH15" s="4410"/>
      <c r="AI15" s="4409" t="s">
        <v>65</v>
      </c>
      <c r="AQ15" s="1073">
        <v>0</v>
      </c>
    </row>
    <row r="16" spans="1:43" ht="14.25" hidden="1" customHeight="1">
      <c r="AC16" s="1278"/>
      <c r="AD16" s="1278"/>
      <c r="AE16" s="264" t="str">
        <f>AF15&amp;"-"&amp;AH15</f>
        <v>-</v>
      </c>
      <c r="AF16" s="4409"/>
      <c r="AG16" s="4409"/>
      <c r="AH16" s="4409"/>
      <c r="AI16" s="4409"/>
      <c r="AQ16" s="1073">
        <v>0</v>
      </c>
    </row>
    <row r="17" spans="1:43" ht="14.25" hidden="1" customHeight="1">
      <c r="AI17" s="263"/>
      <c r="AQ17" s="1073">
        <v>0</v>
      </c>
    </row>
    <row r="18" spans="1:43" s="4139" customFormat="1" ht="22.5" hidden="1" customHeight="1">
      <c r="L18" s="1396"/>
      <c r="M18" s="1280"/>
      <c r="N18" s="1280"/>
      <c r="O18" s="1285" t="s">
        <v>435</v>
      </c>
      <c r="P18" s="1280"/>
      <c r="Q18" s="1289"/>
      <c r="R18" s="1289"/>
      <c r="S18" s="664"/>
      <c r="Y18" s="1285"/>
      <c r="AA18" s="1285"/>
      <c r="AB18" s="1284"/>
      <c r="AF18" s="1285"/>
      <c r="AH18" s="1285"/>
      <c r="AI18" s="1284"/>
      <c r="AL18" s="446"/>
      <c r="AM18" s="446"/>
      <c r="AN18" s="446"/>
      <c r="AO18" s="446"/>
      <c r="AP18" s="446"/>
      <c r="AQ18" s="1078">
        <v>0</v>
      </c>
    </row>
    <row r="19" spans="1:43" s="413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4139" customFormat="1" ht="12" hidden="1" customHeight="1">
      <c r="L20" s="1396"/>
      <c r="M20" s="1280"/>
      <c r="N20" s="1280"/>
      <c r="O20" s="1282" t="s">
        <v>436</v>
      </c>
      <c r="P20" s="1280"/>
      <c r="Q20" s="1360"/>
      <c r="R20" s="1360"/>
      <c r="S20" s="664"/>
      <c r="T20" s="1078" t="s">
        <v>437</v>
      </c>
      <c r="Z20" s="123" t="s">
        <v>438</v>
      </c>
      <c r="AB20" s="123" t="s">
        <v>439</v>
      </c>
      <c r="AC20" s="1078" t="s">
        <v>437</v>
      </c>
      <c r="AG20" s="123" t="s">
        <v>440</v>
      </c>
      <c r="AI20" s="123" t="s">
        <v>439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43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393"/>
      <c r="U24" s="4393"/>
      <c r="V24" s="4393"/>
      <c r="W24" s="4393"/>
      <c r="X24" s="4393"/>
      <c r="Y24" s="4393"/>
      <c r="Z24" s="4393"/>
      <c r="AA24" s="4393"/>
      <c r="AB24" s="4393"/>
      <c r="AC24" s="4393"/>
      <c r="AD24" s="4393"/>
      <c r="AE24" s="4393"/>
      <c r="AF24" s="4393"/>
      <c r="AG24" s="4393"/>
      <c r="AH24" s="4393"/>
      <c r="AI24" s="1161"/>
      <c r="AQ24" s="1073">
        <v>14</v>
      </c>
    </row>
    <row r="25" spans="1:43"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262"/>
      <c r="AC27" s="4405" t="str">
        <f>IF(TITLE_NAME_OR_PR_CHANGE="",IF(TITLE_NAME_OR_PR="","",TITLE_NAME_OR_PR),TITLE_NAME_OR_PR_CHANGE)</f>
        <v>Комитет по тарифному регулированию Мурманской области</v>
      </c>
      <c r="AD27" s="4405"/>
      <c r="AE27" s="4405"/>
      <c r="AF27" s="4405"/>
      <c r="AG27" s="4405"/>
      <c r="AH27" s="4405"/>
      <c r="AI27" s="262"/>
      <c r="AJ27" s="262"/>
      <c r="AK27" s="216"/>
      <c r="AL27" s="303"/>
      <c r="AM27" s="303"/>
      <c r="AN27" s="303"/>
      <c r="AO27" s="303"/>
      <c r="AP27" s="303"/>
      <c r="AQ27" s="353">
        <v>0</v>
      </c>
    </row>
    <row r="28" spans="1:43"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262"/>
      <c r="AC28" s="4404">
        <f>IF(TITLE_DATE_PR_CHANGE="",IF(TITLE_DATE_PR="","",TITLE_DATE_PR),TITLE_DATE_PR_CHANGE)</f>
        <v>45646</v>
      </c>
      <c r="AD28" s="4404"/>
      <c r="AE28" s="4404"/>
      <c r="AF28" s="4404"/>
      <c r="AG28" s="4404"/>
      <c r="AH28" s="4404"/>
      <c r="AI28" s="262"/>
      <c r="AJ28" s="262"/>
      <c r="AK28" s="216"/>
      <c r="AL28" s="303"/>
      <c r="AM28" s="303"/>
      <c r="AN28" s="303"/>
      <c r="AO28" s="303"/>
      <c r="AP28" s="303"/>
      <c r="AQ28" s="353">
        <v>0</v>
      </c>
    </row>
    <row r="29" spans="1:43"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262"/>
      <c r="AC29" s="4405" t="str">
        <f>IF(TITLE_NUMBER_PR_CHANGE="",IF(TITLE_NUMBER_PR="","",TITLE_NUMBER_PR),TITLE_NUMBER_PR_CHANGE)</f>
        <v>51/110</v>
      </c>
      <c r="AD29" s="4405"/>
      <c r="AE29" s="4405"/>
      <c r="AF29" s="4405"/>
      <c r="AG29" s="4405"/>
      <c r="AH29" s="4405"/>
      <c r="AI29" s="262"/>
      <c r="AJ29" s="262"/>
      <c r="AK29" s="216"/>
      <c r="AL29" s="303"/>
      <c r="AM29" s="303"/>
      <c r="AN29" s="303"/>
      <c r="AO29" s="303"/>
      <c r="AP29" s="303"/>
      <c r="AQ29" s="353">
        <v>0</v>
      </c>
    </row>
    <row r="30" spans="1:43"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262"/>
      <c r="AC30" s="4405" t="str">
        <f>IF(TITLE_IST_PUB_CHANGE="",IF(TITLE_IST_PUB="","",TITLE_IST_PUB),TITLE_IST_PUB_CHANGE)</f>
        <v>https://npa.gov-murman.ru/bitrix/components/b1team/govmurman.element.file/download.php?ID=537820&amp;FID=814582</v>
      </c>
      <c r="AD30" s="4405"/>
      <c r="AE30" s="4405"/>
      <c r="AF30" s="4405"/>
      <c r="AG30" s="4405"/>
      <c r="AH30" s="440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262"/>
      <c r="AC32" s="4404">
        <f>IF(TITLE_DATE_PR_CHANGE="",IF(TITLE_DATE_PR="","",TITLE_DATE_PR),TITLE_DATE_PR_CHANGE)</f>
        <v>45646</v>
      </c>
      <c r="AD32" s="4404"/>
      <c r="AE32" s="4404"/>
      <c r="AF32" s="4404"/>
      <c r="AG32" s="4404"/>
      <c r="AH32" s="4404"/>
      <c r="AI32" s="262"/>
      <c r="AJ32" s="262"/>
      <c r="AK32" s="216"/>
      <c r="AL32" s="303"/>
      <c r="AM32" s="303"/>
      <c r="AN32" s="303"/>
      <c r="AO32" s="303"/>
      <c r="AP32" s="303"/>
      <c r="AQ32" s="353">
        <v>0</v>
      </c>
    </row>
    <row r="33" spans="1:43"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262"/>
      <c r="AC33" s="4405" t="str">
        <f>IF(TITLE_NUMBER_PR_CHANGE="",IF(TITLE_NUMBER_PR="","",TITLE_NUMBER_PR),TITLE_NUMBER_PR_CHANGE)</f>
        <v>51/110</v>
      </c>
      <c r="AD33" s="4405"/>
      <c r="AE33" s="4405"/>
      <c r="AF33" s="4405"/>
      <c r="AG33" s="4405"/>
      <c r="AH33" s="4405"/>
      <c r="AI33" s="262"/>
      <c r="AJ33" s="262"/>
      <c r="AK33" s="216"/>
      <c r="AL33" s="303"/>
      <c r="AM33" s="303"/>
      <c r="AN33" s="303"/>
      <c r="AO33" s="303"/>
      <c r="AP33" s="303"/>
      <c r="AQ33" s="353">
        <v>0</v>
      </c>
    </row>
    <row r="34" spans="1:43"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445</v>
      </c>
      <c r="AC34" s="262"/>
      <c r="AD34" s="262"/>
      <c r="AE34" s="262"/>
      <c r="AF34" s="262"/>
      <c r="AG34" s="262"/>
      <c r="AH34" s="262"/>
      <c r="AI34" s="214" t="s">
        <v>445</v>
      </c>
      <c r="AL34" s="303"/>
      <c r="AM34" s="303"/>
      <c r="AN34" s="303"/>
      <c r="AO34" s="303"/>
      <c r="AP34" s="303"/>
      <c r="AQ34" s="353">
        <v>1</v>
      </c>
    </row>
    <row r="35" spans="1:43" ht="14.65" customHeight="1">
      <c r="Q35" s="311"/>
      <c r="R35" s="311"/>
      <c r="S35" s="1193"/>
      <c r="T35" s="298"/>
      <c r="U35" s="1162"/>
      <c r="V35" s="4424"/>
      <c r="W35" s="4424"/>
      <c r="X35" s="4424"/>
      <c r="Y35" s="4424"/>
      <c r="Z35" s="4424"/>
      <c r="AA35" s="4424"/>
      <c r="AB35" s="4424"/>
      <c r="AC35" s="4424"/>
      <c r="AD35" s="4424"/>
      <c r="AE35" s="4424"/>
      <c r="AF35" s="4424"/>
      <c r="AG35" s="4424"/>
      <c r="AH35" s="4424"/>
      <c r="AI35" s="4424"/>
      <c r="AQ35" s="1073">
        <v>14</v>
      </c>
    </row>
    <row r="36" spans="1:43"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t="s">
        <v>322</v>
      </c>
      <c r="AQ36" s="1073">
        <v>14</v>
      </c>
    </row>
    <row r="37" spans="1:43" ht="14.65" customHeight="1">
      <c r="Q37" s="311"/>
      <c r="R37" s="311"/>
      <c r="S37" s="4425" t="s">
        <v>92</v>
      </c>
      <c r="T37" s="4373" t="s">
        <v>446</v>
      </c>
      <c r="U37" s="237"/>
      <c r="V37" s="4426" t="s">
        <v>447</v>
      </c>
      <c r="W37" s="4427"/>
      <c r="X37" s="4427"/>
      <c r="Y37" s="4427"/>
      <c r="Z37" s="4427"/>
      <c r="AA37" s="4428"/>
      <c r="AB37" s="4429" t="s">
        <v>448</v>
      </c>
      <c r="AC37" s="4426" t="s">
        <v>447</v>
      </c>
      <c r="AD37" s="4427"/>
      <c r="AE37" s="4427"/>
      <c r="AF37" s="4427"/>
      <c r="AG37" s="4427"/>
      <c r="AH37" s="4428"/>
      <c r="AI37" s="4429" t="s">
        <v>449</v>
      </c>
      <c r="AJ37" s="4432" t="s">
        <v>450</v>
      </c>
      <c r="AK37" s="4274"/>
      <c r="AQ37" s="1073">
        <v>14</v>
      </c>
    </row>
    <row r="38" spans="1:43" ht="35.65" customHeight="1">
      <c r="Q38" s="311"/>
      <c r="R38" s="311"/>
      <c r="S38" s="4425"/>
      <c r="T38" s="4373"/>
      <c r="U38" s="953"/>
      <c r="V38" s="1401" t="s">
        <v>510</v>
      </c>
      <c r="W38" s="4256" t="s">
        <v>453</v>
      </c>
      <c r="X38" s="4255"/>
      <c r="Y38" s="4256" t="s">
        <v>454</v>
      </c>
      <c r="Z38" s="4261"/>
      <c r="AA38" s="4255"/>
      <c r="AB38" s="4430"/>
      <c r="AC38" s="1401" t="s">
        <v>510</v>
      </c>
      <c r="AD38" s="4256" t="s">
        <v>453</v>
      </c>
      <c r="AE38" s="4255"/>
      <c r="AF38" s="4256" t="s">
        <v>454</v>
      </c>
      <c r="AG38" s="4261"/>
      <c r="AH38" s="4255"/>
      <c r="AI38" s="4430"/>
      <c r="AJ38" s="4433"/>
      <c r="AK38" s="4274"/>
      <c r="AQ38" s="1073">
        <v>34</v>
      </c>
    </row>
    <row r="39" spans="1:43" ht="90.4" customHeight="1">
      <c r="A39" s="1288"/>
      <c r="B39" s="1288" t="s">
        <v>138</v>
      </c>
      <c r="C39" s="1288" t="s">
        <v>139</v>
      </c>
      <c r="D39" s="1288" t="s">
        <v>140</v>
      </c>
      <c r="E39" s="1282" t="s">
        <v>455</v>
      </c>
      <c r="F39" s="1282" t="s">
        <v>456</v>
      </c>
      <c r="G39" s="1282" t="s">
        <v>457</v>
      </c>
      <c r="H39" s="1282"/>
      <c r="I39" s="1282" t="s">
        <v>511</v>
      </c>
      <c r="J39" s="1282" t="s">
        <v>460</v>
      </c>
      <c r="K39" s="1282" t="s">
        <v>512</v>
      </c>
      <c r="L39" s="1282" t="s">
        <v>436</v>
      </c>
      <c r="Q39" s="311"/>
      <c r="R39" s="311"/>
      <c r="S39" s="4425"/>
      <c r="T39" s="4373"/>
      <c r="U39" s="238"/>
      <c r="V39" s="1401" t="s">
        <v>539</v>
      </c>
      <c r="W39" s="1140" t="s">
        <v>540</v>
      </c>
      <c r="X39" s="1140" t="s">
        <v>515</v>
      </c>
      <c r="Y39" s="1407" t="s">
        <v>464</v>
      </c>
      <c r="Z39" s="4378" t="s">
        <v>465</v>
      </c>
      <c r="AA39" s="4392"/>
      <c r="AB39" s="4431"/>
      <c r="AC39" s="1401" t="s">
        <v>539</v>
      </c>
      <c r="AD39" s="1140" t="s">
        <v>540</v>
      </c>
      <c r="AE39" s="1140" t="s">
        <v>515</v>
      </c>
      <c r="AF39" s="1407" t="s">
        <v>464</v>
      </c>
      <c r="AG39" s="4378" t="s">
        <v>465</v>
      </c>
      <c r="AH39" s="4392"/>
      <c r="AI39" s="4431"/>
      <c r="AJ39" s="4434"/>
      <c r="AK39" s="4274"/>
      <c r="AQ39" s="1073">
        <v>86</v>
      </c>
    </row>
    <row r="40" spans="1:43" s="416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114</v>
      </c>
      <c r="U40" s="1163" t="str">
        <f ca="1">OFFSET(U40,0,-1)</f>
        <v>2</v>
      </c>
      <c r="V40" s="1400">
        <f ca="1">OFFSET(V40,0,-1)+1</f>
        <v>3</v>
      </c>
      <c r="W40" s="1400">
        <f ca="1">OFFSET(W40,0,-1)+1</f>
        <v>4</v>
      </c>
      <c r="X40" s="1400">
        <f ca="1">OFFSET(X40,0,-1)+1</f>
        <v>5</v>
      </c>
      <c r="Y40" s="1400">
        <f ca="1">OFFSET(Y40,0,-1)+1</f>
        <v>6</v>
      </c>
      <c r="Z40" s="4423">
        <f ca="1">OFFSET(Z40,0,-1)+1</f>
        <v>7</v>
      </c>
      <c r="AA40" s="4423"/>
      <c r="AB40" s="1400">
        <f ca="1">OFFSET(AB40,0,-2)+1</f>
        <v>8</v>
      </c>
      <c r="AC40" s="1400">
        <f ca="1">OFFSET(AC40,0,-1)+1</f>
        <v>9</v>
      </c>
      <c r="AD40" s="1400">
        <f ca="1">OFFSET(AD40,0,-1)+1</f>
        <v>10</v>
      </c>
      <c r="AE40" s="1400">
        <f ca="1">OFFSET(AE40,0,-1)+1</f>
        <v>11</v>
      </c>
      <c r="AF40" s="1400">
        <f ca="1">OFFSET(AF40,0,-1)+1</f>
        <v>12</v>
      </c>
      <c r="AG40" s="4423">
        <f ca="1">OFFSET(AG40,0,-1)+1</f>
        <v>13</v>
      </c>
      <c r="AH40" s="4423"/>
      <c r="AI40" s="1400">
        <f ca="1">OFFSET(AI40,0,-2)+1</f>
        <v>14</v>
      </c>
      <c r="AJ40" s="1163">
        <f ca="1">OFFSET(AJ40,0,-1)</f>
        <v>14</v>
      </c>
      <c r="AK40" s="1400">
        <f ca="1">OFFSET(AK40,0,-1)+1</f>
        <v>15</v>
      </c>
      <c r="AL40" s="446"/>
      <c r="AM40" s="446"/>
      <c r="AN40" s="446"/>
      <c r="AO40" s="446"/>
      <c r="AP40" s="446"/>
      <c r="AQ40" s="431">
        <v>0</v>
      </c>
    </row>
    <row r="41" spans="1:43" ht="24" customHeight="1">
      <c r="A41" s="1281" t="s">
        <v>292</v>
      </c>
      <c r="B41" s="1281"/>
      <c r="C41" s="1281"/>
      <c r="D41" s="1281"/>
      <c r="E41" s="441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126</v>
      </c>
      <c r="U41" s="236"/>
      <c r="V41" s="4406"/>
      <c r="W41" s="4407"/>
      <c r="X41" s="4407"/>
      <c r="Y41" s="4407"/>
      <c r="Z41" s="4407"/>
      <c r="AA41" s="4407"/>
      <c r="AB41" s="4408"/>
      <c r="AC41" s="4406" t="str">
        <f>INDEX(PT_DIFFERENTIATION_NTAR,MATCH(A41,PT_DIFFERENTIATION_NTAR_ID,0))</f>
        <v/>
      </c>
      <c r="AD41" s="4407"/>
      <c r="AE41" s="4407"/>
      <c r="AF41" s="4407"/>
      <c r="AG41" s="4407"/>
      <c r="AH41" s="4407"/>
      <c r="AI41" s="4407"/>
      <c r="AJ41" s="440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292</v>
      </c>
      <c r="B42" s="1281" t="s">
        <v>293</v>
      </c>
      <c r="C42" s="1281"/>
      <c r="D42" s="1281"/>
      <c r="E42" s="4413"/>
      <c r="F42" s="4412">
        <v>1</v>
      </c>
      <c r="G42" s="1281"/>
      <c r="H42" s="1281"/>
      <c r="I42" s="1281"/>
      <c r="J42" s="1281"/>
      <c r="K42" s="1281"/>
      <c r="L42" s="1282"/>
      <c r="M42" s="1283"/>
      <c r="N42" s="1283"/>
      <c r="O42" s="1283"/>
      <c r="P42" s="1405"/>
      <c r="Q42" s="287"/>
      <c r="R42" s="288"/>
      <c r="S42" s="1411" t="str">
        <f>INDEX(PT_DIFFERENTIATION_NUM_TER,MATCH(B42,PT_DIFFERENTIATION_TER_ID,0))</f>
        <v>.</v>
      </c>
      <c r="T42" s="244" t="s">
        <v>418</v>
      </c>
      <c r="U42" s="236"/>
      <c r="V42" s="4406"/>
      <c r="W42" s="4407"/>
      <c r="X42" s="4407"/>
      <c r="Y42" s="4407"/>
      <c r="Z42" s="4407"/>
      <c r="AA42" s="4407"/>
      <c r="AB42" s="4408"/>
      <c r="AC42" s="4406" t="str">
        <f>INDEX(PT_DIFFERENTIATION_TER,MATCH(B42,PT_DIFFERENTIATION_TER_ID,0))</f>
        <v/>
      </c>
      <c r="AD42" s="4407"/>
      <c r="AE42" s="4407"/>
      <c r="AF42" s="4407"/>
      <c r="AG42" s="4407"/>
      <c r="AH42" s="4407"/>
      <c r="AI42" s="4407"/>
      <c r="AJ42" s="4408"/>
      <c r="AK42" s="1176" t="s">
        <v>419</v>
      </c>
      <c r="AM42" s="435"/>
      <c r="AN42" s="435" t="str">
        <f t="shared" si="1"/>
        <v>Территория действия тарифа</v>
      </c>
      <c r="AO42" s="435"/>
      <c r="AP42" s="435"/>
      <c r="AQ42" s="1073">
        <v>23</v>
      </c>
    </row>
    <row r="43" spans="1:43" ht="24" customHeight="1">
      <c r="A43" s="1281" t="s">
        <v>292</v>
      </c>
      <c r="B43" s="1281" t="s">
        <v>293</v>
      </c>
      <c r="C43" s="1281" t="s">
        <v>294</v>
      </c>
      <c r="D43" s="1281"/>
      <c r="E43" s="4413"/>
      <c r="F43" s="4413"/>
      <c r="G43" s="4412">
        <v>1</v>
      </c>
      <c r="H43" s="1281"/>
      <c r="I43" s="1281"/>
      <c r="J43" s="1281"/>
      <c r="K43" s="1281"/>
      <c r="L43" s="1282"/>
      <c r="M43" s="1283"/>
      <c r="N43" s="1283"/>
      <c r="O43" s="1283"/>
      <c r="P43" s="289"/>
      <c r="Q43" s="287"/>
      <c r="R43" s="288"/>
      <c r="S43" s="1411" t="str">
        <f>INDEX(PT_DIFFERENTIATION_NUM_CS,MATCH(C43,PT_DIFFERENTIATION_CS_ID,0))</f>
        <v>..</v>
      </c>
      <c r="T43" s="245" t="s">
        <v>537</v>
      </c>
      <c r="U43" s="236"/>
      <c r="V43" s="4406"/>
      <c r="W43" s="4407"/>
      <c r="X43" s="4407"/>
      <c r="Y43" s="4407"/>
      <c r="Z43" s="4407"/>
      <c r="AA43" s="4407"/>
      <c r="AB43" s="4408"/>
      <c r="AC43" s="4406" t="str">
        <f>INDEX(PT_DIFFERENTIATION_CS,MATCH(C43,PT_DIFFERENTIATION_CS_ID,0))</f>
        <v/>
      </c>
      <c r="AD43" s="4407"/>
      <c r="AE43" s="4407"/>
      <c r="AF43" s="4407"/>
      <c r="AG43" s="4407"/>
      <c r="AH43" s="4407"/>
      <c r="AI43" s="4407"/>
      <c r="AJ43" s="4408"/>
      <c r="AK43" s="1176" t="s">
        <v>538</v>
      </c>
      <c r="AM43" s="435"/>
      <c r="AN43" s="435" t="str">
        <f t="shared" si="1"/>
        <v>Наименование централизованной системы водоотведения</v>
      </c>
      <c r="AO43" s="435"/>
      <c r="AP43" s="435"/>
      <c r="AQ43" s="1073">
        <v>23</v>
      </c>
    </row>
    <row r="44" spans="1:43" ht="24" customHeight="1">
      <c r="A44" s="1281" t="s">
        <v>292</v>
      </c>
      <c r="B44" s="1281" t="s">
        <v>293</v>
      </c>
      <c r="C44" s="1281" t="s">
        <v>294</v>
      </c>
      <c r="D44" s="1281" t="s">
        <v>542</v>
      </c>
      <c r="E44" s="4413"/>
      <c r="F44" s="4413"/>
      <c r="G44" s="4413"/>
      <c r="H44" s="4413"/>
      <c r="I44" s="4414" t="str">
        <f>S43&amp;".1"</f>
        <v>...1</v>
      </c>
      <c r="J44" s="1281"/>
      <c r="K44" s="1281"/>
      <c r="L44" s="1282"/>
      <c r="P44" s="4416">
        <v>1</v>
      </c>
      <c r="Q44" s="1399"/>
      <c r="R44" s="291"/>
      <c r="S44" s="1411" t="str">
        <f>$I44</f>
        <v>...1</v>
      </c>
      <c r="T44" s="221" t="s">
        <v>504</v>
      </c>
      <c r="U44" s="236"/>
      <c r="V44" s="4480"/>
      <c r="W44" s="4481"/>
      <c r="X44" s="4481"/>
      <c r="Y44" s="4481"/>
      <c r="Z44" s="4481"/>
      <c r="AA44" s="4481"/>
      <c r="AB44" s="4482"/>
      <c r="AC44" s="4483"/>
      <c r="AD44" s="4484"/>
      <c r="AE44" s="4484"/>
      <c r="AF44" s="4484"/>
      <c r="AG44" s="4484"/>
      <c r="AH44" s="4484"/>
      <c r="AI44" s="4484"/>
      <c r="AJ44" s="4485"/>
      <c r="AK44" s="1176" t="s">
        <v>505</v>
      </c>
      <c r="AM44" s="435"/>
      <c r="AN44" s="435" t="str">
        <f t="shared" si="1"/>
        <v>Наименование признака дифференциации</v>
      </c>
      <c r="AO44" s="435"/>
      <c r="AP44" s="435"/>
      <c r="AQ44" s="1073">
        <v>23</v>
      </c>
    </row>
    <row r="45" spans="1:43" ht="24" customHeight="1">
      <c r="A45" s="1281" t="s">
        <v>292</v>
      </c>
      <c r="B45" s="1281" t="s">
        <v>293</v>
      </c>
      <c r="C45" s="1281" t="s">
        <v>294</v>
      </c>
      <c r="D45" s="1281" t="s">
        <v>542</v>
      </c>
      <c r="E45" s="4413"/>
      <c r="F45" s="4413"/>
      <c r="G45" s="4413"/>
      <c r="H45" s="4413"/>
      <c r="I45" s="4415"/>
      <c r="J45" s="4414" t="str">
        <f>I44&amp;".1"</f>
        <v>...1.1</v>
      </c>
      <c r="K45" s="1281"/>
      <c r="L45" s="1282" t="s">
        <v>427</v>
      </c>
      <c r="P45" s="4416"/>
      <c r="Q45" s="4416">
        <v>1</v>
      </c>
      <c r="R45" s="292"/>
      <c r="S45" s="1411" t="str">
        <f>$J45</f>
        <v>...1.1</v>
      </c>
      <c r="T45" s="222" t="s">
        <v>428</v>
      </c>
      <c r="U45" s="236"/>
      <c r="V45" s="4400"/>
      <c r="W45" s="4401"/>
      <c r="X45" s="4401"/>
      <c r="Y45" s="4401"/>
      <c r="Z45" s="4401"/>
      <c r="AA45" s="4401"/>
      <c r="AB45" s="4402"/>
      <c r="AC45" s="4400"/>
      <c r="AD45" s="4401"/>
      <c r="AE45" s="4401"/>
      <c r="AF45" s="4401"/>
      <c r="AG45" s="4401"/>
      <c r="AH45" s="4401"/>
      <c r="AI45" s="4401"/>
      <c r="AJ45" s="4402"/>
      <c r="AK45" s="1225" t="s">
        <v>506</v>
      </c>
      <c r="AM45" s="435"/>
      <c r="AN45" s="435" t="str">
        <f t="shared" si="1"/>
        <v>Группа потребителей</v>
      </c>
      <c r="AO45" s="435"/>
      <c r="AP45" s="435"/>
      <c r="AQ45" s="1073">
        <v>23</v>
      </c>
    </row>
    <row r="46" spans="1:43" ht="24" customHeight="1">
      <c r="A46" s="1281" t="s">
        <v>292</v>
      </c>
      <c r="B46" s="1281" t="s">
        <v>293</v>
      </c>
      <c r="C46" s="1281" t="s">
        <v>294</v>
      </c>
      <c r="D46" s="1281" t="s">
        <v>542</v>
      </c>
      <c r="E46" s="4413"/>
      <c r="F46" s="4413"/>
      <c r="G46" s="4413"/>
      <c r="H46" s="4413"/>
      <c r="I46" s="4415"/>
      <c r="J46" s="4415"/>
      <c r="K46" s="4414" t="str">
        <f>J45&amp;".1"</f>
        <v>...1.1.1</v>
      </c>
      <c r="L46" s="1282"/>
      <c r="P46" s="4416"/>
      <c r="Q46" s="4416"/>
      <c r="R46" s="292">
        <v>1</v>
      </c>
      <c r="S46" s="1411" t="str">
        <f>$K46</f>
        <v>...1.1.1</v>
      </c>
      <c r="T46" s="1355"/>
      <c r="U46" s="236"/>
      <c r="V46" s="1278"/>
      <c r="W46" s="1278"/>
      <c r="X46" s="1279"/>
      <c r="Y46" s="4410"/>
      <c r="Z46" s="4409" t="s">
        <v>65</v>
      </c>
      <c r="AA46" s="4410"/>
      <c r="AB46" s="4409" t="s">
        <v>65</v>
      </c>
      <c r="AC46" s="686"/>
      <c r="AD46" s="686"/>
      <c r="AE46" s="1175"/>
      <c r="AF46" s="4417"/>
      <c r="AG46" s="4284" t="s">
        <v>65</v>
      </c>
      <c r="AH46" s="4419"/>
      <c r="AI46" s="4284" t="s">
        <v>19</v>
      </c>
      <c r="AJ46" s="1356"/>
      <c r="AK46"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292</v>
      </c>
      <c r="B47" s="1281" t="s">
        <v>293</v>
      </c>
      <c r="C47" s="1281" t="s">
        <v>294</v>
      </c>
      <c r="D47" s="1281" t="s">
        <v>542</v>
      </c>
      <c r="E47" s="4413"/>
      <c r="F47" s="4413"/>
      <c r="G47" s="4413"/>
      <c r="H47" s="4413"/>
      <c r="I47" s="4415"/>
      <c r="J47" s="4415"/>
      <c r="K47" s="4414"/>
      <c r="L47" s="1282"/>
      <c r="P47" s="4416"/>
      <c r="Q47" s="4416"/>
      <c r="R47" s="292"/>
      <c r="S47" s="1408"/>
      <c r="T47" s="236"/>
      <c r="U47" s="236"/>
      <c r="V47" s="1278"/>
      <c r="W47" s="1278"/>
      <c r="X47" s="264" t="str">
        <f>Y46&amp;"-"&amp;AA46</f>
        <v>-</v>
      </c>
      <c r="Y47" s="4409"/>
      <c r="Z47" s="4409"/>
      <c r="AA47" s="4409"/>
      <c r="AB47" s="4409"/>
      <c r="AC47" s="261"/>
      <c r="AD47" s="261"/>
      <c r="AE47" s="264" t="str">
        <f>AF46&amp;"-"&amp;AH46</f>
        <v>-</v>
      </c>
      <c r="AF47" s="4418"/>
      <c r="AG47" s="4284"/>
      <c r="AH47" s="4420"/>
      <c r="AI47" s="4284"/>
      <c r="AJ47" s="1357"/>
      <c r="AK47" s="4486"/>
      <c r="AM47" s="435"/>
      <c r="AN47" s="435" t="str">
        <f t="shared" si="1"/>
        <v/>
      </c>
      <c r="AO47" s="435"/>
      <c r="AP47" s="435"/>
      <c r="AQ47" s="1073">
        <v>0</v>
      </c>
    </row>
    <row r="48" spans="1:43" ht="21" customHeight="1">
      <c r="A48" s="1281" t="s">
        <v>292</v>
      </c>
      <c r="B48" s="1281" t="s">
        <v>293</v>
      </c>
      <c r="C48" s="1281" t="s">
        <v>294</v>
      </c>
      <c r="D48" s="1281" t="s">
        <v>542</v>
      </c>
      <c r="E48" s="4413"/>
      <c r="F48" s="4413"/>
      <c r="G48" s="4413"/>
      <c r="H48" s="4413"/>
      <c r="I48" s="4415"/>
      <c r="J48" s="4414"/>
      <c r="K48" s="1281"/>
      <c r="L48" s="1282"/>
      <c r="P48" s="4416"/>
      <c r="Q48" s="4416"/>
      <c r="R48" s="291"/>
      <c r="S48" s="1196"/>
      <c r="T48" s="223" t="s">
        <v>507</v>
      </c>
      <c r="U48" s="302"/>
      <c r="V48" s="302"/>
      <c r="W48" s="302"/>
      <c r="X48" s="302"/>
      <c r="Y48" s="302"/>
      <c r="Z48" s="302"/>
      <c r="AA48" s="302"/>
      <c r="AB48" s="302"/>
      <c r="AC48" s="302"/>
      <c r="AD48" s="302"/>
      <c r="AE48" s="302"/>
      <c r="AF48" s="302"/>
      <c r="AG48" s="302"/>
      <c r="AH48" s="302"/>
      <c r="AI48" s="302"/>
      <c r="AJ48" s="302"/>
      <c r="AK48" s="1176" t="s">
        <v>508</v>
      </c>
      <c r="AM48" s="435"/>
      <c r="AN48" s="435" t="str">
        <f t="shared" si="1"/>
        <v>Добавить значение признака дифференциации</v>
      </c>
      <c r="AO48" s="435"/>
      <c r="AP48" s="435"/>
      <c r="AQ48" s="1073">
        <v>20</v>
      </c>
    </row>
    <row r="49" spans="1:43" ht="21.95" customHeight="1">
      <c r="A49" s="1281" t="s">
        <v>292</v>
      </c>
      <c r="B49" s="1281" t="s">
        <v>293</v>
      </c>
      <c r="C49" s="1281" t="s">
        <v>294</v>
      </c>
      <c r="D49" s="1281" t="s">
        <v>542</v>
      </c>
      <c r="E49" s="4413"/>
      <c r="F49" s="4413"/>
      <c r="G49" s="4413"/>
      <c r="H49" s="4413"/>
      <c r="I49" s="4414"/>
      <c r="J49" s="1281"/>
      <c r="K49" s="1281"/>
      <c r="L49" s="1282"/>
      <c r="P49" s="4416"/>
      <c r="Q49" s="1399"/>
      <c r="R49" s="291"/>
      <c r="S49" s="1196"/>
      <c r="T49" s="300" t="s">
        <v>433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292</v>
      </c>
      <c r="B50" s="1281" t="s">
        <v>293</v>
      </c>
      <c r="C50" s="1281" t="s">
        <v>294</v>
      </c>
      <c r="D50" s="1281" t="s">
        <v>542</v>
      </c>
      <c r="E50" s="4413"/>
      <c r="F50" s="4413"/>
      <c r="G50" s="4413"/>
      <c r="H50" s="4412"/>
      <c r="I50" s="1281"/>
      <c r="J50" s="1281"/>
      <c r="K50" s="1281"/>
      <c r="L50" s="1282"/>
      <c r="M50" s="1283"/>
      <c r="N50" s="1283"/>
      <c r="O50" s="472"/>
      <c r="P50" s="295"/>
      <c r="Q50" s="310"/>
      <c r="R50" s="290"/>
      <c r="S50" s="1196"/>
      <c r="T50" s="307" t="s">
        <v>509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4140" customFormat="1" ht="0" hidden="1" customHeight="1">
      <c r="A51" s="1261" t="s">
        <v>292</v>
      </c>
      <c r="B51" s="1261" t="s">
        <v>293</v>
      </c>
      <c r="C51" s="1232"/>
      <c r="D51" s="1232"/>
      <c r="E51" s="4413"/>
      <c r="F51" s="4412"/>
      <c r="G51" s="1232"/>
      <c r="H51" s="1232"/>
      <c r="I51" s="1232"/>
      <c r="J51" s="1232"/>
      <c r="K51" s="1232"/>
      <c r="L51" s="1412"/>
      <c r="M51" s="1239"/>
      <c r="N51" s="1239"/>
      <c r="P51" s="1234"/>
      <c r="Q51" s="1235"/>
      <c r="R51" s="1234"/>
      <c r="S51" s="1240"/>
      <c r="T51" s="1243" t="s">
        <v>173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4140" customFormat="1" ht="0" hidden="1" customHeight="1">
      <c r="A52" s="1261" t="s">
        <v>292</v>
      </c>
      <c r="B52" s="1261"/>
      <c r="C52" s="1261"/>
      <c r="D52" s="1261"/>
      <c r="E52" s="4412"/>
      <c r="F52" s="1261"/>
      <c r="G52" s="1261"/>
      <c r="H52" s="1261"/>
      <c r="I52" s="1261"/>
      <c r="J52" s="1261"/>
      <c r="K52" s="1261"/>
      <c r="L52" s="1264"/>
      <c r="M52" s="1239"/>
      <c r="N52" s="1239"/>
      <c r="O52" s="453"/>
      <c r="P52" s="315"/>
      <c r="Q52" s="1262"/>
      <c r="R52" s="315"/>
      <c r="S52" s="1240"/>
      <c r="T52" s="1243" t="s">
        <v>174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4140"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4411"/>
      <c r="U55" s="4411"/>
      <c r="V55" s="4411"/>
      <c r="W55" s="4411"/>
      <c r="X55" s="4411"/>
      <c r="Y55" s="4411"/>
      <c r="Z55" s="4411"/>
      <c r="AA55" s="4411"/>
      <c r="AB55" s="4411"/>
      <c r="AC55" s="4411"/>
      <c r="AD55" s="4411"/>
      <c r="AE55" s="4411"/>
      <c r="AF55" s="4411"/>
      <c r="AG55" s="4411"/>
      <c r="AH55" s="4411"/>
      <c r="AI55" s="4411"/>
      <c r="AJ55" s="4411"/>
      <c r="AK55" s="4411"/>
      <c r="AQ55" s="1073">
        <v>14</v>
      </c>
    </row>
    <row r="56" spans="1:43" ht="14.65" customHeight="1">
      <c r="O56" s="472"/>
      <c r="AQ56" s="1073">
        <v>14</v>
      </c>
    </row>
    <row r="57" spans="1:43" ht="14.65" customHeight="1">
      <c r="O57" s="472"/>
      <c r="S57" s="1171"/>
      <c r="T57" s="4411"/>
      <c r="U57" s="4411"/>
      <c r="V57" s="4411"/>
      <c r="W57" s="4411"/>
      <c r="X57" s="4411"/>
      <c r="Y57" s="4411"/>
      <c r="Z57" s="4411"/>
      <c r="AA57" s="4411"/>
      <c r="AB57" s="4411"/>
      <c r="AC57" s="4411"/>
      <c r="AD57" s="4411"/>
      <c r="AE57" s="4411"/>
      <c r="AF57" s="4411"/>
      <c r="AG57" s="4411"/>
      <c r="AH57" s="4411"/>
      <c r="AI57" s="4411"/>
      <c r="AJ57" s="4411"/>
      <c r="AK57" s="4411"/>
      <c r="AQ57" s="1073">
        <v>14</v>
      </c>
    </row>
    <row r="58" spans="1:43" ht="22.5" hidden="1" customHeight="1">
      <c r="A58" s="1078" t="s">
        <v>86</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39" hidden="1" customWidth="1"/>
    <col min="2" max="2" width="11" style="4139" hidden="1" customWidth="1"/>
    <col min="3" max="3" width="10.5703125" style="4139" hidden="1"/>
    <col min="4" max="4" width="12.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6" hidden="1" customWidth="1"/>
    <col min="17" max="17" width="3.7109375" style="4200" hidden="1" customWidth="1"/>
    <col min="18" max="18" width="3" style="4168" customWidth="1"/>
    <col min="19" max="19" width="12" style="4169" customWidth="1"/>
    <col min="20" max="20" width="31" style="4133" customWidth="1"/>
    <col min="21" max="21" width="0.140625" style="4133" customWidth="1"/>
    <col min="22" max="25" width="21.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3.7109375" style="4133" customWidth="1"/>
    <col min="31" max="32" width="3" style="4133" customWidth="1"/>
    <col min="33" max="33" width="24" style="4133" customWidth="1"/>
    <col min="34" max="34" width="3.7109375" style="4133" customWidth="1"/>
    <col min="35" max="36" width="3" style="4133" customWidth="1"/>
    <col min="37" max="37" width="24" style="4133" customWidth="1"/>
    <col min="38" max="38" width="3.7109375" style="4133" customWidth="1"/>
    <col min="39" max="40" width="3" style="4133" customWidth="1"/>
    <col min="41" max="41" width="18" style="4133" customWidth="1"/>
    <col min="42" max="42" width="3.7109375" style="4133" customWidth="1"/>
    <col min="43" max="44" width="3" style="4133" customWidth="1"/>
    <col min="45" max="45" width="18" style="4133" customWidth="1"/>
    <col min="46" max="49" width="21" style="4133" customWidth="1"/>
    <col min="50" max="50" width="11" style="4133" customWidth="1"/>
    <col min="51" max="51" width="3.7109375" style="4133" customWidth="1"/>
    <col min="52" max="52" width="11" style="4133" customWidth="1"/>
    <col min="53" max="53" width="8.5703125" style="4133" hidden="1" customWidth="1"/>
    <col min="54" max="54" width="4" style="4133" customWidth="1"/>
    <col min="55" max="55" width="115" style="4133" customWidth="1"/>
    <col min="56" max="60" width="10" style="4140" customWidth="1"/>
    <col min="61" max="61" width="10.5703125" style="4133" hidden="1"/>
  </cols>
  <sheetData>
    <row r="1" spans="1:61" ht="22.5" hidden="1" customHeight="1">
      <c r="W1" s="263"/>
      <c r="Y1" s="263"/>
      <c r="Z1" s="263"/>
      <c r="AW1" s="263"/>
      <c r="AX1" s="263"/>
      <c r="BI1" s="1073" t="s">
        <v>14</v>
      </c>
    </row>
    <row r="2" spans="1:61" ht="21" hidden="1" customHeight="1">
      <c r="A2" s="1281"/>
      <c r="B2" s="1281"/>
      <c r="C2" s="1281"/>
      <c r="D2" s="1281"/>
      <c r="E2" s="4412">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4407"/>
      <c r="W2" s="4407"/>
      <c r="X2" s="4407"/>
      <c r="Y2" s="4407"/>
      <c r="Z2" s="4407"/>
      <c r="AA2" s="4407"/>
      <c r="AB2" s="4407"/>
      <c r="AC2" s="4408"/>
      <c r="AD2" s="4406" t="e">
        <f>INDEX(PT_DIFFERENTIATION_NTAR,MATCH(A2,PT_DIFFERENTIATION_NTAR_ID,0))</f>
        <v>#N/A</v>
      </c>
      <c r="AE2" s="4407"/>
      <c r="AF2" s="4407"/>
      <c r="AG2" s="4407"/>
      <c r="AH2" s="4407"/>
      <c r="AI2" s="4407"/>
      <c r="AJ2" s="4407"/>
      <c r="AK2" s="4407"/>
      <c r="AL2" s="4407"/>
      <c r="AM2" s="4407"/>
      <c r="AN2" s="4407"/>
      <c r="AO2" s="4407"/>
      <c r="AP2" s="4407"/>
      <c r="AQ2" s="4407"/>
      <c r="AR2" s="4407"/>
      <c r="AS2" s="4407"/>
      <c r="AT2" s="4407"/>
      <c r="AU2" s="4407"/>
      <c r="AV2" s="4407"/>
      <c r="AW2" s="4407"/>
      <c r="AX2" s="4407"/>
      <c r="AY2" s="4407"/>
      <c r="AZ2" s="4407"/>
      <c r="BA2" s="4407"/>
      <c r="BB2" s="440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413"/>
      <c r="F3" s="4412">
        <v>1</v>
      </c>
      <c r="G3" s="1281"/>
      <c r="H3" s="1281"/>
      <c r="I3" s="1281"/>
      <c r="J3" s="1281"/>
      <c r="K3" s="1281"/>
      <c r="L3" s="1282"/>
      <c r="M3" s="1283"/>
      <c r="N3" s="1283"/>
      <c r="O3" s="1283"/>
      <c r="P3" s="1328"/>
      <c r="Q3" s="1329"/>
      <c r="R3" s="288"/>
      <c r="S3" s="1411" t="e">
        <f>INDEX(PT_DIFFERENTIATION_NUM_TER,MATCH(B3,PT_DIFFERENTIATION_TER_ID,0))</f>
        <v>#N/A</v>
      </c>
      <c r="T3" s="244" t="s">
        <v>418</v>
      </c>
      <c r="U3" s="236"/>
      <c r="V3" s="4407"/>
      <c r="W3" s="4407"/>
      <c r="X3" s="4407"/>
      <c r="Y3" s="4407"/>
      <c r="Z3" s="4407"/>
      <c r="AA3" s="4407"/>
      <c r="AB3" s="4407"/>
      <c r="AC3" s="4408"/>
      <c r="AD3" s="4406" t="e">
        <f>INDEX(PT_DIFFERENTIATION_TER,MATCH(B3,PT_DIFFERENTIATION_TER_ID,0))</f>
        <v>#N/A</v>
      </c>
      <c r="AE3" s="4407"/>
      <c r="AF3" s="4407"/>
      <c r="AG3" s="4407"/>
      <c r="AH3" s="4407"/>
      <c r="AI3" s="4407"/>
      <c r="AJ3" s="4407"/>
      <c r="AK3" s="4407"/>
      <c r="AL3" s="4407"/>
      <c r="AM3" s="4407"/>
      <c r="AN3" s="4407"/>
      <c r="AO3" s="4407"/>
      <c r="AP3" s="4407"/>
      <c r="AQ3" s="4407"/>
      <c r="AR3" s="4407"/>
      <c r="AS3" s="4407"/>
      <c r="AT3" s="4407"/>
      <c r="AU3" s="4407"/>
      <c r="AV3" s="4407"/>
      <c r="AW3" s="4407"/>
      <c r="AX3" s="4407"/>
      <c r="AY3" s="4407"/>
      <c r="AZ3" s="4407"/>
      <c r="BA3" s="4407"/>
      <c r="BB3" s="4408"/>
      <c r="BC3" s="1176" t="s">
        <v>419</v>
      </c>
      <c r="BE3" s="435"/>
      <c r="BF3" s="435" t="str">
        <f t="shared" si="0"/>
        <v>Территория действия тарифа</v>
      </c>
      <c r="BG3" s="435"/>
      <c r="BH3" s="435"/>
      <c r="BI3" s="1073">
        <v>0</v>
      </c>
    </row>
    <row r="4" spans="1:61" ht="33.75" hidden="1" customHeight="1">
      <c r="A4" s="1281"/>
      <c r="B4" s="1281"/>
      <c r="C4" s="1281"/>
      <c r="D4" s="1281"/>
      <c r="E4" s="4413"/>
      <c r="F4" s="4413"/>
      <c r="G4" s="4412">
        <v>1</v>
      </c>
      <c r="H4" s="1281"/>
      <c r="I4" s="1281"/>
      <c r="J4" s="1281"/>
      <c r="K4" s="1281"/>
      <c r="L4" s="1282"/>
      <c r="M4" s="1283"/>
      <c r="N4" s="1283"/>
      <c r="O4" s="1283"/>
      <c r="P4" s="1330"/>
      <c r="Q4" s="1329"/>
      <c r="R4" s="288"/>
      <c r="S4" s="1411" t="e">
        <f>INDEX(PT_DIFFERENTIATION_NUM_CS,MATCH(C4,PT_DIFFERENTIATION_CS_ID,0))</f>
        <v>#N/A</v>
      </c>
      <c r="T4" s="245" t="s">
        <v>537</v>
      </c>
      <c r="U4" s="236"/>
      <c r="V4" s="4407"/>
      <c r="W4" s="4407"/>
      <c r="X4" s="4407"/>
      <c r="Y4" s="4407"/>
      <c r="Z4" s="4407"/>
      <c r="AA4" s="4407"/>
      <c r="AB4" s="4407"/>
      <c r="AC4" s="4408"/>
      <c r="AD4" s="4406" t="e">
        <f>INDEX(PT_DIFFERENTIATION_CS,MATCH(C4,PT_DIFFERENTIATION_CS_ID,0))</f>
        <v>#N/A</v>
      </c>
      <c r="AE4" s="4407"/>
      <c r="AF4" s="4407"/>
      <c r="AG4" s="4407"/>
      <c r="AH4" s="4407"/>
      <c r="AI4" s="4407"/>
      <c r="AJ4" s="4407"/>
      <c r="AK4" s="4407"/>
      <c r="AL4" s="4407"/>
      <c r="AM4" s="4407"/>
      <c r="AN4" s="4407"/>
      <c r="AO4" s="4407"/>
      <c r="AP4" s="4407"/>
      <c r="AQ4" s="4407"/>
      <c r="AR4" s="4407"/>
      <c r="AS4" s="4407"/>
      <c r="AT4" s="4407"/>
      <c r="AU4" s="4407"/>
      <c r="AV4" s="4407"/>
      <c r="AW4" s="4407"/>
      <c r="AX4" s="4407"/>
      <c r="AY4" s="4407"/>
      <c r="AZ4" s="4407"/>
      <c r="BA4" s="4407"/>
      <c r="BB4" s="4408"/>
      <c r="BC4" s="1176" t="s">
        <v>538</v>
      </c>
      <c r="BE4" s="435"/>
      <c r="BF4" s="435" t="str">
        <f t="shared" si="0"/>
        <v>Наименование централизованной системы водоотведения</v>
      </c>
      <c r="BG4" s="435"/>
      <c r="BH4" s="435"/>
      <c r="BI4" s="1073">
        <v>0</v>
      </c>
    </row>
    <row r="5" spans="1:61" s="4140" customFormat="1" ht="14.25" hidden="1" customHeight="1">
      <c r="A5" s="1261"/>
      <c r="B5" s="1261"/>
      <c r="C5" s="1261"/>
      <c r="D5" s="1261"/>
      <c r="E5" s="4413"/>
      <c r="F5" s="4413"/>
      <c r="G5" s="4413"/>
      <c r="H5" s="4412">
        <v>1</v>
      </c>
      <c r="I5" s="1261"/>
      <c r="J5" s="1261"/>
      <c r="K5" s="1261"/>
      <c r="L5" s="1264"/>
      <c r="M5" s="1233"/>
      <c r="N5" s="1233"/>
      <c r="O5" s="1233"/>
      <c r="P5" s="1415"/>
      <c r="Q5" s="1416"/>
      <c r="R5" s="292"/>
      <c r="S5" s="964"/>
      <c r="T5" s="1417"/>
      <c r="U5" s="1302"/>
      <c r="V5" s="4444"/>
      <c r="W5" s="4444"/>
      <c r="X5" s="4444"/>
      <c r="Y5" s="4444"/>
      <c r="Z5" s="4444"/>
      <c r="AA5" s="4444"/>
      <c r="AB5" s="4444"/>
      <c r="AC5" s="4445"/>
      <c r="AD5" s="4443"/>
      <c r="AE5" s="4444"/>
      <c r="AF5" s="4444"/>
      <c r="AG5" s="4444"/>
      <c r="AH5" s="4444"/>
      <c r="AI5" s="4444"/>
      <c r="AJ5" s="4444"/>
      <c r="AK5" s="4444"/>
      <c r="AL5" s="4444"/>
      <c r="AM5" s="4444"/>
      <c r="AN5" s="4444"/>
      <c r="AO5" s="4444"/>
      <c r="AP5" s="4444"/>
      <c r="AQ5" s="4444"/>
      <c r="AR5" s="4444"/>
      <c r="AS5" s="4444"/>
      <c r="AT5" s="4444"/>
      <c r="AU5" s="4444"/>
      <c r="AV5" s="4444"/>
      <c r="AW5" s="4444"/>
      <c r="AX5" s="4444"/>
      <c r="AY5" s="4444"/>
      <c r="AZ5" s="4444"/>
      <c r="BA5" s="4444"/>
      <c r="BB5" s="4445"/>
      <c r="BC5" s="1303" t="s">
        <v>423</v>
      </c>
      <c r="BE5" s="435"/>
      <c r="BF5" s="435" t="str">
        <f t="shared" si="0"/>
        <v/>
      </c>
      <c r="BG5" s="435"/>
      <c r="BH5" s="435"/>
      <c r="BI5" s="446">
        <v>0</v>
      </c>
    </row>
    <row r="6" spans="1:61" s="4140" customFormat="1" ht="14.25" hidden="1" customHeight="1">
      <c r="A6" s="1261"/>
      <c r="B6" s="1261"/>
      <c r="C6" s="1261"/>
      <c r="D6" s="1261"/>
      <c r="E6" s="4413"/>
      <c r="F6" s="4413"/>
      <c r="G6" s="4413"/>
      <c r="H6" s="4413"/>
      <c r="I6" s="4414" t="str">
        <f>S5&amp;".1"</f>
        <v>.1</v>
      </c>
      <c r="J6" s="1261"/>
      <c r="K6" s="1261"/>
      <c r="L6" s="1264" t="s">
        <v>424</v>
      </c>
      <c r="M6" s="445"/>
      <c r="N6" s="445"/>
      <c r="O6" s="445"/>
      <c r="P6" s="4416">
        <v>1</v>
      </c>
      <c r="Q6" s="1399"/>
      <c r="R6" s="291"/>
      <c r="S6" s="964"/>
      <c r="T6" s="1301"/>
      <c r="U6" s="1302"/>
      <c r="V6" s="4444"/>
      <c r="W6" s="4444"/>
      <c r="X6" s="4444"/>
      <c r="Y6" s="4444"/>
      <c r="Z6" s="4444"/>
      <c r="AA6" s="4444"/>
      <c r="AB6" s="4444"/>
      <c r="AC6" s="4445"/>
      <c r="AD6" s="4443"/>
      <c r="AE6" s="4444"/>
      <c r="AF6" s="4444"/>
      <c r="AG6" s="4444"/>
      <c r="AH6" s="4444"/>
      <c r="AI6" s="4444"/>
      <c r="AJ6" s="4444"/>
      <c r="AK6" s="4444"/>
      <c r="AL6" s="4444"/>
      <c r="AM6" s="4444"/>
      <c r="AN6" s="4444"/>
      <c r="AO6" s="4444"/>
      <c r="AP6" s="4444"/>
      <c r="AQ6" s="4444"/>
      <c r="AR6" s="4444"/>
      <c r="AS6" s="4444"/>
      <c r="AT6" s="4444"/>
      <c r="AU6" s="4444"/>
      <c r="AV6" s="4444"/>
      <c r="AW6" s="4444"/>
      <c r="AX6" s="4444"/>
      <c r="AY6" s="4444"/>
      <c r="AZ6" s="4444"/>
      <c r="BA6" s="4444"/>
      <c r="BB6" s="4445"/>
      <c r="BC6" s="1303"/>
      <c r="BE6" s="435"/>
      <c r="BF6" s="435" t="str">
        <f t="shared" si="0"/>
        <v/>
      </c>
      <c r="BG6" s="435"/>
      <c r="BH6" s="435"/>
      <c r="BI6" s="446">
        <v>0</v>
      </c>
    </row>
    <row r="7" spans="1:61" s="4140" customFormat="1" ht="14.25" hidden="1" customHeight="1">
      <c r="A7" s="1261"/>
      <c r="B7" s="1261"/>
      <c r="C7" s="1261"/>
      <c r="D7" s="1261"/>
      <c r="E7" s="4413"/>
      <c r="F7" s="4413"/>
      <c r="G7" s="4413"/>
      <c r="H7" s="4413"/>
      <c r="I7" s="4415"/>
      <c r="J7" s="4414" t="str">
        <f>S5&amp;".1"</f>
        <v>.1</v>
      </c>
      <c r="K7" s="1261"/>
      <c r="L7" s="1264"/>
      <c r="M7" s="445"/>
      <c r="N7" s="445"/>
      <c r="O7" s="445"/>
      <c r="P7" s="4416"/>
      <c r="Q7" s="4416">
        <v>1</v>
      </c>
      <c r="R7" s="292"/>
      <c r="S7" s="964"/>
      <c r="T7" s="1317"/>
      <c r="U7" s="1302"/>
      <c r="V7" s="4444"/>
      <c r="W7" s="4444"/>
      <c r="X7" s="4444"/>
      <c r="Y7" s="4444"/>
      <c r="Z7" s="4444"/>
      <c r="AA7" s="4444"/>
      <c r="AB7" s="4444"/>
      <c r="AC7" s="4445"/>
      <c r="AD7" s="4443"/>
      <c r="AE7" s="4444"/>
      <c r="AF7" s="4444"/>
      <c r="AG7" s="4444"/>
      <c r="AH7" s="4444"/>
      <c r="AI7" s="4444"/>
      <c r="AJ7" s="4444"/>
      <c r="AK7" s="4444"/>
      <c r="AL7" s="4444"/>
      <c r="AM7" s="4444"/>
      <c r="AN7" s="4444"/>
      <c r="AO7" s="4444"/>
      <c r="AP7" s="4444"/>
      <c r="AQ7" s="4444"/>
      <c r="AR7" s="4444"/>
      <c r="AS7" s="4444"/>
      <c r="AT7" s="4444"/>
      <c r="AU7" s="4444"/>
      <c r="AV7" s="4444"/>
      <c r="AW7" s="4444"/>
      <c r="AX7" s="4444"/>
      <c r="AY7" s="4444"/>
      <c r="AZ7" s="4444"/>
      <c r="BA7" s="4444"/>
      <c r="BB7" s="4445"/>
      <c r="BC7" s="1303"/>
      <c r="BE7" s="435"/>
      <c r="BF7" s="435" t="str">
        <f t="shared" si="0"/>
        <v/>
      </c>
      <c r="BG7" s="435"/>
      <c r="BH7" s="435"/>
      <c r="BI7" s="446">
        <v>0</v>
      </c>
    </row>
    <row r="8" spans="1:61" ht="11.25" hidden="1" customHeight="1">
      <c r="A8" s="1281"/>
      <c r="B8" s="1281"/>
      <c r="C8" s="1281"/>
      <c r="D8" s="1281"/>
      <c r="E8" s="4413"/>
      <c r="F8" s="4413"/>
      <c r="G8" s="4413"/>
      <c r="H8" s="4413"/>
      <c r="I8" s="4415"/>
      <c r="J8" s="4415"/>
      <c r="K8" s="4414" t="e">
        <f>S4&amp;".1"</f>
        <v>#N/A</v>
      </c>
      <c r="L8" s="1282"/>
      <c r="P8" s="4416"/>
      <c r="Q8" s="4416"/>
      <c r="R8" s="4472">
        <v>1</v>
      </c>
      <c r="S8" s="4469" t="e">
        <f>$K8</f>
        <v>#N/A</v>
      </c>
      <c r="T8" s="4489"/>
      <c r="U8" s="236"/>
      <c r="V8" s="686"/>
      <c r="W8" s="1175"/>
      <c r="X8" s="686"/>
      <c r="Y8" s="1175"/>
      <c r="Z8" s="1651"/>
      <c r="AA8" s="1387" t="s">
        <v>65</v>
      </c>
      <c r="AB8" s="1651"/>
      <c r="AC8" s="1387" t="s">
        <v>65</v>
      </c>
      <c r="AD8" s="4337" t="s">
        <v>65</v>
      </c>
      <c r="AE8" s="4465"/>
      <c r="AF8" s="4369">
        <v>1</v>
      </c>
      <c r="AG8" s="4488"/>
      <c r="AH8" s="4284" t="s">
        <v>65</v>
      </c>
      <c r="AI8" s="4465"/>
      <c r="AJ8" s="4369">
        <v>1</v>
      </c>
      <c r="AK8" s="4479" t="s">
        <v>28</v>
      </c>
      <c r="AL8" s="4284" t="s">
        <v>65</v>
      </c>
      <c r="AM8" s="4346"/>
      <c r="AN8" s="4369">
        <v>1</v>
      </c>
      <c r="AO8" s="4492"/>
      <c r="AP8" s="4493" t="s">
        <v>65</v>
      </c>
      <c r="AQ8" s="247"/>
      <c r="AR8" s="1404">
        <v>1</v>
      </c>
      <c r="AS8" s="1410" t="s">
        <v>28</v>
      </c>
      <c r="AT8" s="686"/>
      <c r="AU8" s="1175"/>
      <c r="AV8" s="686"/>
      <c r="AW8" s="1175"/>
      <c r="AX8" s="1651"/>
      <c r="AY8" s="1387" t="s">
        <v>65</v>
      </c>
      <c r="AZ8" s="1651"/>
      <c r="BA8" s="1387" t="s">
        <v>65</v>
      </c>
      <c r="BB8" s="1266"/>
      <c r="BC8" s="4435" t="s">
        <v>522</v>
      </c>
      <c r="BE8" s="435"/>
      <c r="BF8" s="435" t="str">
        <f t="shared" si="0"/>
        <v/>
      </c>
      <c r="BG8" s="435"/>
      <c r="BH8" s="435"/>
      <c r="BI8" s="1073">
        <v>0</v>
      </c>
    </row>
    <row r="9" spans="1:61" ht="11.25" hidden="1" customHeight="1">
      <c r="A9" s="1281"/>
      <c r="B9" s="1281"/>
      <c r="C9" s="1281"/>
      <c r="D9" s="1281"/>
      <c r="E9" s="4413"/>
      <c r="F9" s="4413"/>
      <c r="G9" s="4413"/>
      <c r="H9" s="4413"/>
      <c r="I9" s="4415"/>
      <c r="J9" s="4415"/>
      <c r="K9" s="4414"/>
      <c r="L9" s="1282"/>
      <c r="P9" s="4416"/>
      <c r="Q9" s="4416"/>
      <c r="R9" s="4472"/>
      <c r="S9" s="4470"/>
      <c r="T9" s="4490"/>
      <c r="U9" s="236"/>
      <c r="V9" s="1311"/>
      <c r="W9" s="1414"/>
      <c r="X9" s="1311"/>
      <c r="Y9" s="1414"/>
      <c r="Z9" s="1311"/>
      <c r="AA9" s="1311"/>
      <c r="AB9" s="1311"/>
      <c r="AC9" s="1311"/>
      <c r="AD9" s="4338"/>
      <c r="AE9" s="4465"/>
      <c r="AF9" s="4369"/>
      <c r="AG9" s="4488"/>
      <c r="AH9" s="4284"/>
      <c r="AI9" s="4465"/>
      <c r="AJ9" s="4369"/>
      <c r="AK9" s="4479"/>
      <c r="AL9" s="4284"/>
      <c r="AM9" s="4351"/>
      <c r="AN9" s="4369"/>
      <c r="AO9" s="4492"/>
      <c r="AP9" s="4494"/>
      <c r="AQ9" s="252"/>
      <c r="AR9" s="351"/>
      <c r="AS9" s="351" t="s">
        <v>523</v>
      </c>
      <c r="AT9" s="1311"/>
      <c r="AU9" s="1414"/>
      <c r="AV9" s="1311"/>
      <c r="AW9" s="1414"/>
      <c r="AX9" s="1311"/>
      <c r="AY9" s="1311"/>
      <c r="AZ9" s="1311"/>
      <c r="BA9" s="1311"/>
      <c r="BB9" s="1315"/>
      <c r="BC9" s="4436"/>
      <c r="BE9" s="435"/>
      <c r="BF9" s="435"/>
      <c r="BG9" s="435"/>
      <c r="BH9" s="435"/>
      <c r="BI9" s="1073">
        <v>0</v>
      </c>
    </row>
    <row r="10" spans="1:61" ht="11.25" hidden="1" customHeight="1">
      <c r="A10" s="1281"/>
      <c r="B10" s="1281"/>
      <c r="C10" s="1281"/>
      <c r="D10" s="1281"/>
      <c r="E10" s="4413"/>
      <c r="F10" s="4413"/>
      <c r="G10" s="4413"/>
      <c r="H10" s="4413"/>
      <c r="I10" s="4415"/>
      <c r="J10" s="4415"/>
      <c r="K10" s="4414"/>
      <c r="L10" s="1282"/>
      <c r="P10" s="4416"/>
      <c r="Q10" s="4416"/>
      <c r="R10" s="4472"/>
      <c r="S10" s="4470"/>
      <c r="T10" s="4490"/>
      <c r="U10" s="236"/>
      <c r="V10" s="1311"/>
      <c r="W10" s="1414"/>
      <c r="X10" s="1311"/>
      <c r="Y10" s="1414"/>
      <c r="Z10" s="1311"/>
      <c r="AA10" s="1311"/>
      <c r="AB10" s="1311"/>
      <c r="AC10" s="1311"/>
      <c r="AD10" s="4338"/>
      <c r="AE10" s="4465"/>
      <c r="AF10" s="4369"/>
      <c r="AG10" s="4488"/>
      <c r="AH10" s="4284"/>
      <c r="AI10" s="4465"/>
      <c r="AJ10" s="4369"/>
      <c r="AK10" s="4479"/>
      <c r="AL10" s="4284"/>
      <c r="AM10" s="252"/>
      <c r="AN10" s="1418"/>
      <c r="AO10" s="1418" t="s">
        <v>543</v>
      </c>
      <c r="AP10" s="351"/>
      <c r="AQ10" s="351"/>
      <c r="AR10" s="351"/>
      <c r="AS10" s="1311"/>
      <c r="AT10" s="1311"/>
      <c r="AU10" s="1414"/>
      <c r="AV10" s="1311"/>
      <c r="AW10" s="1414"/>
      <c r="AX10" s="1311"/>
      <c r="AY10" s="1311"/>
      <c r="AZ10" s="1311"/>
      <c r="BA10" s="1311"/>
      <c r="BB10" s="1315"/>
      <c r="BC10" s="4436"/>
      <c r="BE10" s="435"/>
      <c r="BF10" s="435"/>
      <c r="BG10" s="435"/>
      <c r="BH10" s="435"/>
      <c r="BI10" s="1073">
        <v>0</v>
      </c>
    </row>
    <row r="11" spans="1:61" ht="11.25" hidden="1" customHeight="1">
      <c r="A11" s="1281"/>
      <c r="B11" s="1281"/>
      <c r="C11" s="1281"/>
      <c r="D11" s="1281"/>
      <c r="E11" s="4413"/>
      <c r="F11" s="4413"/>
      <c r="G11" s="4413"/>
      <c r="H11" s="4413"/>
      <c r="I11" s="4415"/>
      <c r="J11" s="4415"/>
      <c r="K11" s="4414"/>
      <c r="L11" s="1282"/>
      <c r="P11" s="4416"/>
      <c r="Q11" s="4416"/>
      <c r="R11" s="4472"/>
      <c r="S11" s="4470"/>
      <c r="T11" s="4490"/>
      <c r="U11" s="236"/>
      <c r="V11" s="1311"/>
      <c r="W11" s="1414"/>
      <c r="X11" s="1311"/>
      <c r="Y11" s="1414"/>
      <c r="Z11" s="1311"/>
      <c r="AA11" s="1311"/>
      <c r="AB11" s="1311"/>
      <c r="AC11" s="1311"/>
      <c r="AD11" s="4338"/>
      <c r="AE11" s="4465"/>
      <c r="AF11" s="4369"/>
      <c r="AG11" s="4488"/>
      <c r="AH11" s="4284"/>
      <c r="AI11" s="230"/>
      <c r="AJ11" s="350"/>
      <c r="AK11" s="249" t="s">
        <v>544</v>
      </c>
      <c r="AL11" s="1311"/>
      <c r="AM11" s="1311"/>
      <c r="AN11" s="1311"/>
      <c r="AO11" s="1311"/>
      <c r="AP11" s="1311"/>
      <c r="AQ11" s="1311"/>
      <c r="AR11" s="1311"/>
      <c r="AS11" s="1311"/>
      <c r="AT11" s="1311"/>
      <c r="AU11" s="1414"/>
      <c r="AV11" s="1311"/>
      <c r="AW11" s="1414"/>
      <c r="AX11" s="1311"/>
      <c r="AY11" s="1311"/>
      <c r="AZ11" s="1311"/>
      <c r="BA11" s="1311"/>
      <c r="BB11" s="1315"/>
      <c r="BC11" s="4436"/>
      <c r="BE11" s="435"/>
      <c r="BF11" s="435"/>
      <c r="BG11" s="435"/>
      <c r="BH11" s="435"/>
      <c r="BI11" s="1073">
        <v>0</v>
      </c>
    </row>
    <row r="12" spans="1:61" ht="11.25" hidden="1" customHeight="1">
      <c r="A12" s="1281"/>
      <c r="B12" s="1281"/>
      <c r="C12" s="1281"/>
      <c r="D12" s="1281"/>
      <c r="E12" s="4413"/>
      <c r="F12" s="4413"/>
      <c r="G12" s="4413"/>
      <c r="H12" s="4413"/>
      <c r="I12" s="4415"/>
      <c r="J12" s="4415"/>
      <c r="K12" s="4414"/>
      <c r="L12" s="1282"/>
      <c r="P12" s="4416"/>
      <c r="Q12" s="4416"/>
      <c r="R12" s="4472"/>
      <c r="S12" s="4471"/>
      <c r="T12" s="4491"/>
      <c r="U12" s="236"/>
      <c r="V12" s="1311"/>
      <c r="W12" s="1312" t="str">
        <f>Z8&amp;"-"&amp;AB8</f>
        <v>-</v>
      </c>
      <c r="X12" s="1311"/>
      <c r="Y12" s="1312" t="str">
        <f>AB8&amp;"-"&amp;AD8</f>
        <v>-да</v>
      </c>
      <c r="Z12" s="1311"/>
      <c r="AA12" s="1311"/>
      <c r="AB12" s="1311"/>
      <c r="AC12" s="1311"/>
      <c r="AD12" s="4289"/>
      <c r="AE12" s="248"/>
      <c r="AF12" s="250"/>
      <c r="AG12" s="351" t="s">
        <v>526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436"/>
      <c r="BE12" s="435"/>
      <c r="BF12" s="435" t="str">
        <f t="shared" ref="BF12:BF18" si="1">IF(T12="","",T12)</f>
        <v/>
      </c>
      <c r="BG12" s="435"/>
      <c r="BH12" s="435"/>
      <c r="BI12" s="1073">
        <v>0</v>
      </c>
    </row>
    <row r="13" spans="1:61" ht="11.25" hidden="1" customHeight="1">
      <c r="A13" s="1281"/>
      <c r="B13" s="1281"/>
      <c r="C13" s="1281"/>
      <c r="D13" s="1281"/>
      <c r="E13" s="4413"/>
      <c r="F13" s="4413"/>
      <c r="G13" s="4413"/>
      <c r="H13" s="4413"/>
      <c r="I13" s="4415"/>
      <c r="J13" s="4414"/>
      <c r="K13" s="1281"/>
      <c r="L13" s="1282"/>
      <c r="P13" s="4416"/>
      <c r="Q13" s="4416"/>
      <c r="R13" s="291"/>
      <c r="S13" s="1196"/>
      <c r="T13" s="223" t="s">
        <v>489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437"/>
      <c r="BE13" s="435"/>
      <c r="BF13" s="435" t="str">
        <f t="shared" si="1"/>
        <v>Добавить строку</v>
      </c>
      <c r="BG13" s="435"/>
      <c r="BH13" s="435"/>
      <c r="BI13" s="1073">
        <v>0</v>
      </c>
    </row>
    <row r="14" spans="1:61" s="4140" customFormat="1" ht="14.25" hidden="1" customHeight="1">
      <c r="A14" s="1261"/>
      <c r="B14" s="1261"/>
      <c r="C14" s="1261"/>
      <c r="D14" s="1261"/>
      <c r="E14" s="4413"/>
      <c r="F14" s="4413"/>
      <c r="G14" s="4413"/>
      <c r="H14" s="4413"/>
      <c r="I14" s="4414"/>
      <c r="J14" s="1261"/>
      <c r="K14" s="1261"/>
      <c r="L14" s="1264"/>
      <c r="M14" s="445"/>
      <c r="N14" s="445"/>
      <c r="O14" s="445"/>
      <c r="P14" s="441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40" customFormat="1" ht="14.25" hidden="1" customHeight="1">
      <c r="A15" s="1261"/>
      <c r="B15" s="1261"/>
      <c r="C15" s="1261"/>
      <c r="D15" s="1261"/>
      <c r="E15" s="4413"/>
      <c r="F15" s="4413"/>
      <c r="G15" s="4413"/>
      <c r="H15" s="441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40" customFormat="1" ht="14.25" hidden="1" customHeight="1">
      <c r="A16" s="1261"/>
      <c r="B16" s="1261"/>
      <c r="C16" s="1261"/>
      <c r="D16" s="1232"/>
      <c r="E16" s="4413"/>
      <c r="F16" s="4413"/>
      <c r="G16" s="441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40" customFormat="1" ht="14.25" hidden="1" customHeight="1">
      <c r="A17" s="1261"/>
      <c r="B17" s="1261"/>
      <c r="C17" s="1232"/>
      <c r="D17" s="1232"/>
      <c r="E17" s="4413"/>
      <c r="F17" s="4412"/>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40" customFormat="1" ht="14.25" hidden="1" customHeight="1">
      <c r="A18" s="1261"/>
      <c r="B18" s="1261"/>
      <c r="C18" s="1261"/>
      <c r="D18" s="1261"/>
      <c r="E18" s="4412"/>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435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199" customFormat="1" ht="14.25" hidden="1" customHeight="1">
      <c r="M24" s="1426"/>
      <c r="N24" s="1426"/>
      <c r="O24" s="1427" t="s">
        <v>436</v>
      </c>
      <c r="P24" s="1426"/>
      <c r="Q24" s="1428"/>
      <c r="R24" s="1428"/>
      <c r="AA24" s="1425" t="s">
        <v>438</v>
      </c>
      <c r="AC24" s="1425" t="s">
        <v>439</v>
      </c>
      <c r="AD24" s="1425" t="s">
        <v>490</v>
      </c>
      <c r="AH24" s="1425" t="s">
        <v>490</v>
      </c>
      <c r="AK24" s="1425" t="s">
        <v>527</v>
      </c>
      <c r="AL24" s="1425" t="s">
        <v>490</v>
      </c>
      <c r="AP24" s="1425" t="s">
        <v>490</v>
      </c>
      <c r="AY24" s="1425" t="s">
        <v>438</v>
      </c>
      <c r="BA24" s="1425" t="s">
        <v>439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39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4393"/>
      <c r="U28" s="4393"/>
      <c r="V28" s="4393"/>
      <c r="W28" s="4393"/>
      <c r="X28" s="4393"/>
      <c r="Y28" s="4393"/>
      <c r="Z28" s="4393"/>
      <c r="AA28" s="4393"/>
      <c r="AB28" s="4393"/>
      <c r="AC28" s="4393"/>
      <c r="AD28" s="4393"/>
      <c r="AE28" s="4393"/>
      <c r="AF28" s="4393"/>
      <c r="AG28" s="4393"/>
      <c r="AH28" s="4393"/>
      <c r="AI28" s="4393"/>
      <c r="AJ28" s="4393"/>
      <c r="AK28" s="4393"/>
      <c r="AL28" s="4393"/>
      <c r="AM28" s="4393"/>
      <c r="AN28" s="4393"/>
      <c r="AO28" s="4393"/>
      <c r="AP28" s="4393"/>
      <c r="AQ28" s="4393"/>
      <c r="AR28" s="4393"/>
      <c r="AS28" s="4393"/>
      <c r="AT28" s="4393"/>
      <c r="AU28" s="4393"/>
      <c r="AV28" s="4393"/>
      <c r="AW28" s="4393"/>
      <c r="AX28" s="4393"/>
      <c r="AY28" s="4393"/>
      <c r="AZ28" s="4393"/>
      <c r="BA28" s="1161"/>
      <c r="BI28" s="1073">
        <v>14</v>
      </c>
    </row>
    <row r="29" spans="1:61" ht="14.65" customHeight="1">
      <c r="Q29" s="227"/>
      <c r="R29" s="311"/>
      <c r="S29" s="4365" t="str">
        <f>IF(org=0,"Не определено",org)</f>
        <v>АО "Мурманэнергосбыт"</v>
      </c>
      <c r="T29" s="4365"/>
      <c r="U29" s="4365"/>
      <c r="V29" s="4365"/>
      <c r="W29" s="4365"/>
      <c r="X29" s="4365"/>
      <c r="Y29" s="4365"/>
      <c r="Z29" s="4365"/>
      <c r="AA29" s="4365"/>
      <c r="AB29" s="4365"/>
      <c r="AC29" s="4365"/>
      <c r="AD29" s="4365"/>
      <c r="AE29" s="4365"/>
      <c r="AF29" s="4365"/>
      <c r="AG29" s="4365"/>
      <c r="AH29" s="4365"/>
      <c r="AI29" s="4365"/>
      <c r="AJ29" s="4365"/>
      <c r="AK29" s="4365"/>
      <c r="AL29" s="4365"/>
      <c r="AM29" s="4365"/>
      <c r="AN29" s="4365"/>
      <c r="AO29" s="4365"/>
      <c r="AP29" s="4365"/>
      <c r="AQ29" s="4365"/>
      <c r="AR29" s="4365"/>
      <c r="AS29" s="4365"/>
      <c r="AT29" s="4365"/>
      <c r="AU29" s="4365"/>
      <c r="AV29" s="4365"/>
      <c r="AW29" s="4365"/>
      <c r="AX29" s="4365"/>
      <c r="AY29" s="4365"/>
      <c r="AZ29" s="4365"/>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49" customFormat="1" ht="25.5" customHeight="1">
      <c r="A31" s="1286"/>
      <c r="B31" s="1286"/>
      <c r="C31" s="1286"/>
      <c r="D31" s="1286"/>
      <c r="E31" s="1286"/>
      <c r="F31" s="1286"/>
      <c r="G31" s="1286"/>
      <c r="H31" s="1286"/>
      <c r="I31" s="1286"/>
      <c r="J31" s="1286"/>
      <c r="K31" s="1286"/>
      <c r="L31" s="1287"/>
      <c r="M31" s="1286"/>
      <c r="N31" s="1286"/>
      <c r="O31" s="1286"/>
      <c r="P31" s="1286"/>
      <c r="Q31" s="1286"/>
      <c r="S31" s="4403" t="s">
        <v>42</v>
      </c>
      <c r="T31" s="4403"/>
      <c r="U31" s="1290"/>
      <c r="V31" s="4405" t="str">
        <f>IF(TITLE_NAME_OR_PR_CHANGE="",IF(TITLE_NAME_OR_PR="","",TITLE_NAME_OR_PR),TITLE_NAME_OR_PR_CHANGE)</f>
        <v>Комитет по тарифному регулированию Мурманской области</v>
      </c>
      <c r="W31" s="4405"/>
      <c r="X31" s="4405"/>
      <c r="Y31" s="4405"/>
      <c r="Z31" s="4405"/>
      <c r="AA31" s="4405"/>
      <c r="AB31" s="4405"/>
      <c r="AC31" s="262"/>
      <c r="AD31" s="4405" t="str">
        <f>IF(TITLE_NAME_OR_PR_CHANGE="",IF(TITLE_NAME_OR_PR="","",TITLE_NAME_OR_PR),TITLE_NAME_OR_PR_CHANGE)</f>
        <v>Комитет по тарифному регулированию Мурманской области</v>
      </c>
      <c r="AE31" s="4405"/>
      <c r="AF31" s="4405"/>
      <c r="AG31" s="4405"/>
      <c r="AH31" s="4405"/>
      <c r="AI31" s="4405"/>
      <c r="AJ31" s="4405"/>
      <c r="AK31" s="4405"/>
      <c r="AL31" s="4405"/>
      <c r="AM31" s="4405"/>
      <c r="AN31" s="4405"/>
      <c r="AO31" s="4405"/>
      <c r="AP31" s="4405"/>
      <c r="AQ31" s="4405"/>
      <c r="AR31" s="4405"/>
      <c r="AS31" s="4405"/>
      <c r="AT31" s="4405"/>
      <c r="AU31" s="4405"/>
      <c r="AV31" s="4405"/>
      <c r="AW31" s="4405"/>
      <c r="AX31" s="4405"/>
      <c r="AY31" s="4405"/>
      <c r="AZ31" s="4405"/>
      <c r="BA31" s="262"/>
      <c r="BB31" s="262"/>
      <c r="BC31" s="216"/>
      <c r="BD31" s="303"/>
      <c r="BE31" s="303"/>
      <c r="BF31" s="303"/>
      <c r="BG31" s="303"/>
      <c r="BH31" s="303"/>
      <c r="BI31" s="353">
        <v>0</v>
      </c>
    </row>
    <row r="32" spans="1:61" s="4149" customFormat="1" ht="18.75" customHeight="1">
      <c r="A32" s="1286"/>
      <c r="B32" s="1286"/>
      <c r="C32" s="1286"/>
      <c r="D32" s="1286"/>
      <c r="E32" s="1286"/>
      <c r="F32" s="1286"/>
      <c r="G32" s="1286"/>
      <c r="H32" s="1286"/>
      <c r="I32" s="1286"/>
      <c r="J32" s="1286"/>
      <c r="K32" s="1286"/>
      <c r="L32" s="1287"/>
      <c r="M32" s="1286"/>
      <c r="N32" s="1286"/>
      <c r="O32" s="1286"/>
      <c r="P32" s="1286"/>
      <c r="Q32" s="1286"/>
      <c r="S32" s="4403" t="s">
        <v>441</v>
      </c>
      <c r="T32" s="4403"/>
      <c r="U32" s="1290"/>
      <c r="V32" s="4404">
        <f>IF(TITLE_DATE_PR_CHANGE="",IF(TITLE_DATE_PR="","",TITLE_DATE_PR),TITLE_DATE_PR_CHANGE)</f>
        <v>45646</v>
      </c>
      <c r="W32" s="4404"/>
      <c r="X32" s="4404"/>
      <c r="Y32" s="4404"/>
      <c r="Z32" s="4404"/>
      <c r="AA32" s="4404"/>
      <c r="AB32" s="4404"/>
      <c r="AC32" s="262"/>
      <c r="AD32" s="4404">
        <f>IF(TITLE_DATE_PR_CHANGE="",IF(TITLE_DATE_PR="","",TITLE_DATE_PR),TITLE_DATE_PR_CHANGE)</f>
        <v>45646</v>
      </c>
      <c r="AE32" s="4404"/>
      <c r="AF32" s="4404"/>
      <c r="AG32" s="4404"/>
      <c r="AH32" s="4404"/>
      <c r="AI32" s="4404"/>
      <c r="AJ32" s="4404"/>
      <c r="AK32" s="4404"/>
      <c r="AL32" s="4404"/>
      <c r="AM32" s="4404"/>
      <c r="AN32" s="4404"/>
      <c r="AO32" s="4404"/>
      <c r="AP32" s="4404"/>
      <c r="AQ32" s="4404"/>
      <c r="AR32" s="4404"/>
      <c r="AS32" s="4404"/>
      <c r="AT32" s="4404"/>
      <c r="AU32" s="4404"/>
      <c r="AV32" s="4404"/>
      <c r="AW32" s="4404"/>
      <c r="AX32" s="4404"/>
      <c r="AY32" s="4404"/>
      <c r="AZ32" s="4404"/>
      <c r="BA32" s="262"/>
      <c r="BB32" s="262"/>
      <c r="BC32" s="216"/>
      <c r="BD32" s="303"/>
      <c r="BE32" s="303"/>
      <c r="BF32" s="303"/>
      <c r="BG32" s="303"/>
      <c r="BH32" s="303"/>
      <c r="BI32" s="353">
        <v>0</v>
      </c>
    </row>
    <row r="33" spans="1:61" s="4149" customFormat="1" ht="18.75" customHeight="1">
      <c r="A33" s="1286"/>
      <c r="B33" s="1286"/>
      <c r="C33" s="1286"/>
      <c r="D33" s="1286"/>
      <c r="E33" s="1286"/>
      <c r="F33" s="1286"/>
      <c r="G33" s="1286"/>
      <c r="H33" s="1286"/>
      <c r="I33" s="1286"/>
      <c r="J33" s="1286"/>
      <c r="K33" s="1286"/>
      <c r="L33" s="1287"/>
      <c r="M33" s="1286"/>
      <c r="N33" s="1286"/>
      <c r="O33" s="1286"/>
      <c r="P33" s="1286"/>
      <c r="Q33" s="1286"/>
      <c r="S33" s="4403" t="s">
        <v>442</v>
      </c>
      <c r="T33" s="4403"/>
      <c r="U33" s="1290"/>
      <c r="V33" s="4405" t="str">
        <f>IF(TITLE_NUMBER_PR_CHANGE="",IF(TITLE_NUMBER_PR="","",TITLE_NUMBER_PR),TITLE_NUMBER_PR_CHANGE)</f>
        <v>51/110</v>
      </c>
      <c r="W33" s="4405"/>
      <c r="X33" s="4405"/>
      <c r="Y33" s="4405"/>
      <c r="Z33" s="4405"/>
      <c r="AA33" s="4405"/>
      <c r="AB33" s="4405"/>
      <c r="AC33" s="262"/>
      <c r="AD33" s="4405" t="str">
        <f>IF(TITLE_NUMBER_PR_CHANGE="",IF(TITLE_NUMBER_PR="","",TITLE_NUMBER_PR),TITLE_NUMBER_PR_CHANGE)</f>
        <v>51/110</v>
      </c>
      <c r="AE33" s="4405"/>
      <c r="AF33" s="4405"/>
      <c r="AG33" s="4405"/>
      <c r="AH33" s="4405"/>
      <c r="AI33" s="4405"/>
      <c r="AJ33" s="4405"/>
      <c r="AK33" s="4405"/>
      <c r="AL33" s="4405"/>
      <c r="AM33" s="4405"/>
      <c r="AN33" s="4405"/>
      <c r="AO33" s="4405"/>
      <c r="AP33" s="4405"/>
      <c r="AQ33" s="4405"/>
      <c r="AR33" s="4405"/>
      <c r="AS33" s="4405"/>
      <c r="AT33" s="4405"/>
      <c r="AU33" s="4405"/>
      <c r="AV33" s="4405"/>
      <c r="AW33" s="4405"/>
      <c r="AX33" s="4405"/>
      <c r="AY33" s="4405"/>
      <c r="AZ33" s="4405"/>
      <c r="BA33" s="262"/>
      <c r="BB33" s="262"/>
      <c r="BC33" s="216"/>
      <c r="BD33" s="303"/>
      <c r="BE33" s="303"/>
      <c r="BF33" s="303"/>
      <c r="BG33" s="303"/>
      <c r="BH33" s="303"/>
      <c r="BI33" s="353">
        <v>0</v>
      </c>
    </row>
    <row r="34" spans="1:61" s="4149" customFormat="1" ht="18.75" customHeight="1">
      <c r="A34" s="1286"/>
      <c r="B34" s="1286"/>
      <c r="C34" s="1286"/>
      <c r="D34" s="1286"/>
      <c r="E34" s="1286"/>
      <c r="F34" s="1286"/>
      <c r="G34" s="1286"/>
      <c r="H34" s="1286"/>
      <c r="I34" s="1286"/>
      <c r="J34" s="1286"/>
      <c r="K34" s="1286"/>
      <c r="L34" s="1287"/>
      <c r="M34" s="1286"/>
      <c r="N34" s="1286"/>
      <c r="O34" s="1286"/>
      <c r="P34" s="1286"/>
      <c r="Q34" s="1286"/>
      <c r="S34" s="4403" t="s">
        <v>44</v>
      </c>
      <c r="T34" s="4403"/>
      <c r="U34" s="1290"/>
      <c r="V34" s="4405" t="str">
        <f>IF(TITLE_IST_PUB_CHANGE="",IF(TITLE_IST_PUB="","",TITLE_IST_PUB),TITLE_IST_PUB_CHANGE)</f>
        <v>https://npa.gov-murman.ru/bitrix/components/b1team/govmurman.element.file/download.php?ID=537820&amp;FID=814582</v>
      </c>
      <c r="W34" s="4405"/>
      <c r="X34" s="4405"/>
      <c r="Y34" s="4405"/>
      <c r="Z34" s="4405"/>
      <c r="AA34" s="4405"/>
      <c r="AB34" s="4405"/>
      <c r="AC34" s="262"/>
      <c r="AD34" s="4405" t="str">
        <f>IF(TITLE_IST_PUB_CHANGE="",IF(TITLE_IST_PUB="","",TITLE_IST_PUB),TITLE_IST_PUB_CHANGE)</f>
        <v>https://npa.gov-murman.ru/bitrix/components/b1team/govmurman.element.file/download.php?ID=537820&amp;FID=814582</v>
      </c>
      <c r="AE34" s="4405"/>
      <c r="AF34" s="4405"/>
      <c r="AG34" s="4405"/>
      <c r="AH34" s="4405"/>
      <c r="AI34" s="4405"/>
      <c r="AJ34" s="4405"/>
      <c r="AK34" s="4405"/>
      <c r="AL34" s="4405"/>
      <c r="AM34" s="4405"/>
      <c r="AN34" s="4405"/>
      <c r="AO34" s="4405"/>
      <c r="AP34" s="4405"/>
      <c r="AQ34" s="4405"/>
      <c r="AR34" s="4405"/>
      <c r="AS34" s="4405"/>
      <c r="AT34" s="4405"/>
      <c r="AU34" s="4405"/>
      <c r="AV34" s="4405"/>
      <c r="AW34" s="4405"/>
      <c r="AX34" s="4405"/>
      <c r="AY34" s="4405"/>
      <c r="AZ34" s="440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49" customFormat="1" ht="18.75" hidden="1" customHeight="1">
      <c r="A36" s="1286"/>
      <c r="B36" s="1286"/>
      <c r="C36" s="1286"/>
      <c r="D36" s="1286"/>
      <c r="E36" s="1286"/>
      <c r="F36" s="1286"/>
      <c r="G36" s="1286"/>
      <c r="H36" s="1286"/>
      <c r="I36" s="1286"/>
      <c r="J36" s="1286"/>
      <c r="K36" s="1286"/>
      <c r="L36" s="1287"/>
      <c r="M36" s="1286"/>
      <c r="N36" s="1286"/>
      <c r="O36" s="1286"/>
      <c r="P36" s="1286"/>
      <c r="Q36" s="1286"/>
      <c r="S36" s="4403" t="s">
        <v>441</v>
      </c>
      <c r="T36" s="4403"/>
      <c r="U36" s="1290"/>
      <c r="V36" s="4404">
        <f>IF(TITLE_DATE_PR_CHANGE="",IF(TITLE_DATE_PR="","",TITLE_DATE_PR),TITLE_DATE_PR_CHANGE)</f>
        <v>45646</v>
      </c>
      <c r="W36" s="4404"/>
      <c r="X36" s="4404"/>
      <c r="Y36" s="4404"/>
      <c r="Z36" s="4404"/>
      <c r="AA36" s="4404"/>
      <c r="AB36" s="4404"/>
      <c r="AC36" s="262"/>
      <c r="AD36" s="4404">
        <f>IF(TITLE_DATE_PR_CHANGE="",IF(TITLE_DATE_PR="","",TITLE_DATE_PR),TITLE_DATE_PR_CHANGE)</f>
        <v>45646</v>
      </c>
      <c r="AE36" s="4404"/>
      <c r="AF36" s="4404"/>
      <c r="AG36" s="4404"/>
      <c r="AH36" s="4404"/>
      <c r="AI36" s="4404"/>
      <c r="AJ36" s="4404"/>
      <c r="AK36" s="4404"/>
      <c r="AL36" s="4404"/>
      <c r="AM36" s="4404"/>
      <c r="AN36" s="4404"/>
      <c r="AO36" s="4404"/>
      <c r="AP36" s="4404"/>
      <c r="AQ36" s="4404"/>
      <c r="AR36" s="4404"/>
      <c r="AS36" s="4404"/>
      <c r="AT36" s="4404"/>
      <c r="AU36" s="4404"/>
      <c r="AV36" s="4404"/>
      <c r="AW36" s="4404"/>
      <c r="AX36" s="4404"/>
      <c r="AY36" s="4404"/>
      <c r="AZ36" s="4404"/>
      <c r="BA36" s="262"/>
      <c r="BB36" s="262"/>
      <c r="BC36" s="216"/>
      <c r="BD36" s="303"/>
      <c r="BE36" s="303"/>
      <c r="BF36" s="303"/>
      <c r="BG36" s="303"/>
      <c r="BH36" s="303"/>
      <c r="BI36" s="353">
        <v>0</v>
      </c>
    </row>
    <row r="37" spans="1:61" s="4149" customFormat="1" ht="18.75" hidden="1" customHeight="1">
      <c r="A37" s="1286"/>
      <c r="B37" s="1286"/>
      <c r="C37" s="1286"/>
      <c r="D37" s="1286"/>
      <c r="E37" s="1286"/>
      <c r="F37" s="1286"/>
      <c r="G37" s="1286"/>
      <c r="H37" s="1286"/>
      <c r="I37" s="1286"/>
      <c r="J37" s="1286"/>
      <c r="K37" s="1286"/>
      <c r="L37" s="1287"/>
      <c r="M37" s="1286"/>
      <c r="N37" s="1286"/>
      <c r="O37" s="1286"/>
      <c r="P37" s="1286"/>
      <c r="Q37" s="1286"/>
      <c r="S37" s="4403" t="s">
        <v>442</v>
      </c>
      <c r="T37" s="4403"/>
      <c r="U37" s="1290"/>
      <c r="V37" s="4405" t="str">
        <f>IF(TITLE_NUMBER_PR_CHANGE="",IF(TITLE_NUMBER_PR="","",TITLE_NUMBER_PR),TITLE_NUMBER_PR_CHANGE)</f>
        <v>51/110</v>
      </c>
      <c r="W37" s="4405"/>
      <c r="X37" s="4405"/>
      <c r="Y37" s="4405"/>
      <c r="Z37" s="4405"/>
      <c r="AA37" s="4405"/>
      <c r="AB37" s="4405"/>
      <c r="AC37" s="262"/>
      <c r="AD37" s="4405" t="str">
        <f>IF(TITLE_NUMBER_PR_CHANGE="",IF(TITLE_NUMBER_PR="","",TITLE_NUMBER_PR),TITLE_NUMBER_PR_CHANGE)</f>
        <v>51/110</v>
      </c>
      <c r="AE37" s="4405"/>
      <c r="AF37" s="4405"/>
      <c r="AG37" s="4405"/>
      <c r="AH37" s="4405"/>
      <c r="AI37" s="4405"/>
      <c r="AJ37" s="4405"/>
      <c r="AK37" s="4405"/>
      <c r="AL37" s="4405"/>
      <c r="AM37" s="4405"/>
      <c r="AN37" s="4405"/>
      <c r="AO37" s="4405"/>
      <c r="AP37" s="4405"/>
      <c r="AQ37" s="4405"/>
      <c r="AR37" s="4405"/>
      <c r="AS37" s="4405"/>
      <c r="AT37" s="4405"/>
      <c r="AU37" s="4405"/>
      <c r="AV37" s="4405"/>
      <c r="AW37" s="4405"/>
      <c r="AX37" s="4405"/>
      <c r="AY37" s="4405"/>
      <c r="AZ37" s="4405"/>
      <c r="BA37" s="262"/>
      <c r="BB37" s="262"/>
      <c r="BC37" s="216"/>
      <c r="BD37" s="303"/>
      <c r="BE37" s="303"/>
      <c r="BF37" s="303"/>
      <c r="BG37" s="303"/>
      <c r="BH37" s="303"/>
      <c r="BI37" s="353">
        <v>0</v>
      </c>
    </row>
    <row r="38" spans="1:61" s="414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445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445</v>
      </c>
      <c r="BD38" s="303"/>
      <c r="BE38" s="303"/>
      <c r="BF38" s="303"/>
      <c r="BG38" s="303"/>
      <c r="BH38" s="303"/>
      <c r="BI38" s="353">
        <v>0</v>
      </c>
    </row>
    <row r="39" spans="1:61" ht="14.65" customHeight="1">
      <c r="Q39" s="227"/>
      <c r="R39" s="311"/>
      <c r="S39" s="1193"/>
      <c r="T39" s="298"/>
      <c r="U39" s="1162"/>
      <c r="V39" s="4424"/>
      <c r="W39" s="4424"/>
      <c r="X39" s="4424"/>
      <c r="Y39" s="4424"/>
      <c r="Z39" s="4424"/>
      <c r="AA39" s="4424"/>
      <c r="AB39" s="4424"/>
      <c r="AC39" s="4424"/>
      <c r="AD39" s="4424"/>
      <c r="AE39" s="4424"/>
      <c r="AF39" s="4424"/>
      <c r="AG39" s="4424"/>
      <c r="AH39" s="4424"/>
      <c r="AI39" s="4424"/>
      <c r="AJ39" s="4424"/>
      <c r="AK39" s="4424"/>
      <c r="AL39" s="4424"/>
      <c r="AM39" s="4424"/>
      <c r="AN39" s="4424"/>
      <c r="AO39" s="4424"/>
      <c r="AP39" s="4424"/>
      <c r="AQ39" s="4424"/>
      <c r="AR39" s="4424"/>
      <c r="AS39" s="4424"/>
      <c r="AT39" s="4424"/>
      <c r="AU39" s="4424"/>
      <c r="AV39" s="4424"/>
      <c r="AW39" s="4424"/>
      <c r="AX39" s="4424"/>
      <c r="AY39" s="4424"/>
      <c r="AZ39" s="4424"/>
      <c r="BA39" s="4424"/>
      <c r="BI39" s="1073">
        <v>14</v>
      </c>
    </row>
    <row r="40" spans="1:61" ht="14.65" customHeight="1">
      <c r="Q40" s="227"/>
      <c r="R40" s="311"/>
      <c r="S40" s="4274" t="s">
        <v>321</v>
      </c>
      <c r="T40" s="4274"/>
      <c r="U40" s="4274"/>
      <c r="V40" s="4274"/>
      <c r="W40" s="4274"/>
      <c r="X40" s="4274"/>
      <c r="Y40" s="4274"/>
      <c r="Z40" s="4274"/>
      <c r="AA40" s="4274"/>
      <c r="AB40" s="4274"/>
      <c r="AC40" s="4274"/>
      <c r="AD40" s="4274"/>
      <c r="AE40" s="4274"/>
      <c r="AF40" s="4274"/>
      <c r="AG40" s="4274"/>
      <c r="AH40" s="4274"/>
      <c r="AI40" s="4274"/>
      <c r="AJ40" s="4274"/>
      <c r="AK40" s="4274"/>
      <c r="AL40" s="4274"/>
      <c r="AM40" s="4274"/>
      <c r="AN40" s="4274"/>
      <c r="AO40" s="4274"/>
      <c r="AP40" s="4274"/>
      <c r="AQ40" s="4274"/>
      <c r="AR40" s="4274"/>
      <c r="AS40" s="4274"/>
      <c r="AT40" s="4274"/>
      <c r="AU40" s="4274"/>
      <c r="AV40" s="4274"/>
      <c r="AW40" s="4274"/>
      <c r="AX40" s="4274"/>
      <c r="AY40" s="4274"/>
      <c r="AZ40" s="4274"/>
      <c r="BA40" s="4274"/>
      <c r="BB40" s="4274"/>
      <c r="BC40" s="4274" t="s">
        <v>322</v>
      </c>
      <c r="BI40" s="1073">
        <v>14</v>
      </c>
    </row>
    <row r="41" spans="1:61" ht="14.65" customHeight="1">
      <c r="Q41" s="227"/>
      <c r="R41" s="311"/>
      <c r="S41" s="4425" t="s">
        <v>92</v>
      </c>
      <c r="T41" s="4373" t="s">
        <v>528</v>
      </c>
      <c r="U41" s="237"/>
      <c r="V41" s="4426" t="s">
        <v>447</v>
      </c>
      <c r="W41" s="4427"/>
      <c r="X41" s="4427"/>
      <c r="Y41" s="4427"/>
      <c r="Z41" s="4427"/>
      <c r="AA41" s="4427"/>
      <c r="AB41" s="4428"/>
      <c r="AC41" s="4429" t="s">
        <v>448</v>
      </c>
      <c r="AD41" s="4458" t="s">
        <v>545</v>
      </c>
      <c r="AE41" s="4442"/>
      <c r="AF41" s="4442"/>
      <c r="AG41" s="4459"/>
      <c r="AH41" s="4458" t="s">
        <v>546</v>
      </c>
      <c r="AI41" s="4442"/>
      <c r="AJ41" s="4442"/>
      <c r="AK41" s="4459"/>
      <c r="AL41" s="4458" t="s">
        <v>547</v>
      </c>
      <c r="AM41" s="4442"/>
      <c r="AN41" s="4442"/>
      <c r="AO41" s="4459"/>
      <c r="AP41" s="4458" t="s">
        <v>532</v>
      </c>
      <c r="AQ41" s="4442"/>
      <c r="AR41" s="4442"/>
      <c r="AS41" s="4459"/>
      <c r="AT41" s="4426" t="s">
        <v>447</v>
      </c>
      <c r="AU41" s="4427"/>
      <c r="AV41" s="4427"/>
      <c r="AW41" s="4427"/>
      <c r="AX41" s="4427"/>
      <c r="AY41" s="4427"/>
      <c r="AZ41" s="4428"/>
      <c r="BA41" s="4429" t="s">
        <v>448</v>
      </c>
      <c r="BB41" s="4432" t="s">
        <v>450</v>
      </c>
      <c r="BC41" s="4274"/>
      <c r="BI41" s="1073">
        <v>14</v>
      </c>
    </row>
    <row r="42" spans="1:61" ht="35.65" customHeight="1">
      <c r="Q42" s="227"/>
      <c r="R42" s="311"/>
      <c r="S42" s="4425"/>
      <c r="T42" s="4373"/>
      <c r="U42" s="953"/>
      <c r="V42" s="4346" t="s">
        <v>533</v>
      </c>
      <c r="W42" s="4347"/>
      <c r="X42" s="4346" t="s">
        <v>534</v>
      </c>
      <c r="Y42" s="4347"/>
      <c r="Z42" s="4346" t="s">
        <v>535</v>
      </c>
      <c r="AA42" s="4454"/>
      <c r="AB42" s="4347"/>
      <c r="AC42" s="4430"/>
      <c r="AD42" s="4460"/>
      <c r="AE42" s="4461"/>
      <c r="AF42" s="4461"/>
      <c r="AG42" s="4473"/>
      <c r="AH42" s="4460"/>
      <c r="AI42" s="4461"/>
      <c r="AJ42" s="4461"/>
      <c r="AK42" s="4473"/>
      <c r="AL42" s="4460"/>
      <c r="AM42" s="4461"/>
      <c r="AN42" s="4461"/>
      <c r="AO42" s="4473"/>
      <c r="AP42" s="4460"/>
      <c r="AQ42" s="4461"/>
      <c r="AR42" s="4461"/>
      <c r="AS42" s="4473"/>
      <c r="AT42" s="4346" t="s">
        <v>548</v>
      </c>
      <c r="AU42" s="4347"/>
      <c r="AV42" s="4346" t="s">
        <v>549</v>
      </c>
      <c r="AW42" s="4347"/>
      <c r="AX42" s="4346" t="s">
        <v>535</v>
      </c>
      <c r="AY42" s="4454"/>
      <c r="AZ42" s="4347"/>
      <c r="BA42" s="4430"/>
      <c r="BB42" s="4433"/>
      <c r="BC42" s="4274"/>
      <c r="BI42" s="1073">
        <v>34</v>
      </c>
    </row>
    <row r="43" spans="1:61" ht="14.65" customHeight="1">
      <c r="Q43" s="227"/>
      <c r="R43" s="311"/>
      <c r="S43" s="4425"/>
      <c r="T43" s="4373"/>
      <c r="U43" s="953"/>
      <c r="V43" s="4351"/>
      <c r="W43" s="4352"/>
      <c r="X43" s="4351"/>
      <c r="Y43" s="4352"/>
      <c r="Z43" s="4351"/>
      <c r="AA43" s="4455"/>
      <c r="AB43" s="4352"/>
      <c r="AC43" s="4430"/>
      <c r="AD43" s="4460"/>
      <c r="AE43" s="4461"/>
      <c r="AF43" s="4461"/>
      <c r="AG43" s="4473"/>
      <c r="AH43" s="4460"/>
      <c r="AI43" s="4461"/>
      <c r="AJ43" s="4461"/>
      <c r="AK43" s="4473"/>
      <c r="AL43" s="4460"/>
      <c r="AM43" s="4461"/>
      <c r="AN43" s="4461"/>
      <c r="AO43" s="4473"/>
      <c r="AP43" s="4460"/>
      <c r="AQ43" s="4461"/>
      <c r="AR43" s="4461"/>
      <c r="AS43" s="4473"/>
      <c r="AT43" s="4351"/>
      <c r="AU43" s="4352"/>
      <c r="AV43" s="4351"/>
      <c r="AW43" s="4352"/>
      <c r="AX43" s="4351"/>
      <c r="AY43" s="4455"/>
      <c r="AZ43" s="4352"/>
      <c r="BA43" s="4430"/>
      <c r="BB43" s="4433"/>
      <c r="BC43" s="4274"/>
      <c r="BI43" s="1073">
        <v>14</v>
      </c>
    </row>
    <row r="44" spans="1:61" ht="14.65" customHeight="1">
      <c r="A44" s="1288"/>
      <c r="B44" s="1288" t="s">
        <v>138</v>
      </c>
      <c r="C44" s="1288" t="s">
        <v>139</v>
      </c>
      <c r="D44" s="1288" t="s">
        <v>140</v>
      </c>
      <c r="E44" s="1282" t="s">
        <v>455</v>
      </c>
      <c r="F44" s="1282" t="s">
        <v>456</v>
      </c>
      <c r="G44" s="1282" t="s">
        <v>457</v>
      </c>
      <c r="H44" s="1282" t="s">
        <v>458</v>
      </c>
      <c r="I44" s="1282" t="s">
        <v>459</v>
      </c>
      <c r="J44" s="1282" t="s">
        <v>460</v>
      </c>
      <c r="K44" s="1282" t="s">
        <v>461</v>
      </c>
      <c r="L44" s="1282" t="s">
        <v>436</v>
      </c>
      <c r="Q44" s="227"/>
      <c r="R44" s="311"/>
      <c r="S44" s="4425"/>
      <c r="T44" s="4373"/>
      <c r="U44" s="238"/>
      <c r="V44" s="1397" t="s">
        <v>499</v>
      </c>
      <c r="W44" s="1397" t="s">
        <v>500</v>
      </c>
      <c r="X44" s="1397" t="s">
        <v>499</v>
      </c>
      <c r="Y44" s="1397" t="s">
        <v>500</v>
      </c>
      <c r="Z44" s="1407" t="s">
        <v>464</v>
      </c>
      <c r="AA44" s="4378" t="s">
        <v>465</v>
      </c>
      <c r="AB44" s="4392"/>
      <c r="AC44" s="4431"/>
      <c r="AD44" s="4462"/>
      <c r="AE44" s="4463"/>
      <c r="AF44" s="4463"/>
      <c r="AG44" s="4464"/>
      <c r="AH44" s="4462"/>
      <c r="AI44" s="4463"/>
      <c r="AJ44" s="4463"/>
      <c r="AK44" s="4464"/>
      <c r="AL44" s="4462"/>
      <c r="AM44" s="4463"/>
      <c r="AN44" s="4463"/>
      <c r="AO44" s="4464"/>
      <c r="AP44" s="4462"/>
      <c r="AQ44" s="4463"/>
      <c r="AR44" s="4463"/>
      <c r="AS44" s="4464"/>
      <c r="AT44" s="1397" t="s">
        <v>499</v>
      </c>
      <c r="AU44" s="1397" t="s">
        <v>500</v>
      </c>
      <c r="AV44" s="1397" t="s">
        <v>499</v>
      </c>
      <c r="AW44" s="1397" t="s">
        <v>500</v>
      </c>
      <c r="AX44" s="1407" t="s">
        <v>464</v>
      </c>
      <c r="AY44" s="4378" t="s">
        <v>465</v>
      </c>
      <c r="AZ44" s="4392"/>
      <c r="BA44" s="4431"/>
      <c r="BB44" s="4434"/>
      <c r="BC44" s="4274"/>
      <c r="BI44" s="1073">
        <v>14</v>
      </c>
    </row>
    <row r="45" spans="1:61" s="416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400">
        <f t="shared" ref="V45:AA45" ca="1" si="2">OFFSET(V45,0,-1)+1</f>
        <v>3</v>
      </c>
      <c r="W45" s="1400">
        <f t="shared" ca="1" si="2"/>
        <v>4</v>
      </c>
      <c r="X45" s="1400">
        <f t="shared" ca="1" si="2"/>
        <v>5</v>
      </c>
      <c r="Y45" s="1400">
        <f t="shared" ca="1" si="2"/>
        <v>6</v>
      </c>
      <c r="Z45" s="1400">
        <f t="shared" ca="1" si="2"/>
        <v>7</v>
      </c>
      <c r="AA45" s="4423">
        <f t="shared" ca="1" si="2"/>
        <v>8</v>
      </c>
      <c r="AB45" s="442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4423">
        <f ca="1">OFFSET(AY45,0,-1)+1</f>
        <v>3</v>
      </c>
      <c r="AZ45" s="4423"/>
      <c r="BA45" s="1400">
        <f ca="1">OFFSET(BA45,0,-2)+1</f>
        <v>4</v>
      </c>
      <c r="BB45" s="1163">
        <f ca="1">OFFSET(BB45,0,-1)</f>
        <v>4</v>
      </c>
      <c r="BC45" s="1400">
        <f ca="1">OFFSET(BC45,0,-1)+1</f>
        <v>5</v>
      </c>
      <c r="BD45" s="446"/>
      <c r="BE45" s="446"/>
      <c r="BF45" s="446"/>
      <c r="BG45" s="446"/>
      <c r="BH45" s="446"/>
      <c r="BI45" s="431">
        <v>0</v>
      </c>
    </row>
    <row r="46" spans="1:61" ht="21.95" customHeight="1">
      <c r="A46" s="1281" t="s">
        <v>297</v>
      </c>
      <c r="B46" s="1281"/>
      <c r="C46" s="1281"/>
      <c r="D46" s="1281"/>
      <c r="E46" s="441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4407"/>
      <c r="W46" s="4407"/>
      <c r="X46" s="4407"/>
      <c r="Y46" s="4407"/>
      <c r="Z46" s="4407"/>
      <c r="AA46" s="4407"/>
      <c r="AB46" s="4407"/>
      <c r="AC46" s="4408"/>
      <c r="AD46" s="4406" t="str">
        <f>INDEX(PT_DIFFERENTIATION_NTAR,MATCH(A46,PT_DIFFERENTIATION_NTAR_ID,0))</f>
        <v/>
      </c>
      <c r="AE46" s="4407"/>
      <c r="AF46" s="4407"/>
      <c r="AG46" s="4407"/>
      <c r="AH46" s="4407"/>
      <c r="AI46" s="4407"/>
      <c r="AJ46" s="4407"/>
      <c r="AK46" s="4407"/>
      <c r="AL46" s="4407"/>
      <c r="AM46" s="4407"/>
      <c r="AN46" s="4407"/>
      <c r="AO46" s="4407"/>
      <c r="AP46" s="4407"/>
      <c r="AQ46" s="4407"/>
      <c r="AR46" s="4407"/>
      <c r="AS46" s="4407"/>
      <c r="AT46" s="4407"/>
      <c r="AU46" s="4407"/>
      <c r="AV46" s="4407"/>
      <c r="AW46" s="4407"/>
      <c r="AX46" s="4407"/>
      <c r="AY46" s="4407"/>
      <c r="AZ46" s="4407"/>
      <c r="BA46" s="4407"/>
      <c r="BB46" s="440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297</v>
      </c>
      <c r="B47" s="1281" t="s">
        <v>298</v>
      </c>
      <c r="C47" s="1281"/>
      <c r="D47" s="1281"/>
      <c r="E47" s="4413"/>
      <c r="F47" s="4412">
        <v>1</v>
      </c>
      <c r="G47" s="1281"/>
      <c r="H47" s="1281"/>
      <c r="I47" s="1281"/>
      <c r="J47" s="1281"/>
      <c r="K47" s="1281"/>
      <c r="L47" s="1282"/>
      <c r="M47" s="1283"/>
      <c r="N47" s="1283"/>
      <c r="O47" s="1283"/>
      <c r="P47" s="1328"/>
      <c r="Q47" s="1329"/>
      <c r="R47" s="288"/>
      <c r="S47" s="1411" t="str">
        <f>INDEX(PT_DIFFERENTIATION_NUM_TER,MATCH(B47,PT_DIFFERENTIATION_TER_ID,0))</f>
        <v>.</v>
      </c>
      <c r="T47" s="244" t="s">
        <v>418</v>
      </c>
      <c r="U47" s="236"/>
      <c r="V47" s="4407"/>
      <c r="W47" s="4407"/>
      <c r="X47" s="4407"/>
      <c r="Y47" s="4407"/>
      <c r="Z47" s="4407"/>
      <c r="AA47" s="4407"/>
      <c r="AB47" s="4407"/>
      <c r="AC47" s="4408"/>
      <c r="AD47" s="4406" t="str">
        <f>INDEX(PT_DIFFERENTIATION_TER,MATCH(B47,PT_DIFFERENTIATION_TER_ID,0))</f>
        <v/>
      </c>
      <c r="AE47" s="4407"/>
      <c r="AF47" s="4407"/>
      <c r="AG47" s="4407"/>
      <c r="AH47" s="4407"/>
      <c r="AI47" s="4407"/>
      <c r="AJ47" s="4407"/>
      <c r="AK47" s="4407"/>
      <c r="AL47" s="4407"/>
      <c r="AM47" s="4407"/>
      <c r="AN47" s="4407"/>
      <c r="AO47" s="4407"/>
      <c r="AP47" s="4407"/>
      <c r="AQ47" s="4407"/>
      <c r="AR47" s="4407"/>
      <c r="AS47" s="4407"/>
      <c r="AT47" s="4407"/>
      <c r="AU47" s="4407"/>
      <c r="AV47" s="4407"/>
      <c r="AW47" s="4407"/>
      <c r="AX47" s="4407"/>
      <c r="AY47" s="4407"/>
      <c r="AZ47" s="4407"/>
      <c r="BA47" s="4407"/>
      <c r="BB47" s="4408"/>
      <c r="BC47" s="1176" t="s">
        <v>419</v>
      </c>
      <c r="BE47" s="435"/>
      <c r="BF47" s="435" t="str">
        <f t="shared" si="3"/>
        <v>Территория действия тарифа</v>
      </c>
      <c r="BG47" s="435"/>
      <c r="BH47" s="435"/>
      <c r="BI47" s="1073">
        <v>21</v>
      </c>
    </row>
    <row r="48" spans="1:61" ht="35.65" customHeight="1">
      <c r="A48" s="1281" t="s">
        <v>297</v>
      </c>
      <c r="B48" s="1281" t="s">
        <v>298</v>
      </c>
      <c r="C48" s="1281" t="s">
        <v>299</v>
      </c>
      <c r="D48" s="1281"/>
      <c r="E48" s="4413"/>
      <c r="F48" s="4413"/>
      <c r="G48" s="4412">
        <v>1</v>
      </c>
      <c r="H48" s="1281"/>
      <c r="I48" s="1281"/>
      <c r="J48" s="1281"/>
      <c r="K48" s="1281"/>
      <c r="L48" s="1282"/>
      <c r="M48" s="1283"/>
      <c r="N48" s="1283"/>
      <c r="O48" s="1283"/>
      <c r="P48" s="1330"/>
      <c r="Q48" s="1329"/>
      <c r="R48" s="288"/>
      <c r="S48" s="1411" t="str">
        <f>INDEX(PT_DIFFERENTIATION_NUM_CS,MATCH(C48,PT_DIFFERENTIATION_CS_ID,0))</f>
        <v>..</v>
      </c>
      <c r="T48" s="245" t="s">
        <v>537</v>
      </c>
      <c r="U48" s="236"/>
      <c r="V48" s="4407"/>
      <c r="W48" s="4407"/>
      <c r="X48" s="4407"/>
      <c r="Y48" s="4407"/>
      <c r="Z48" s="4407"/>
      <c r="AA48" s="4407"/>
      <c r="AB48" s="4407"/>
      <c r="AC48" s="4408"/>
      <c r="AD48" s="4406" t="str">
        <f>INDEX(PT_DIFFERENTIATION_CS,MATCH(C48,PT_DIFFERENTIATION_CS_ID,0))</f>
        <v/>
      </c>
      <c r="AE48" s="4407"/>
      <c r="AF48" s="4407"/>
      <c r="AG48" s="4407"/>
      <c r="AH48" s="4407"/>
      <c r="AI48" s="4407"/>
      <c r="AJ48" s="4407"/>
      <c r="AK48" s="4407"/>
      <c r="AL48" s="4407"/>
      <c r="AM48" s="4407"/>
      <c r="AN48" s="4407"/>
      <c r="AO48" s="4407"/>
      <c r="AP48" s="4407"/>
      <c r="AQ48" s="4407"/>
      <c r="AR48" s="4407"/>
      <c r="AS48" s="4407"/>
      <c r="AT48" s="4407"/>
      <c r="AU48" s="4407"/>
      <c r="AV48" s="4407"/>
      <c r="AW48" s="4407"/>
      <c r="AX48" s="4407"/>
      <c r="AY48" s="4407"/>
      <c r="AZ48" s="4407"/>
      <c r="BA48" s="4407"/>
      <c r="BB48" s="4408"/>
      <c r="BC48" s="1176" t="s">
        <v>538</v>
      </c>
      <c r="BE48" s="435"/>
      <c r="BF48" s="435" t="str">
        <f t="shared" si="3"/>
        <v>Наименование централизованной системы водоотведения</v>
      </c>
      <c r="BG48" s="435"/>
      <c r="BH48" s="435"/>
      <c r="BI48" s="1073">
        <v>34</v>
      </c>
    </row>
    <row r="49" spans="1:61" s="4140" customFormat="1" ht="0" hidden="1" customHeight="1">
      <c r="A49" s="1261" t="s">
        <v>297</v>
      </c>
      <c r="B49" s="1261" t="s">
        <v>298</v>
      </c>
      <c r="C49" s="1261" t="s">
        <v>299</v>
      </c>
      <c r="D49" s="1261" t="s">
        <v>550</v>
      </c>
      <c r="E49" s="4413"/>
      <c r="F49" s="4413"/>
      <c r="G49" s="4413"/>
      <c r="H49" s="4412">
        <v>1</v>
      </c>
      <c r="I49" s="1261"/>
      <c r="J49" s="1261"/>
      <c r="K49" s="1261"/>
      <c r="L49" s="1264"/>
      <c r="M49" s="1233"/>
      <c r="N49" s="1233"/>
      <c r="O49" s="1233"/>
      <c r="P49" s="1415"/>
      <c r="Q49" s="1416"/>
      <c r="R49" s="292"/>
      <c r="S49" s="964"/>
      <c r="T49" s="1417"/>
      <c r="U49" s="1302"/>
      <c r="V49" s="4444"/>
      <c r="W49" s="4444"/>
      <c r="X49" s="4444"/>
      <c r="Y49" s="4444"/>
      <c r="Z49" s="4444"/>
      <c r="AA49" s="4444"/>
      <c r="AB49" s="4444"/>
      <c r="AC49" s="4445"/>
      <c r="AD49" s="4443"/>
      <c r="AE49" s="4444"/>
      <c r="AF49" s="4444"/>
      <c r="AG49" s="4444"/>
      <c r="AH49" s="4444"/>
      <c r="AI49" s="4444"/>
      <c r="AJ49" s="4444"/>
      <c r="AK49" s="4444"/>
      <c r="AL49" s="4444"/>
      <c r="AM49" s="4444"/>
      <c r="AN49" s="4444"/>
      <c r="AO49" s="4444"/>
      <c r="AP49" s="4444"/>
      <c r="AQ49" s="4444"/>
      <c r="AR49" s="4444"/>
      <c r="AS49" s="4444"/>
      <c r="AT49" s="4444"/>
      <c r="AU49" s="4444"/>
      <c r="AV49" s="4444"/>
      <c r="AW49" s="4444"/>
      <c r="AX49" s="4444"/>
      <c r="AY49" s="4444"/>
      <c r="AZ49" s="4444"/>
      <c r="BA49" s="4444"/>
      <c r="BB49" s="4445"/>
      <c r="BC49" s="1303" t="s">
        <v>423</v>
      </c>
      <c r="BE49" s="435"/>
      <c r="BF49" s="435" t="str">
        <f t="shared" si="3"/>
        <v/>
      </c>
      <c r="BG49" s="435"/>
      <c r="BH49" s="435"/>
      <c r="BI49" s="446">
        <v>0</v>
      </c>
    </row>
    <row r="50" spans="1:61" s="4140" customFormat="1" ht="0" hidden="1" customHeight="1">
      <c r="A50" s="1261" t="s">
        <v>297</v>
      </c>
      <c r="B50" s="1261" t="s">
        <v>298</v>
      </c>
      <c r="C50" s="1261" t="s">
        <v>299</v>
      </c>
      <c r="D50" s="1261" t="s">
        <v>550</v>
      </c>
      <c r="E50" s="4413"/>
      <c r="F50" s="4413"/>
      <c r="G50" s="4413"/>
      <c r="H50" s="4413"/>
      <c r="I50" s="4414" t="str">
        <f>S49&amp;".1"</f>
        <v>.1</v>
      </c>
      <c r="J50" s="1261"/>
      <c r="K50" s="1261"/>
      <c r="L50" s="1264" t="s">
        <v>424</v>
      </c>
      <c r="M50" s="445"/>
      <c r="N50" s="445"/>
      <c r="O50" s="445"/>
      <c r="P50" s="4416">
        <v>1</v>
      </c>
      <c r="Q50" s="1399"/>
      <c r="R50" s="291"/>
      <c r="S50" s="964"/>
      <c r="T50" s="1301"/>
      <c r="U50" s="1302"/>
      <c r="V50" s="4444"/>
      <c r="W50" s="4444"/>
      <c r="X50" s="4444"/>
      <c r="Y50" s="4444"/>
      <c r="Z50" s="4444"/>
      <c r="AA50" s="4444"/>
      <c r="AB50" s="4444"/>
      <c r="AC50" s="4445"/>
      <c r="AD50" s="4443"/>
      <c r="AE50" s="4444"/>
      <c r="AF50" s="4444"/>
      <c r="AG50" s="4444"/>
      <c r="AH50" s="4444"/>
      <c r="AI50" s="4444"/>
      <c r="AJ50" s="4444"/>
      <c r="AK50" s="4444"/>
      <c r="AL50" s="4444"/>
      <c r="AM50" s="4444"/>
      <c r="AN50" s="4444"/>
      <c r="AO50" s="4444"/>
      <c r="AP50" s="4444"/>
      <c r="AQ50" s="4444"/>
      <c r="AR50" s="4444"/>
      <c r="AS50" s="4444"/>
      <c r="AT50" s="4444"/>
      <c r="AU50" s="4444"/>
      <c r="AV50" s="4444"/>
      <c r="AW50" s="4444"/>
      <c r="AX50" s="4444"/>
      <c r="AY50" s="4444"/>
      <c r="AZ50" s="4444"/>
      <c r="BA50" s="4444"/>
      <c r="BB50" s="4445"/>
      <c r="BC50" s="1303"/>
      <c r="BE50" s="435"/>
      <c r="BF50" s="435" t="str">
        <f t="shared" si="3"/>
        <v/>
      </c>
      <c r="BG50" s="435"/>
      <c r="BH50" s="435"/>
      <c r="BI50" s="446">
        <v>0</v>
      </c>
    </row>
    <row r="51" spans="1:61" s="4140" customFormat="1" ht="0" hidden="1" customHeight="1">
      <c r="A51" s="1261" t="s">
        <v>297</v>
      </c>
      <c r="B51" s="1261" t="s">
        <v>298</v>
      </c>
      <c r="C51" s="1261" t="s">
        <v>299</v>
      </c>
      <c r="D51" s="1261" t="s">
        <v>550</v>
      </c>
      <c r="E51" s="4413"/>
      <c r="F51" s="4413"/>
      <c r="G51" s="4413"/>
      <c r="H51" s="4413"/>
      <c r="I51" s="4415"/>
      <c r="J51" s="4414" t="str">
        <f>S49&amp;".1"</f>
        <v>.1</v>
      </c>
      <c r="K51" s="1261"/>
      <c r="L51" s="1264"/>
      <c r="M51" s="445"/>
      <c r="N51" s="445"/>
      <c r="O51" s="445"/>
      <c r="P51" s="4416"/>
      <c r="Q51" s="4416">
        <v>1</v>
      </c>
      <c r="R51" s="292"/>
      <c r="S51" s="964"/>
      <c r="T51" s="1317"/>
      <c r="U51" s="1302"/>
      <c r="V51" s="4444"/>
      <c r="W51" s="4444"/>
      <c r="X51" s="4444"/>
      <c r="Y51" s="4444"/>
      <c r="Z51" s="4444"/>
      <c r="AA51" s="4444"/>
      <c r="AB51" s="4444"/>
      <c r="AC51" s="4445"/>
      <c r="AD51" s="4443"/>
      <c r="AE51" s="4444"/>
      <c r="AF51" s="4444"/>
      <c r="AG51" s="4444"/>
      <c r="AH51" s="4444"/>
      <c r="AI51" s="4444"/>
      <c r="AJ51" s="4444"/>
      <c r="AK51" s="4444"/>
      <c r="AL51" s="4444"/>
      <c r="AM51" s="4444"/>
      <c r="AN51" s="4495"/>
      <c r="AO51" s="4495"/>
      <c r="AP51" s="4444"/>
      <c r="AQ51" s="4444"/>
      <c r="AR51" s="4444"/>
      <c r="AS51" s="4444"/>
      <c r="AT51" s="4444"/>
      <c r="AU51" s="4444"/>
      <c r="AV51" s="4444"/>
      <c r="AW51" s="4444"/>
      <c r="AX51" s="4444"/>
      <c r="AY51" s="4444"/>
      <c r="AZ51" s="4444"/>
      <c r="BA51" s="4444"/>
      <c r="BB51" s="4445"/>
      <c r="BC51" s="1303"/>
      <c r="BE51" s="435"/>
      <c r="BF51" s="435" t="str">
        <f t="shared" si="3"/>
        <v/>
      </c>
      <c r="BG51" s="435"/>
      <c r="BH51" s="435"/>
      <c r="BI51" s="446">
        <v>0</v>
      </c>
    </row>
    <row r="52" spans="1:61" ht="11.45" customHeight="1">
      <c r="A52" s="1281" t="s">
        <v>297</v>
      </c>
      <c r="B52" s="1281" t="s">
        <v>298</v>
      </c>
      <c r="C52" s="1281" t="s">
        <v>299</v>
      </c>
      <c r="D52" s="1281" t="s">
        <v>550</v>
      </c>
      <c r="E52" s="4413"/>
      <c r="F52" s="4413"/>
      <c r="G52" s="4413"/>
      <c r="H52" s="4413"/>
      <c r="I52" s="4415"/>
      <c r="J52" s="4415"/>
      <c r="K52" s="4414" t="str">
        <f>S48&amp;".1"</f>
        <v>...1</v>
      </c>
      <c r="L52" s="1282"/>
      <c r="P52" s="4416"/>
      <c r="Q52" s="4416"/>
      <c r="R52" s="292">
        <v>1</v>
      </c>
      <c r="S52" s="4469" t="str">
        <f>$K52</f>
        <v>...1</v>
      </c>
      <c r="T52" s="4489"/>
      <c r="U52" s="236"/>
      <c r="V52" s="686"/>
      <c r="W52" s="1175"/>
      <c r="X52" s="686"/>
      <c r="Y52" s="1175"/>
      <c r="Z52" s="1651"/>
      <c r="AA52" s="1387" t="s">
        <v>65</v>
      </c>
      <c r="AB52" s="1651"/>
      <c r="AC52" s="1387" t="s">
        <v>65</v>
      </c>
      <c r="AD52" s="4337" t="s">
        <v>65</v>
      </c>
      <c r="AE52" s="4465"/>
      <c r="AF52" s="4369">
        <v>1</v>
      </c>
      <c r="AG52" s="4488"/>
      <c r="AH52" s="4284" t="s">
        <v>65</v>
      </c>
      <c r="AI52" s="4465"/>
      <c r="AJ52" s="4369">
        <v>1</v>
      </c>
      <c r="AK52" s="4479" t="s">
        <v>28</v>
      </c>
      <c r="AL52" s="4284" t="s">
        <v>65</v>
      </c>
      <c r="AM52" s="4346"/>
      <c r="AN52" s="4369">
        <v>1</v>
      </c>
      <c r="AO52" s="4492"/>
      <c r="AP52" s="4493" t="s">
        <v>65</v>
      </c>
      <c r="AQ52" s="247"/>
      <c r="AR52" s="1404">
        <v>1</v>
      </c>
      <c r="AS52" s="1410" t="s">
        <v>28</v>
      </c>
      <c r="AT52" s="686"/>
      <c r="AU52" s="1175"/>
      <c r="AV52" s="686"/>
      <c r="AW52" s="1175"/>
      <c r="AX52" s="1651"/>
      <c r="AY52" s="1387" t="s">
        <v>65</v>
      </c>
      <c r="AZ52" s="1651"/>
      <c r="BA52" s="1387" t="s">
        <v>65</v>
      </c>
      <c r="BB52" s="1266"/>
      <c r="BC52" s="4435" t="s">
        <v>522</v>
      </c>
      <c r="BE52" s="435"/>
      <c r="BF52" s="435" t="str">
        <f t="shared" si="3"/>
        <v/>
      </c>
      <c r="BG52" s="435"/>
      <c r="BH52" s="435"/>
      <c r="BI52" s="1073">
        <v>11</v>
      </c>
    </row>
    <row r="53" spans="1:61" ht="11.45" customHeight="1">
      <c r="A53" s="1281"/>
      <c r="B53" s="1281"/>
      <c r="C53" s="1281"/>
      <c r="D53" s="1281"/>
      <c r="E53" s="4413"/>
      <c r="F53" s="4413"/>
      <c r="G53" s="4413"/>
      <c r="H53" s="4413"/>
      <c r="I53" s="4415"/>
      <c r="J53" s="4415"/>
      <c r="K53" s="4414"/>
      <c r="L53" s="1282"/>
      <c r="P53" s="4416"/>
      <c r="Q53" s="4416"/>
      <c r="R53" s="292"/>
      <c r="S53" s="4470"/>
      <c r="T53" s="4490"/>
      <c r="U53" s="236"/>
      <c r="V53" s="1311"/>
      <c r="W53" s="1414"/>
      <c r="X53" s="1311"/>
      <c r="Y53" s="1414"/>
      <c r="Z53" s="1311"/>
      <c r="AA53" s="1311"/>
      <c r="AB53" s="1311"/>
      <c r="AC53" s="1311"/>
      <c r="AD53" s="4338"/>
      <c r="AE53" s="4465"/>
      <c r="AF53" s="4369"/>
      <c r="AG53" s="4488"/>
      <c r="AH53" s="4284"/>
      <c r="AI53" s="4465"/>
      <c r="AJ53" s="4369"/>
      <c r="AK53" s="4479"/>
      <c r="AL53" s="4284"/>
      <c r="AM53" s="4351"/>
      <c r="AN53" s="4369"/>
      <c r="AO53" s="4492"/>
      <c r="AP53" s="4494"/>
      <c r="AQ53" s="252"/>
      <c r="AR53" s="351"/>
      <c r="AS53" s="351" t="s">
        <v>523</v>
      </c>
      <c r="AT53" s="1311"/>
      <c r="AU53" s="1414"/>
      <c r="AV53" s="1311"/>
      <c r="AW53" s="1414"/>
      <c r="AX53" s="1311"/>
      <c r="AY53" s="1311"/>
      <c r="AZ53" s="1311"/>
      <c r="BA53" s="1311"/>
      <c r="BB53" s="1315"/>
      <c r="BC53" s="4436"/>
      <c r="BE53" s="435"/>
      <c r="BF53" s="435"/>
      <c r="BG53" s="435"/>
      <c r="BH53" s="435"/>
      <c r="BI53" s="1073">
        <v>11</v>
      </c>
    </row>
    <row r="54" spans="1:61" ht="11.45" customHeight="1">
      <c r="A54" s="1281" t="s">
        <v>297</v>
      </c>
      <c r="B54" s="1281"/>
      <c r="C54" s="1281"/>
      <c r="D54" s="1281"/>
      <c r="E54" s="4413"/>
      <c r="F54" s="4413"/>
      <c r="G54" s="4413"/>
      <c r="H54" s="4413"/>
      <c r="I54" s="4415"/>
      <c r="J54" s="4415"/>
      <c r="K54" s="4414"/>
      <c r="L54" s="1282"/>
      <c r="P54" s="4416"/>
      <c r="Q54" s="4416"/>
      <c r="R54" s="292"/>
      <c r="S54" s="4470"/>
      <c r="T54" s="4490"/>
      <c r="U54" s="236"/>
      <c r="V54" s="1311"/>
      <c r="W54" s="1414"/>
      <c r="X54" s="1311"/>
      <c r="Y54" s="1414"/>
      <c r="Z54" s="1311"/>
      <c r="AA54" s="1311"/>
      <c r="AB54" s="1311"/>
      <c r="AC54" s="1311"/>
      <c r="AD54" s="4338"/>
      <c r="AE54" s="4465"/>
      <c r="AF54" s="4369"/>
      <c r="AG54" s="4488"/>
      <c r="AH54" s="4284"/>
      <c r="AI54" s="4465"/>
      <c r="AJ54" s="4369"/>
      <c r="AK54" s="4479"/>
      <c r="AL54" s="4284"/>
      <c r="AM54" s="252"/>
      <c r="AN54" s="1418"/>
      <c r="AO54" s="1418" t="s">
        <v>543</v>
      </c>
      <c r="AP54" s="351"/>
      <c r="AQ54" s="351"/>
      <c r="AR54" s="351"/>
      <c r="AS54" s="1311"/>
      <c r="AT54" s="1311"/>
      <c r="AU54" s="1414"/>
      <c r="AV54" s="1311"/>
      <c r="AW54" s="1414"/>
      <c r="AX54" s="1311"/>
      <c r="AY54" s="1311"/>
      <c r="AZ54" s="1311"/>
      <c r="BA54" s="1311"/>
      <c r="BB54" s="1315"/>
      <c r="BC54" s="4436"/>
      <c r="BE54" s="435"/>
      <c r="BF54" s="435"/>
      <c r="BG54" s="435"/>
      <c r="BH54" s="435"/>
      <c r="BI54" s="1073">
        <v>11</v>
      </c>
    </row>
    <row r="55" spans="1:61" ht="11.45" customHeight="1">
      <c r="A55" s="1281" t="s">
        <v>297</v>
      </c>
      <c r="B55" s="1281"/>
      <c r="C55" s="1281"/>
      <c r="D55" s="1281"/>
      <c r="E55" s="4413"/>
      <c r="F55" s="4413"/>
      <c r="G55" s="4413"/>
      <c r="H55" s="4413"/>
      <c r="I55" s="4415"/>
      <c r="J55" s="4415"/>
      <c r="K55" s="4414"/>
      <c r="L55" s="1282"/>
      <c r="P55" s="4416"/>
      <c r="Q55" s="4416"/>
      <c r="R55" s="292"/>
      <c r="S55" s="4470"/>
      <c r="T55" s="4490"/>
      <c r="U55" s="236"/>
      <c r="V55" s="1311"/>
      <c r="W55" s="1414"/>
      <c r="X55" s="1311"/>
      <c r="Y55" s="1414"/>
      <c r="Z55" s="1311"/>
      <c r="AA55" s="1311"/>
      <c r="AB55" s="1311"/>
      <c r="AC55" s="1311"/>
      <c r="AD55" s="4338"/>
      <c r="AE55" s="4465"/>
      <c r="AF55" s="4369"/>
      <c r="AG55" s="4488"/>
      <c r="AH55" s="4284"/>
      <c r="AI55" s="230"/>
      <c r="AJ55" s="350"/>
      <c r="AK55" s="249" t="s">
        <v>544</v>
      </c>
      <c r="AL55" s="1311"/>
      <c r="AM55" s="1311"/>
      <c r="AN55" s="1311"/>
      <c r="AO55" s="1311"/>
      <c r="AP55" s="1311"/>
      <c r="AQ55" s="1311"/>
      <c r="AR55" s="1311"/>
      <c r="AS55" s="1311"/>
      <c r="AT55" s="1311"/>
      <c r="AU55" s="1414"/>
      <c r="AV55" s="1311"/>
      <c r="AW55" s="1414"/>
      <c r="AX55" s="1311"/>
      <c r="AY55" s="1311"/>
      <c r="AZ55" s="1311"/>
      <c r="BA55" s="1311"/>
      <c r="BB55" s="1315"/>
      <c r="BC55" s="4436"/>
      <c r="BE55" s="435"/>
      <c r="BF55" s="435"/>
      <c r="BG55" s="435"/>
      <c r="BH55" s="435"/>
      <c r="BI55" s="1073">
        <v>11</v>
      </c>
    </row>
    <row r="56" spans="1:61" ht="11.45" customHeight="1">
      <c r="A56" s="1281" t="s">
        <v>297</v>
      </c>
      <c r="B56" s="1281" t="s">
        <v>298</v>
      </c>
      <c r="C56" s="1281" t="s">
        <v>299</v>
      </c>
      <c r="D56" s="1281" t="s">
        <v>550</v>
      </c>
      <c r="E56" s="4413"/>
      <c r="F56" s="4413"/>
      <c r="G56" s="4413"/>
      <c r="H56" s="4413"/>
      <c r="I56" s="4415"/>
      <c r="J56" s="4415"/>
      <c r="K56" s="4414"/>
      <c r="L56" s="1282"/>
      <c r="P56" s="4416"/>
      <c r="Q56" s="4416"/>
      <c r="R56" s="292"/>
      <c r="S56" s="4471"/>
      <c r="T56" s="4491"/>
      <c r="U56" s="236"/>
      <c r="V56" s="1311"/>
      <c r="W56" s="1312" t="str">
        <f>Z52&amp;"-"&amp;AB52</f>
        <v>-</v>
      </c>
      <c r="X56" s="1311"/>
      <c r="Y56" s="1312" t="str">
        <f>AB52&amp;"-"&amp;AD52</f>
        <v>-да</v>
      </c>
      <c r="Z56" s="1311"/>
      <c r="AA56" s="1311"/>
      <c r="AB56" s="1311"/>
      <c r="AC56" s="1311"/>
      <c r="AD56" s="4289"/>
      <c r="AE56" s="248"/>
      <c r="AF56" s="250"/>
      <c r="AG56" s="351" t="s">
        <v>526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436"/>
      <c r="BE56" s="435"/>
      <c r="BF56" s="435" t="str">
        <f t="shared" ref="BF56:BF63" si="4">IF(T56="","",T56)</f>
        <v/>
      </c>
      <c r="BG56" s="435"/>
      <c r="BH56" s="435"/>
      <c r="BI56" s="1073">
        <v>11</v>
      </c>
    </row>
    <row r="57" spans="1:61" ht="11.45" customHeight="1">
      <c r="A57" s="1281" t="s">
        <v>297</v>
      </c>
      <c r="B57" s="1281" t="s">
        <v>298</v>
      </c>
      <c r="C57" s="1281" t="s">
        <v>299</v>
      </c>
      <c r="D57" s="1281" t="s">
        <v>550</v>
      </c>
      <c r="E57" s="4413"/>
      <c r="F57" s="4413"/>
      <c r="G57" s="4413"/>
      <c r="H57" s="4413"/>
      <c r="I57" s="4415"/>
      <c r="J57" s="4414"/>
      <c r="K57" s="1281"/>
      <c r="L57" s="1282"/>
      <c r="P57" s="4416"/>
      <c r="Q57" s="4416"/>
      <c r="R57" s="291"/>
      <c r="S57" s="1196"/>
      <c r="T57" s="223" t="s">
        <v>489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437"/>
      <c r="BE57" s="435"/>
      <c r="BF57" s="435" t="str">
        <f t="shared" si="4"/>
        <v>Добавить строку</v>
      </c>
      <c r="BG57" s="435"/>
      <c r="BH57" s="435"/>
      <c r="BI57" s="1073">
        <v>11</v>
      </c>
    </row>
    <row r="58" spans="1:61" s="4140" customFormat="1" ht="0" hidden="1" customHeight="1">
      <c r="A58" s="1261" t="s">
        <v>297</v>
      </c>
      <c r="B58" s="1261" t="s">
        <v>298</v>
      </c>
      <c r="C58" s="1261" t="s">
        <v>299</v>
      </c>
      <c r="D58" s="1261" t="s">
        <v>550</v>
      </c>
      <c r="E58" s="4413"/>
      <c r="F58" s="4413"/>
      <c r="G58" s="4413"/>
      <c r="H58" s="4413"/>
      <c r="I58" s="4414"/>
      <c r="J58" s="1261"/>
      <c r="K58" s="1261"/>
      <c r="L58" s="1264"/>
      <c r="M58" s="445"/>
      <c r="N58" s="445"/>
      <c r="O58" s="445"/>
      <c r="P58" s="441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40" customFormat="1" ht="0" hidden="1" customHeight="1">
      <c r="A59" s="1261" t="s">
        <v>297</v>
      </c>
      <c r="B59" s="1261" t="s">
        <v>298</v>
      </c>
      <c r="C59" s="1261" t="s">
        <v>299</v>
      </c>
      <c r="D59" s="1261" t="s">
        <v>550</v>
      </c>
      <c r="E59" s="4413"/>
      <c r="F59" s="4413"/>
      <c r="G59" s="4413"/>
      <c r="H59" s="441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40" customFormat="1" ht="0" hidden="1" customHeight="1">
      <c r="A60" s="1261" t="s">
        <v>297</v>
      </c>
      <c r="B60" s="1261" t="s">
        <v>298</v>
      </c>
      <c r="C60" s="1261" t="s">
        <v>299</v>
      </c>
      <c r="D60" s="1232"/>
      <c r="E60" s="4413"/>
      <c r="F60" s="4413"/>
      <c r="G60" s="441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40" customFormat="1" ht="0" hidden="1" customHeight="1">
      <c r="A61" s="1261" t="s">
        <v>297</v>
      </c>
      <c r="B61" s="1261" t="s">
        <v>298</v>
      </c>
      <c r="C61" s="1232"/>
      <c r="D61" s="1232"/>
      <c r="E61" s="4413"/>
      <c r="F61" s="4412"/>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40" customFormat="1" ht="0" hidden="1" customHeight="1">
      <c r="A62" s="1261" t="s">
        <v>297</v>
      </c>
      <c r="B62" s="1261"/>
      <c r="C62" s="1261"/>
      <c r="D62" s="1261"/>
      <c r="E62" s="4412"/>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4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4411"/>
      <c r="U65" s="4411"/>
      <c r="V65" s="4411"/>
      <c r="W65" s="4411"/>
      <c r="X65" s="4411"/>
      <c r="Y65" s="4411"/>
      <c r="Z65" s="4411"/>
      <c r="AA65" s="4411"/>
      <c r="AB65" s="4411"/>
      <c r="AC65" s="4411"/>
      <c r="AD65" s="4411"/>
      <c r="AE65" s="4411"/>
      <c r="AF65" s="4411"/>
      <c r="AG65" s="4411"/>
      <c r="AH65" s="4411"/>
      <c r="AI65" s="4411"/>
      <c r="AJ65" s="4411"/>
      <c r="AK65" s="4411"/>
      <c r="AL65" s="4411"/>
      <c r="AM65" s="4411"/>
      <c r="AN65" s="4411"/>
      <c r="AO65" s="4411"/>
      <c r="AP65" s="4411"/>
      <c r="AQ65" s="4411"/>
      <c r="AR65" s="4411"/>
      <c r="AS65" s="4411"/>
      <c r="AT65" s="4411"/>
      <c r="AU65" s="4411"/>
      <c r="AV65" s="4411"/>
      <c r="AW65" s="4411"/>
      <c r="AX65" s="4411"/>
      <c r="AY65" s="4411"/>
      <c r="AZ65" s="4411"/>
      <c r="BA65" s="4411"/>
      <c r="BB65" s="4411"/>
      <c r="BC65" s="4411"/>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4411"/>
      <c r="U67" s="4411"/>
      <c r="V67" s="4411"/>
      <c r="W67" s="4411"/>
      <c r="X67" s="4411"/>
      <c r="Y67" s="4411"/>
      <c r="Z67" s="4411"/>
      <c r="AA67" s="4411"/>
      <c r="AB67" s="4411"/>
      <c r="AC67" s="4411"/>
      <c r="AD67" s="4411"/>
      <c r="AE67" s="4411"/>
      <c r="AF67" s="4411"/>
      <c r="AG67" s="4411"/>
      <c r="AH67" s="4411"/>
      <c r="AI67" s="4411"/>
      <c r="AJ67" s="4411"/>
      <c r="AK67" s="4411"/>
      <c r="AL67" s="4411"/>
      <c r="AM67" s="4411"/>
      <c r="AN67" s="4411"/>
      <c r="AO67" s="4411"/>
      <c r="AP67" s="4411"/>
      <c r="AQ67" s="4411"/>
      <c r="AR67" s="4411"/>
      <c r="AS67" s="4411"/>
      <c r="AT67" s="4411"/>
      <c r="AU67" s="4411"/>
      <c r="AV67" s="4411"/>
      <c r="AW67" s="4411"/>
      <c r="AX67" s="4411"/>
      <c r="AY67" s="4411"/>
      <c r="AZ67" s="4411"/>
      <c r="BA67" s="4411"/>
      <c r="BB67" s="4411"/>
      <c r="BC67" s="4411"/>
      <c r="BI67" s="1073">
        <v>14</v>
      </c>
    </row>
    <row r="68" spans="1:61" ht="14.65" customHeight="1">
      <c r="O68" s="472"/>
      <c r="BI68" s="1073">
        <v>14</v>
      </c>
    </row>
    <row r="69" spans="1:61" ht="14.25" hidden="1" customHeight="1">
      <c r="A69" s="1078" t="s">
        <v>86</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4133" hidden="1" customWidth="1"/>
    <col min="2" max="2" width="6" style="4139" hidden="1" customWidth="1"/>
    <col min="3" max="3" width="3" style="4133" customWidth="1"/>
    <col min="4" max="4" width="3" style="4145" customWidth="1"/>
    <col min="5" max="5" width="6" style="4133" customWidth="1"/>
    <col min="6" max="6" width="2.7109375" style="4133" hidden="1" customWidth="1"/>
    <col min="7" max="7" width="46.7109375" style="4133" customWidth="1"/>
    <col min="8" max="8" width="42" style="4133" customWidth="1"/>
    <col min="9" max="9" width="14" style="4133" customWidth="1"/>
    <col min="10" max="10" width="3" style="4146" customWidth="1"/>
    <col min="11" max="13" width="9.140625" style="4146" hidden="1"/>
    <col min="14" max="14" width="25.7109375" style="4146" hidden="1" customWidth="1"/>
    <col min="15" max="15" width="14.42578125" style="4146" hidden="1" customWidth="1"/>
    <col min="16" max="19" width="9.140625" style="4147" hidden="1"/>
    <col min="20" max="27" width="9.140625" style="4133" hidden="1"/>
    <col min="28" max="28" width="8" style="4133" customWidth="1"/>
    <col min="29" max="29" width="9.140625" style="4133" hidden="1"/>
  </cols>
  <sheetData>
    <row r="1" spans="1:29" s="4140" customFormat="1" ht="5.25" hidden="1" customHeight="1">
      <c r="A1" s="431"/>
      <c r="B1" s="446"/>
      <c r="C1" s="446"/>
      <c r="D1" s="157"/>
      <c r="F1" s="446"/>
      <c r="G1" s="183" t="s">
        <v>87</v>
      </c>
      <c r="H1" s="429" t="s">
        <v>88</v>
      </c>
      <c r="I1" s="163" t="s">
        <v>89</v>
      </c>
      <c r="J1" s="183" t="s">
        <v>87</v>
      </c>
      <c r="K1" s="183"/>
      <c r="L1" s="183"/>
      <c r="M1" s="183"/>
      <c r="N1" s="184"/>
      <c r="O1" s="183"/>
      <c r="P1" s="183"/>
      <c r="Q1" s="183"/>
      <c r="R1" s="183"/>
      <c r="S1" s="183"/>
      <c r="T1" s="163"/>
      <c r="U1" s="163"/>
      <c r="V1" s="163"/>
      <c r="W1" s="163"/>
      <c r="X1" s="163"/>
      <c r="Y1" s="163"/>
      <c r="Z1" s="163"/>
      <c r="AA1" s="163"/>
      <c r="AB1" s="163"/>
      <c r="AC1" s="90" t="s">
        <v>14</v>
      </c>
    </row>
    <row r="2" spans="1:29" s="4141"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4142" customFormat="1" ht="3" customHeight="1">
      <c r="A3" s="691"/>
      <c r="B3" s="352"/>
      <c r="C3" s="691"/>
      <c r="D3" s="101"/>
      <c r="E3" s="43"/>
      <c r="F3" s="444"/>
      <c r="G3" s="43"/>
      <c r="H3" s="43"/>
      <c r="I3" s="103"/>
      <c r="J3" s="183"/>
      <c r="K3" s="93"/>
      <c r="L3" s="93"/>
      <c r="M3" s="93"/>
      <c r="N3" s="162"/>
      <c r="O3" s="93"/>
      <c r="P3" s="161"/>
      <c r="Q3" s="161"/>
      <c r="R3" s="161"/>
      <c r="S3" s="161"/>
      <c r="AC3" s="56">
        <v>3</v>
      </c>
    </row>
    <row r="4" spans="1:29" s="4142" customFormat="1" ht="27.4" customHeight="1">
      <c r="A4" s="691"/>
      <c r="B4" s="352"/>
      <c r="C4" s="691"/>
      <c r="D4" s="101"/>
      <c r="E4" s="4260" t="str">
        <f>NameTemplatesInListMO</f>
        <v>Перечень муниципальных районов и муниципальных образований (территорий действия тарифа)</v>
      </c>
      <c r="F4" s="4260"/>
      <c r="G4" s="4260"/>
      <c r="H4" s="4260"/>
      <c r="I4" s="4260"/>
      <c r="J4" s="183"/>
      <c r="K4" s="93"/>
      <c r="L4" s="93"/>
      <c r="M4" s="93"/>
      <c r="N4" s="162"/>
      <c r="O4" s="93"/>
      <c r="P4" s="161"/>
      <c r="Q4" s="161"/>
      <c r="R4" s="161"/>
      <c r="S4" s="161"/>
      <c r="AC4" s="56">
        <v>26</v>
      </c>
    </row>
    <row r="5" spans="1:29" s="4142" customFormat="1" ht="3" customHeight="1">
      <c r="A5" s="691"/>
      <c r="B5" s="352"/>
      <c r="C5" s="691"/>
      <c r="D5" s="101"/>
      <c r="E5" s="43"/>
      <c r="F5" s="444"/>
      <c r="G5" s="104"/>
      <c r="H5" s="104"/>
      <c r="I5" s="105"/>
      <c r="J5" s="93"/>
      <c r="K5" s="93"/>
      <c r="L5" s="93"/>
      <c r="M5" s="93"/>
      <c r="N5" s="162"/>
      <c r="O5" s="93"/>
      <c r="P5" s="161"/>
      <c r="Q5" s="161"/>
      <c r="R5" s="161"/>
      <c r="S5" s="161"/>
      <c r="AC5" s="56">
        <v>3</v>
      </c>
    </row>
    <row r="6" spans="1:29" s="4142" customFormat="1" ht="20.25" hidden="1" customHeight="1">
      <c r="A6" s="766"/>
      <c r="B6" s="762"/>
      <c r="C6" s="106"/>
      <c r="D6" s="101"/>
      <c r="E6" s="709"/>
      <c r="F6" s="709"/>
      <c r="G6" s="104"/>
      <c r="H6" s="107"/>
      <c r="I6" s="107"/>
      <c r="J6" s="93"/>
      <c r="K6" s="93"/>
      <c r="L6" s="93"/>
      <c r="M6" s="93"/>
      <c r="N6" s="162"/>
      <c r="O6" s="93"/>
      <c r="P6" s="161"/>
      <c r="Q6" s="161"/>
      <c r="R6" s="161"/>
      <c r="S6" s="161"/>
      <c r="AC6" s="56">
        <v>0</v>
      </c>
    </row>
    <row r="7" spans="1:29" ht="25.5" hidden="1" customHeight="1">
      <c r="AC7" s="23">
        <v>0</v>
      </c>
    </row>
    <row r="8" spans="1:29" s="4142" customFormat="1" ht="14.65" customHeight="1">
      <c r="A8" s="691"/>
      <c r="B8" s="352"/>
      <c r="C8" s="691"/>
      <c r="D8" s="101"/>
      <c r="E8" s="4256" t="s">
        <v>90</v>
      </c>
      <c r="F8" s="4261"/>
      <c r="G8" s="4255"/>
      <c r="H8" s="4262" t="s">
        <v>91</v>
      </c>
      <c r="I8" s="4262"/>
      <c r="J8" s="93"/>
      <c r="K8" s="93"/>
      <c r="L8" s="93"/>
      <c r="M8" s="93"/>
      <c r="N8" s="162"/>
      <c r="O8" s="93"/>
      <c r="P8" s="161"/>
      <c r="Q8" s="161"/>
      <c r="R8" s="161"/>
      <c r="S8" s="161"/>
      <c r="AC8" s="56">
        <v>14</v>
      </c>
    </row>
    <row r="9" spans="1:29" s="4142" customFormat="1" ht="21" customHeight="1">
      <c r="A9" s="691"/>
      <c r="B9" s="352"/>
      <c r="C9" s="691"/>
      <c r="D9" s="101"/>
      <c r="E9" s="707" t="s">
        <v>92</v>
      </c>
      <c r="F9" s="707"/>
      <c r="G9" s="109" t="s">
        <v>93</v>
      </c>
      <c r="H9" s="109" t="s">
        <v>93</v>
      </c>
      <c r="I9" s="109" t="s">
        <v>89</v>
      </c>
      <c r="J9" s="93"/>
      <c r="K9" s="93"/>
      <c r="L9" s="93"/>
      <c r="M9" s="93"/>
      <c r="N9" s="162"/>
      <c r="O9" s="93"/>
      <c r="P9" s="161"/>
      <c r="Q9" s="161"/>
      <c r="R9" s="161"/>
      <c r="S9" s="161"/>
      <c r="AC9" s="56">
        <v>20</v>
      </c>
    </row>
    <row r="10" spans="1:29" ht="11.45" customHeight="1">
      <c r="D10" s="113"/>
      <c r="E10" s="708" t="s">
        <v>94</v>
      </c>
      <c r="F10" s="708"/>
      <c r="G10" s="159" t="s">
        <v>95</v>
      </c>
      <c r="H10" s="159" t="s">
        <v>96</v>
      </c>
      <c r="I10" s="159" t="s">
        <v>97</v>
      </c>
      <c r="J10" s="123"/>
      <c r="K10" s="123"/>
      <c r="L10" s="123"/>
      <c r="M10" s="123"/>
      <c r="N10" s="108"/>
      <c r="O10" s="123"/>
      <c r="P10" s="160"/>
      <c r="Q10" s="160"/>
      <c r="R10" s="160"/>
      <c r="S10" s="160"/>
      <c r="AC10" s="23">
        <v>11</v>
      </c>
    </row>
    <row r="11" spans="1:29" s="4142" customFormat="1" ht="1.1499999999999999" customHeight="1">
      <c r="A11" s="691"/>
      <c r="B11" s="352"/>
      <c r="C11" s="691"/>
      <c r="D11" s="101"/>
      <c r="E11" s="719"/>
      <c r="F11" s="719"/>
      <c r="G11" s="110"/>
      <c r="H11" s="110"/>
      <c r="I11" s="112"/>
      <c r="J11" s="185" t="s">
        <v>98</v>
      </c>
      <c r="K11" s="93"/>
      <c r="L11" s="93"/>
      <c r="M11" s="93" t="s">
        <v>99</v>
      </c>
      <c r="N11" s="162" t="s">
        <v>100</v>
      </c>
      <c r="O11" s="93" t="s">
        <v>101</v>
      </c>
      <c r="P11" s="161"/>
      <c r="Q11" s="161"/>
      <c r="R11" s="161"/>
      <c r="S11" s="161"/>
      <c r="AC11" s="56">
        <v>1</v>
      </c>
    </row>
    <row r="12" spans="1:29" s="4142" customFormat="1" ht="15" customHeight="1">
      <c r="A12" s="4259">
        <v>1</v>
      </c>
      <c r="B12" s="352"/>
      <c r="C12" s="691"/>
      <c r="D12" s="711"/>
      <c r="E12" s="155">
        <f>A12</f>
        <v>1</v>
      </c>
      <c r="F12" s="731" t="s">
        <v>102</v>
      </c>
      <c r="G12" s="475" t="str">
        <f>"Территория "&amp;E12</f>
        <v>Территория 1</v>
      </c>
      <c r="H12" s="721"/>
      <c r="I12" s="721"/>
      <c r="J12" s="718"/>
      <c r="K12" s="435"/>
      <c r="L12" s="435"/>
      <c r="M12" s="435"/>
      <c r="N12" s="162"/>
      <c r="O12" s="435"/>
      <c r="P12" s="161"/>
      <c r="Q12" s="161"/>
      <c r="R12" s="161"/>
      <c r="S12" s="161"/>
      <c r="AC12" s="442">
        <v>14</v>
      </c>
    </row>
    <row r="13" spans="1:29" s="4143" customFormat="1" ht="15.75" customHeight="1">
      <c r="A13" s="4259"/>
      <c r="B13" s="352">
        <v>1</v>
      </c>
      <c r="C13" s="352"/>
      <c r="D13" s="729"/>
      <c r="E13" s="710" t="str">
        <f>A12&amp;"."&amp;B13</f>
        <v>1.1</v>
      </c>
      <c r="F13" s="724" t="s">
        <v>103</v>
      </c>
      <c r="G13" s="722" t="s">
        <v>104</v>
      </c>
      <c r="H13" s="722" t="s">
        <v>104</v>
      </c>
      <c r="I13" s="720" t="s">
        <v>105</v>
      </c>
      <c r="J13" s="435" t="e">
        <f ca="1">MERGEVALUE(G13)</f>
        <v>#NAME?</v>
      </c>
      <c r="K13" s="446"/>
      <c r="L13" s="446"/>
      <c r="M13" s="435" t="str">
        <f t="array" ref="M13">IF(ISERROR(MATCH(MID(N13,1,250),MID(note_ter,1,250),0)),"n","y")</f>
        <v>n</v>
      </c>
      <c r="N13" s="446"/>
      <c r="O13" s="435" t="str">
        <f>H13&amp;"("&amp;I13&amp;")"</f>
        <v>ЗАТО поселок Видяево(47735000)</v>
      </c>
      <c r="P13" s="352"/>
      <c r="Q13" s="352"/>
      <c r="R13" s="355"/>
      <c r="S13" s="352"/>
      <c r="T13" s="352"/>
      <c r="U13" s="352"/>
      <c r="V13" s="357"/>
      <c r="W13" s="357"/>
      <c r="X13" s="354"/>
      <c r="Y13" s="354"/>
      <c r="Z13" s="354"/>
      <c r="AA13" s="354"/>
      <c r="AB13" s="354"/>
      <c r="AC13" s="358">
        <v>15</v>
      </c>
    </row>
    <row r="14" spans="1:29" s="4143" customFormat="1" ht="15.75" customHeight="1">
      <c r="A14" s="4259"/>
      <c r="B14" s="352"/>
      <c r="C14" s="347"/>
      <c r="D14" s="730"/>
      <c r="E14" s="356"/>
      <c r="F14" s="114"/>
      <c r="G14" s="350" t="s">
        <v>106</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4142" customFormat="1" ht="14.65" customHeight="1">
      <c r="A15" s="691"/>
      <c r="B15" s="352"/>
      <c r="C15" s="691"/>
      <c r="D15" s="711"/>
      <c r="E15" s="723"/>
      <c r="F15" s="115"/>
      <c r="G15" s="351" t="s">
        <v>107</v>
      </c>
      <c r="H15" s="115"/>
      <c r="I15" s="116"/>
      <c r="J15" s="185"/>
      <c r="K15" s="93"/>
      <c r="L15" s="93"/>
      <c r="M15" s="93"/>
      <c r="N15" s="162" t="s">
        <v>108</v>
      </c>
      <c r="O15" s="93"/>
      <c r="P15" s="161"/>
      <c r="Q15" s="161"/>
      <c r="R15" s="161"/>
      <c r="S15" s="161"/>
      <c r="AC15" s="56">
        <v>14</v>
      </c>
    </row>
    <row r="16" spans="1:29" s="4142" customFormat="1" ht="21.95" customHeight="1">
      <c r="A16" s="691"/>
      <c r="B16" s="352"/>
      <c r="C16" s="691"/>
      <c r="D16" s="102"/>
      <c r="E16" s="117"/>
      <c r="F16" s="117"/>
      <c r="G16" s="117"/>
      <c r="H16" s="117"/>
      <c r="I16" s="117"/>
      <c r="J16" s="93"/>
      <c r="K16" s="93"/>
      <c r="L16" s="93"/>
      <c r="M16" s="93"/>
      <c r="N16" s="162"/>
      <c r="O16" s="93"/>
      <c r="P16" s="161"/>
      <c r="Q16" s="161"/>
      <c r="R16" s="161"/>
      <c r="S16" s="161"/>
      <c r="AC16" s="56">
        <v>21</v>
      </c>
    </row>
    <row r="17" spans="1:29" s="4142" customFormat="1" ht="14.65" customHeight="1">
      <c r="A17" s="691"/>
      <c r="B17" s="352"/>
      <c r="C17" s="691"/>
      <c r="D17" s="102"/>
      <c r="E17" s="23"/>
      <c r="F17" s="691"/>
      <c r="G17" s="23"/>
      <c r="H17" s="23"/>
      <c r="I17" s="23"/>
      <c r="J17" s="93"/>
      <c r="K17" s="93"/>
      <c r="L17" s="93"/>
      <c r="M17" s="93"/>
      <c r="N17" s="162"/>
      <c r="O17" s="93"/>
      <c r="P17" s="161"/>
      <c r="Q17" s="161"/>
      <c r="R17" s="161"/>
      <c r="S17" s="161"/>
      <c r="AC17" s="56">
        <v>14</v>
      </c>
    </row>
    <row r="18" spans="1:29" s="4142" customFormat="1" ht="1.1499999999999999" customHeight="1">
      <c r="A18" s="691"/>
      <c r="B18" s="352"/>
      <c r="C18" s="691"/>
      <c r="D18" s="102"/>
      <c r="E18" s="23"/>
      <c r="F18" s="691"/>
      <c r="G18" s="23"/>
      <c r="H18" s="23"/>
      <c r="I18" s="23"/>
      <c r="J18" s="93"/>
      <c r="K18" s="93"/>
      <c r="L18" s="93"/>
      <c r="M18" s="93"/>
      <c r="N18" s="162"/>
      <c r="O18" s="93"/>
      <c r="P18" s="161"/>
      <c r="Q18" s="161"/>
      <c r="R18" s="161"/>
      <c r="S18" s="161"/>
      <c r="AC18" s="56">
        <v>1</v>
      </c>
    </row>
    <row r="19" spans="1:29" s="4144" customFormat="1" ht="10.5" customHeight="1">
      <c r="B19" s="763"/>
      <c r="D19" s="119"/>
      <c r="J19" s="93"/>
      <c r="K19" s="93"/>
      <c r="L19" s="93"/>
      <c r="M19" s="93"/>
      <c r="N19" s="162"/>
      <c r="O19" s="93"/>
      <c r="P19" s="161"/>
      <c r="Q19" s="161"/>
      <c r="R19" s="161"/>
      <c r="S19" s="161"/>
      <c r="AC19" s="118">
        <v>10</v>
      </c>
    </row>
    <row r="20" spans="1:29" s="4144" customFormat="1" ht="10.5" customHeight="1">
      <c r="B20" s="763"/>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1" t="s">
        <v>86</v>
      </c>
      <c r="B29" s="352">
        <v>0</v>
      </c>
      <c r="C29" s="691">
        <v>3</v>
      </c>
      <c r="D29" s="102">
        <v>3</v>
      </c>
      <c r="E29" s="23">
        <v>6</v>
      </c>
      <c r="F29" s="691">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8" width="19.7109375" style="4133" hidden="1" customWidth="1"/>
    <col min="29" max="29" width="11.7109375" style="4133" hidden="1" customWidth="1"/>
    <col min="30" max="30" width="3.7109375" style="4133" hidden="1" customWidth="1"/>
    <col min="31" max="31" width="11.7109375" style="4133" hidden="1" customWidth="1"/>
    <col min="32" max="32" width="8.5703125" style="4133" hidden="1" customWidth="1"/>
    <col min="33" max="33" width="19.7109375" style="4133" customWidth="1"/>
    <col min="34" max="39" width="19" style="4133" customWidth="1"/>
    <col min="40" max="40" width="11" style="4133" customWidth="1"/>
    <col min="41" max="41" width="3.7109375" style="4133" customWidth="1"/>
    <col min="42" max="42" width="11" style="4133" customWidth="1"/>
    <col min="43" max="43" width="8.5703125" style="4133" hidden="1" customWidth="1"/>
    <col min="44" max="44" width="4" style="4133" customWidth="1"/>
    <col min="45" max="45" width="115" style="4133" customWidth="1"/>
    <col min="46" max="50" width="10" style="4140" customWidth="1"/>
    <col min="51" max="51" width="10.5703125" style="4133" hidden="1"/>
  </cols>
  <sheetData>
    <row r="1" spans="1:51" ht="22.5" hidden="1" customHeight="1">
      <c r="AC1" s="263"/>
      <c r="AN1" s="263"/>
      <c r="AY1" s="1073" t="s">
        <v>14</v>
      </c>
    </row>
    <row r="2" spans="1:51" ht="23.25" hidden="1" customHeight="1">
      <c r="A2" s="1281"/>
      <c r="B2" s="1281"/>
      <c r="C2" s="1281"/>
      <c r="D2" s="1281"/>
      <c r="E2" s="4412">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4406"/>
      <c r="W2" s="4407"/>
      <c r="X2" s="4407"/>
      <c r="Y2" s="4407"/>
      <c r="Z2" s="4407"/>
      <c r="AA2" s="4407"/>
      <c r="AB2" s="4407"/>
      <c r="AC2" s="4407"/>
      <c r="AD2" s="4407"/>
      <c r="AE2" s="4407"/>
      <c r="AF2" s="4408"/>
      <c r="AG2" s="4406" t="e">
        <f>INDEX(PT_DIFFERENTIATION_NTAR,MATCH(A2,PT_DIFFERENTIATION_NTAR_ID,0))</f>
        <v>#N/A</v>
      </c>
      <c r="AH2" s="4407"/>
      <c r="AI2" s="4407"/>
      <c r="AJ2" s="4407"/>
      <c r="AK2" s="4407"/>
      <c r="AL2" s="4407"/>
      <c r="AM2" s="4407"/>
      <c r="AN2" s="4407"/>
      <c r="AO2" s="4407"/>
      <c r="AP2" s="4407"/>
      <c r="AQ2" s="4407"/>
      <c r="AR2" s="440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4413"/>
      <c r="F3" s="4412">
        <v>1</v>
      </c>
      <c r="G3" s="1281"/>
      <c r="H3" s="1281"/>
      <c r="I3" s="1281"/>
      <c r="J3" s="1281"/>
      <c r="K3" s="1281"/>
      <c r="L3" s="1282"/>
      <c r="M3" s="1283"/>
      <c r="N3" s="1283"/>
      <c r="O3" s="1283"/>
      <c r="P3" s="1405"/>
      <c r="Q3" s="287"/>
      <c r="R3" s="288"/>
      <c r="S3" s="1411" t="e">
        <f>INDEX(PT_DIFFERENTIATION_NUM_TER,MATCH(B3,PT_DIFFERENTIATION_TER_ID,0))</f>
        <v>#N/A</v>
      </c>
      <c r="T3" s="244" t="s">
        <v>418</v>
      </c>
      <c r="U3" s="236"/>
      <c r="V3" s="4406"/>
      <c r="W3" s="4407"/>
      <c r="X3" s="4407"/>
      <c r="Y3" s="4407"/>
      <c r="Z3" s="4407"/>
      <c r="AA3" s="4407"/>
      <c r="AB3" s="4407"/>
      <c r="AC3" s="4407"/>
      <c r="AD3" s="4407"/>
      <c r="AE3" s="4407"/>
      <c r="AF3" s="4408"/>
      <c r="AG3" s="4406" t="e">
        <f>INDEX(PT_DIFFERENTIATION_TER,MATCH(B3,PT_DIFFERENTIATION_TER_ID,0))</f>
        <v>#N/A</v>
      </c>
      <c r="AH3" s="4407"/>
      <c r="AI3" s="4407"/>
      <c r="AJ3" s="4407"/>
      <c r="AK3" s="4407"/>
      <c r="AL3" s="4407"/>
      <c r="AM3" s="4407"/>
      <c r="AN3" s="4407"/>
      <c r="AO3" s="4407"/>
      <c r="AP3" s="4407"/>
      <c r="AQ3" s="4407"/>
      <c r="AR3" s="4408"/>
      <c r="AS3" s="1176" t="s">
        <v>419</v>
      </c>
      <c r="AU3" s="435"/>
      <c r="AV3" s="435" t="str">
        <f t="shared" si="0"/>
        <v>Территория действия тарифа</v>
      </c>
      <c r="AW3" s="435"/>
      <c r="AX3" s="435"/>
      <c r="AY3" s="1073">
        <v>0</v>
      </c>
    </row>
    <row r="4" spans="1:51" ht="23.25" hidden="1" customHeight="1">
      <c r="A4" s="1281"/>
      <c r="B4" s="1281"/>
      <c r="C4" s="1281"/>
      <c r="D4" s="1281"/>
      <c r="E4" s="4413"/>
      <c r="F4" s="4413"/>
      <c r="G4" s="4412">
        <v>1</v>
      </c>
      <c r="H4" s="1281"/>
      <c r="I4" s="1281"/>
      <c r="J4" s="1281"/>
      <c r="K4" s="1281"/>
      <c r="L4" s="1282"/>
      <c r="M4" s="1283"/>
      <c r="N4" s="1283"/>
      <c r="O4" s="1283"/>
      <c r="P4" s="289"/>
      <c r="Q4" s="287"/>
      <c r="R4" s="288"/>
      <c r="S4" s="1411" t="e">
        <f>INDEX(PT_DIFFERENTIATION_NUM_CS,MATCH(C4,PT_DIFFERENTIATION_CS_ID,0))</f>
        <v>#N/A</v>
      </c>
      <c r="T4" s="245" t="s">
        <v>551</v>
      </c>
      <c r="U4" s="236"/>
      <c r="V4" s="4406"/>
      <c r="W4" s="4407"/>
      <c r="X4" s="4407"/>
      <c r="Y4" s="4407"/>
      <c r="Z4" s="4407"/>
      <c r="AA4" s="4407"/>
      <c r="AB4" s="4407"/>
      <c r="AC4" s="4407"/>
      <c r="AD4" s="4407"/>
      <c r="AE4" s="4407"/>
      <c r="AF4" s="4408"/>
      <c r="AG4" s="4406" t="e">
        <f>INDEX(PT_DIFFERENTIATION_CS,MATCH(C4,PT_DIFFERENTIATION_CS_ID,0))</f>
        <v>#N/A</v>
      </c>
      <c r="AH4" s="4407"/>
      <c r="AI4" s="4407"/>
      <c r="AJ4" s="4407"/>
      <c r="AK4" s="4407"/>
      <c r="AL4" s="4407"/>
      <c r="AM4" s="4407"/>
      <c r="AN4" s="4407"/>
      <c r="AO4" s="4407"/>
      <c r="AP4" s="4407"/>
      <c r="AQ4" s="4407"/>
      <c r="AR4" s="4408"/>
      <c r="AS4" s="1176" t="s">
        <v>552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4413"/>
      <c r="F5" s="4413"/>
      <c r="G5" s="4413"/>
      <c r="H5" s="4413"/>
      <c r="I5" s="4414" t="e">
        <f>S4&amp;".1"</f>
        <v>#N/A</v>
      </c>
      <c r="J5" s="1281"/>
      <c r="K5" s="1281"/>
      <c r="L5" s="1282"/>
      <c r="P5" s="4416">
        <v>1</v>
      </c>
      <c r="Q5" s="1399"/>
      <c r="R5" s="291"/>
      <c r="S5" s="1411" t="e">
        <f>$I5</f>
        <v>#N/A</v>
      </c>
      <c r="T5" s="221" t="s">
        <v>504</v>
      </c>
      <c r="U5" s="236"/>
      <c r="V5" s="4480"/>
      <c r="W5" s="4481"/>
      <c r="X5" s="4481"/>
      <c r="Y5" s="4481"/>
      <c r="Z5" s="4481"/>
      <c r="AA5" s="4481"/>
      <c r="AB5" s="4481"/>
      <c r="AC5" s="4481"/>
      <c r="AD5" s="4481"/>
      <c r="AE5" s="4481"/>
      <c r="AF5" s="4482"/>
      <c r="AG5" s="4483"/>
      <c r="AH5" s="4484"/>
      <c r="AI5" s="4484"/>
      <c r="AJ5" s="4484"/>
      <c r="AK5" s="4484"/>
      <c r="AL5" s="4484"/>
      <c r="AM5" s="4484"/>
      <c r="AN5" s="4484"/>
      <c r="AO5" s="4484"/>
      <c r="AP5" s="4484"/>
      <c r="AQ5" s="4484"/>
      <c r="AR5" s="4485"/>
      <c r="AS5" s="1176" t="s">
        <v>505</v>
      </c>
      <c r="AU5" s="435"/>
      <c r="AV5" s="435" t="str">
        <f t="shared" si="0"/>
        <v>Наименование признака дифференциации</v>
      </c>
      <c r="AW5" s="435"/>
      <c r="AX5" s="435"/>
      <c r="AY5" s="1073">
        <v>0</v>
      </c>
    </row>
    <row r="6" spans="1:51" ht="23.25" hidden="1" customHeight="1">
      <c r="A6" s="1281"/>
      <c r="B6" s="1281"/>
      <c r="C6" s="1281"/>
      <c r="D6" s="1281"/>
      <c r="E6" s="4413"/>
      <c r="F6" s="4413"/>
      <c r="G6" s="4413"/>
      <c r="H6" s="4413"/>
      <c r="I6" s="4415"/>
      <c r="J6" s="4414" t="e">
        <f>I5&amp;".1"</f>
        <v>#N/A</v>
      </c>
      <c r="K6" s="1281"/>
      <c r="L6" s="1282" t="s">
        <v>427</v>
      </c>
      <c r="P6" s="4416"/>
      <c r="Q6" s="4416">
        <v>1</v>
      </c>
      <c r="R6" s="292"/>
      <c r="S6" s="1411" t="e">
        <f>$J6</f>
        <v>#N/A</v>
      </c>
      <c r="T6" s="222" t="s">
        <v>428</v>
      </c>
      <c r="U6" s="236"/>
      <c r="V6" s="4400"/>
      <c r="W6" s="4401"/>
      <c r="X6" s="4401"/>
      <c r="Y6" s="4401"/>
      <c r="Z6" s="4401"/>
      <c r="AA6" s="4401"/>
      <c r="AB6" s="4401"/>
      <c r="AC6" s="4401"/>
      <c r="AD6" s="4401"/>
      <c r="AE6" s="4401"/>
      <c r="AF6" s="4402"/>
      <c r="AG6" s="4400"/>
      <c r="AH6" s="4401"/>
      <c r="AI6" s="4401"/>
      <c r="AJ6" s="4401"/>
      <c r="AK6" s="4401"/>
      <c r="AL6" s="4401"/>
      <c r="AM6" s="4401"/>
      <c r="AN6" s="4401"/>
      <c r="AO6" s="4401"/>
      <c r="AP6" s="4401"/>
      <c r="AQ6" s="4401"/>
      <c r="AR6" s="4402"/>
      <c r="AS6" s="1225" t="s">
        <v>506</v>
      </c>
      <c r="AU6" s="435"/>
      <c r="AV6" s="435" t="str">
        <f t="shared" si="0"/>
        <v>Группа потребителей</v>
      </c>
      <c r="AW6" s="435"/>
      <c r="AX6" s="435"/>
      <c r="AY6" s="1073">
        <v>0</v>
      </c>
    </row>
    <row r="7" spans="1:51" ht="23.25" hidden="1" customHeight="1">
      <c r="A7" s="1281"/>
      <c r="B7" s="1281"/>
      <c r="C7" s="1281"/>
      <c r="D7" s="1281"/>
      <c r="E7" s="4413"/>
      <c r="F7" s="4413"/>
      <c r="G7" s="4413"/>
      <c r="H7" s="4413"/>
      <c r="I7" s="4415"/>
      <c r="J7" s="4415"/>
      <c r="K7" s="4414" t="e">
        <f>J6&amp;".1"</f>
        <v>#N/A</v>
      </c>
      <c r="L7" s="1282"/>
      <c r="P7" s="4416"/>
      <c r="Q7" s="4416"/>
      <c r="R7" s="292">
        <v>1</v>
      </c>
      <c r="S7" s="1411" t="e">
        <f>$K7</f>
        <v>#N/A</v>
      </c>
      <c r="T7" s="1355"/>
      <c r="U7" s="236"/>
      <c r="V7" s="686"/>
      <c r="W7" s="686"/>
      <c r="X7" s="686"/>
      <c r="Y7" s="686"/>
      <c r="Z7" s="686"/>
      <c r="AA7" s="686"/>
      <c r="AB7" s="686"/>
      <c r="AC7" s="4417"/>
      <c r="AD7" s="4284" t="s">
        <v>65</v>
      </c>
      <c r="AE7" s="4417"/>
      <c r="AF7" s="4284" t="s">
        <v>65</v>
      </c>
      <c r="AG7" s="686"/>
      <c r="AH7" s="686"/>
      <c r="AI7" s="686"/>
      <c r="AJ7" s="686"/>
      <c r="AK7" s="686"/>
      <c r="AL7" s="686"/>
      <c r="AM7" s="686"/>
      <c r="AN7" s="4417"/>
      <c r="AO7" s="4284" t="s">
        <v>65</v>
      </c>
      <c r="AP7" s="4419"/>
      <c r="AQ7" s="4284" t="s">
        <v>65</v>
      </c>
      <c r="AR7" s="1356"/>
      <c r="AS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4413"/>
      <c r="F8" s="4413"/>
      <c r="G8" s="4413"/>
      <c r="H8" s="4413"/>
      <c r="I8" s="4415"/>
      <c r="J8" s="4415"/>
      <c r="K8" s="4414"/>
      <c r="L8" s="1282"/>
      <c r="P8" s="4416"/>
      <c r="Q8" s="4416"/>
      <c r="R8" s="292"/>
      <c r="S8" s="1408"/>
      <c r="T8" s="236"/>
      <c r="U8" s="236"/>
      <c r="V8" s="261"/>
      <c r="W8" s="261"/>
      <c r="X8" s="261"/>
      <c r="Y8" s="261"/>
      <c r="Z8" s="261"/>
      <c r="AA8" s="261"/>
      <c r="AB8" s="261"/>
      <c r="AC8" s="4418"/>
      <c r="AD8" s="4284"/>
      <c r="AE8" s="4418"/>
      <c r="AF8" s="4284"/>
      <c r="AG8" s="261"/>
      <c r="AH8" s="261"/>
      <c r="AI8" s="261"/>
      <c r="AJ8" s="261"/>
      <c r="AK8" s="261"/>
      <c r="AL8" s="261"/>
      <c r="AM8" s="261"/>
      <c r="AN8" s="4418"/>
      <c r="AO8" s="4284"/>
      <c r="AP8" s="4420"/>
      <c r="AQ8" s="4284"/>
      <c r="AR8" s="1357"/>
      <c r="AS8" s="4486"/>
      <c r="AU8" s="435"/>
      <c r="AV8" s="435" t="str">
        <f t="shared" si="0"/>
        <v/>
      </c>
      <c r="AW8" s="435"/>
      <c r="AX8" s="435"/>
      <c r="AY8" s="1073">
        <v>0</v>
      </c>
    </row>
    <row r="9" spans="1:51" ht="21" hidden="1" customHeight="1">
      <c r="A9" s="1281"/>
      <c r="B9" s="1281"/>
      <c r="C9" s="1281"/>
      <c r="D9" s="1281"/>
      <c r="E9" s="4413"/>
      <c r="F9" s="4413"/>
      <c r="G9" s="4413"/>
      <c r="H9" s="4413"/>
      <c r="I9" s="4415"/>
      <c r="J9" s="4414"/>
      <c r="K9" s="1281"/>
      <c r="L9" s="1282"/>
      <c r="P9" s="4416"/>
      <c r="Q9" s="4416"/>
      <c r="R9" s="291"/>
      <c r="S9" s="1196"/>
      <c r="T9" s="223" t="s">
        <v>507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508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4413"/>
      <c r="F10" s="4413"/>
      <c r="G10" s="4413"/>
      <c r="H10" s="4413"/>
      <c r="I10" s="4414"/>
      <c r="J10" s="1281"/>
      <c r="K10" s="1281"/>
      <c r="L10" s="1282"/>
      <c r="P10" s="4416"/>
      <c r="Q10" s="1399"/>
      <c r="R10" s="291"/>
      <c r="S10" s="1196"/>
      <c r="T10" s="300" t="s">
        <v>433</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140" customFormat="1" ht="14.25" hidden="1" customHeight="1">
      <c r="A12" s="1261"/>
      <c r="B12" s="1261"/>
      <c r="C12" s="1232"/>
      <c r="D12" s="1232"/>
      <c r="E12" s="4413"/>
      <c r="F12" s="4412"/>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4410"/>
      <c r="AO15" s="4409" t="s">
        <v>65</v>
      </c>
      <c r="AP15" s="4410"/>
      <c r="AQ15" s="4409" t="s">
        <v>65</v>
      </c>
      <c r="AY15" s="1073">
        <v>0</v>
      </c>
    </row>
    <row r="16" spans="1:51" ht="14.25" hidden="1" customHeight="1">
      <c r="AG16" s="1278"/>
      <c r="AH16" s="1278"/>
      <c r="AI16" s="1278"/>
      <c r="AJ16" s="1278"/>
      <c r="AK16" s="1278"/>
      <c r="AL16" s="1278"/>
      <c r="AM16" s="1278"/>
      <c r="AN16" s="4409"/>
      <c r="AO16" s="4409"/>
      <c r="AP16" s="4409"/>
      <c r="AQ16" s="4409"/>
      <c r="AY16" s="1073">
        <v>0</v>
      </c>
    </row>
    <row r="17" spans="1:51" ht="14.25" hidden="1" customHeight="1">
      <c r="AQ17" s="263"/>
      <c r="AY17" s="1073">
        <v>0</v>
      </c>
    </row>
    <row r="18" spans="1:51" s="4139" customFormat="1" ht="22.5" hidden="1" customHeight="1">
      <c r="L18" s="1396"/>
      <c r="M18" s="1280"/>
      <c r="N18" s="1280"/>
      <c r="O18" s="1285" t="s">
        <v>435</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4139"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4139" customFormat="1" ht="12" hidden="1" customHeight="1">
      <c r="L20" s="1396"/>
      <c r="M20" s="1280"/>
      <c r="N20" s="1280"/>
      <c r="O20" s="1282" t="s">
        <v>436</v>
      </c>
      <c r="P20" s="1280"/>
      <c r="Q20" s="1360"/>
      <c r="R20" s="1360"/>
      <c r="S20" s="664"/>
      <c r="T20" s="1078" t="s">
        <v>437</v>
      </c>
      <c r="W20" s="1284"/>
      <c r="X20" s="1284"/>
      <c r="Y20" s="1284"/>
      <c r="Z20" s="1284"/>
      <c r="AA20" s="1284"/>
      <c r="AB20" s="1284"/>
      <c r="AD20" s="123" t="s">
        <v>438</v>
      </c>
      <c r="AF20" s="123" t="s">
        <v>439</v>
      </c>
      <c r="AG20" s="1078" t="s">
        <v>437</v>
      </c>
      <c r="AH20" s="1284"/>
      <c r="AI20" s="1284"/>
      <c r="AJ20" s="1284"/>
      <c r="AK20" s="1284"/>
      <c r="AL20" s="1284"/>
      <c r="AO20" s="123" t="s">
        <v>440</v>
      </c>
      <c r="AQ20" s="123" t="s">
        <v>439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43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4393"/>
      <c r="AJ24" s="4393"/>
      <c r="AK24" s="4393"/>
      <c r="AL24" s="4393"/>
      <c r="AM24" s="4393"/>
      <c r="AN24" s="4393"/>
      <c r="AO24" s="4393"/>
      <c r="AP24" s="4393"/>
      <c r="AQ24" s="1161"/>
      <c r="AY24" s="1073">
        <v>25</v>
      </c>
    </row>
    <row r="25" spans="1:51"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4365"/>
      <c r="AJ25" s="4365"/>
      <c r="AK25" s="4365"/>
      <c r="AL25" s="4365"/>
      <c r="AM25" s="4365"/>
      <c r="AN25" s="4365"/>
      <c r="AO25" s="4365"/>
      <c r="AP25" s="4365"/>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4405"/>
      <c r="AC27" s="4405"/>
      <c r="AD27" s="4405"/>
      <c r="AE27" s="4405"/>
      <c r="AF27" s="262"/>
      <c r="AG27" s="4405" t="str">
        <f>IF(TITLE_NAME_OR_PR_CHANGE="",IF(TITLE_NAME_OR_PR="","",TITLE_NAME_OR_PR),TITLE_NAME_OR_PR_CHANGE)</f>
        <v>Комитет по тарифному регулированию Мурманской области</v>
      </c>
      <c r="AH27" s="4405"/>
      <c r="AI27" s="4405"/>
      <c r="AJ27" s="4405"/>
      <c r="AK27" s="4405"/>
      <c r="AL27" s="4405"/>
      <c r="AM27" s="4405"/>
      <c r="AN27" s="4405"/>
      <c r="AO27" s="4405"/>
      <c r="AP27" s="4405"/>
      <c r="AQ27" s="262"/>
      <c r="AR27" s="262"/>
      <c r="AS27" s="216"/>
      <c r="AT27" s="303"/>
      <c r="AU27" s="303"/>
      <c r="AV27" s="303"/>
      <c r="AW27" s="303"/>
      <c r="AX27" s="303"/>
      <c r="AY27" s="353">
        <v>0</v>
      </c>
    </row>
    <row r="28" spans="1:51"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4404"/>
      <c r="AC28" s="4404"/>
      <c r="AD28" s="4404"/>
      <c r="AE28" s="4404"/>
      <c r="AF28" s="262"/>
      <c r="AG28" s="4404">
        <f>IF(TITLE_DATE_PR_CHANGE="",IF(TITLE_DATE_PR="","",TITLE_DATE_PR),TITLE_DATE_PR_CHANGE)</f>
        <v>45646</v>
      </c>
      <c r="AH28" s="4404"/>
      <c r="AI28" s="4404"/>
      <c r="AJ28" s="4404"/>
      <c r="AK28" s="4404"/>
      <c r="AL28" s="4404"/>
      <c r="AM28" s="4404"/>
      <c r="AN28" s="4404"/>
      <c r="AO28" s="4404"/>
      <c r="AP28" s="4404"/>
      <c r="AQ28" s="262"/>
      <c r="AR28" s="262"/>
      <c r="AS28" s="216"/>
      <c r="AT28" s="303"/>
      <c r="AU28" s="303"/>
      <c r="AV28" s="303"/>
      <c r="AW28" s="303"/>
      <c r="AX28" s="303"/>
      <c r="AY28" s="353">
        <v>0</v>
      </c>
    </row>
    <row r="29" spans="1:51"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4405"/>
      <c r="AC29" s="4405"/>
      <c r="AD29" s="4405"/>
      <c r="AE29" s="4405"/>
      <c r="AF29" s="262"/>
      <c r="AG29" s="4405" t="str">
        <f>IF(TITLE_NUMBER_PR_CHANGE="",IF(TITLE_NUMBER_PR="","",TITLE_NUMBER_PR),TITLE_NUMBER_PR_CHANGE)</f>
        <v>51/110</v>
      </c>
      <c r="AH29" s="4405"/>
      <c r="AI29" s="4405"/>
      <c r="AJ29" s="4405"/>
      <c r="AK29" s="4405"/>
      <c r="AL29" s="4405"/>
      <c r="AM29" s="4405"/>
      <c r="AN29" s="4405"/>
      <c r="AO29" s="4405"/>
      <c r="AP29" s="4405"/>
      <c r="AQ29" s="262"/>
      <c r="AR29" s="262"/>
      <c r="AS29" s="216"/>
      <c r="AT29" s="303"/>
      <c r="AU29" s="303"/>
      <c r="AV29" s="303"/>
      <c r="AW29" s="303"/>
      <c r="AX29" s="303"/>
      <c r="AY29" s="353">
        <v>0</v>
      </c>
    </row>
    <row r="30" spans="1:51"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4405"/>
      <c r="AC30" s="4405"/>
      <c r="AD30" s="4405"/>
      <c r="AE30" s="4405"/>
      <c r="AF30" s="262"/>
      <c r="AG30" s="4405" t="str">
        <f>IF(TITLE_IST_PUB_CHANGE="",IF(TITLE_IST_PUB="","",TITLE_IST_PUB),TITLE_IST_PUB_CHANGE)</f>
        <v>https://npa.gov-murman.ru/bitrix/components/b1team/govmurman.element.file/download.php?ID=537820&amp;FID=814582</v>
      </c>
      <c r="AH30" s="4405"/>
      <c r="AI30" s="4405"/>
      <c r="AJ30" s="4405"/>
      <c r="AK30" s="4405"/>
      <c r="AL30" s="4405"/>
      <c r="AM30" s="4405"/>
      <c r="AN30" s="4405"/>
      <c r="AO30" s="4405"/>
      <c r="AP30" s="440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4404"/>
      <c r="AC32" s="4404"/>
      <c r="AD32" s="4404"/>
      <c r="AE32" s="4404"/>
      <c r="AF32" s="262"/>
      <c r="AG32" s="4404">
        <f>IF(TITLE_DATE_PR_CHANGE="",IF(TITLE_DATE_PR="","",TITLE_DATE_PR),TITLE_DATE_PR_CHANGE)</f>
        <v>45646</v>
      </c>
      <c r="AH32" s="4404"/>
      <c r="AI32" s="4404"/>
      <c r="AJ32" s="4404"/>
      <c r="AK32" s="4404"/>
      <c r="AL32" s="4404"/>
      <c r="AM32" s="4404"/>
      <c r="AN32" s="4404"/>
      <c r="AO32" s="4404"/>
      <c r="AP32" s="4404"/>
      <c r="AQ32" s="262"/>
      <c r="AR32" s="262"/>
      <c r="AS32" s="216"/>
      <c r="AT32" s="303"/>
      <c r="AU32" s="303"/>
      <c r="AV32" s="303"/>
      <c r="AW32" s="303"/>
      <c r="AX32" s="303"/>
      <c r="AY32" s="353">
        <v>0</v>
      </c>
    </row>
    <row r="33" spans="1:51"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4405"/>
      <c r="AC33" s="4405"/>
      <c r="AD33" s="4405"/>
      <c r="AE33" s="4405"/>
      <c r="AF33" s="262"/>
      <c r="AG33" s="4405" t="str">
        <f>IF(TITLE_NUMBER_PR_CHANGE="",IF(TITLE_NUMBER_PR="","",TITLE_NUMBER_PR),TITLE_NUMBER_PR_CHANGE)</f>
        <v>51/110</v>
      </c>
      <c r="AH33" s="4405"/>
      <c r="AI33" s="4405"/>
      <c r="AJ33" s="4405"/>
      <c r="AK33" s="4405"/>
      <c r="AL33" s="4405"/>
      <c r="AM33" s="4405"/>
      <c r="AN33" s="4405"/>
      <c r="AO33" s="4405"/>
      <c r="AP33" s="4405"/>
      <c r="AQ33" s="262"/>
      <c r="AR33" s="262"/>
      <c r="AS33" s="216"/>
      <c r="AT33" s="303"/>
      <c r="AU33" s="303"/>
      <c r="AV33" s="303"/>
      <c r="AW33" s="303"/>
      <c r="AX33" s="303"/>
      <c r="AY33" s="353">
        <v>0</v>
      </c>
    </row>
    <row r="34" spans="1:51"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445</v>
      </c>
      <c r="AG34" s="262"/>
      <c r="AH34" s="1553"/>
      <c r="AI34" s="1553"/>
      <c r="AJ34" s="1553"/>
      <c r="AK34" s="1553"/>
      <c r="AL34" s="1553"/>
      <c r="AM34" s="262"/>
      <c r="AN34" s="262"/>
      <c r="AO34" s="262"/>
      <c r="AP34" s="262"/>
      <c r="AQ34" s="214" t="s">
        <v>445</v>
      </c>
      <c r="AT34" s="303"/>
      <c r="AU34" s="303"/>
      <c r="AV34" s="303"/>
      <c r="AW34" s="303"/>
      <c r="AX34" s="303"/>
      <c r="AY34" s="353">
        <v>1</v>
      </c>
    </row>
    <row r="35" spans="1:51" ht="14.65" customHeight="1">
      <c r="Q35" s="311"/>
      <c r="R35" s="311"/>
      <c r="S35" s="1193"/>
      <c r="T35" s="298"/>
      <c r="U35" s="1162"/>
      <c r="V35" s="4424"/>
      <c r="W35" s="4424"/>
      <c r="X35" s="4424"/>
      <c r="Y35" s="4424"/>
      <c r="Z35" s="4424"/>
      <c r="AA35" s="4424"/>
      <c r="AB35" s="4424"/>
      <c r="AC35" s="4424"/>
      <c r="AD35" s="4424"/>
      <c r="AE35" s="4424"/>
      <c r="AF35" s="4424"/>
      <c r="AG35" s="4424"/>
      <c r="AH35" s="4424"/>
      <c r="AI35" s="4424"/>
      <c r="AJ35" s="4424"/>
      <c r="AK35" s="4424"/>
      <c r="AL35" s="4424"/>
      <c r="AM35" s="4424"/>
      <c r="AN35" s="4424"/>
      <c r="AO35" s="4424"/>
      <c r="AP35" s="4424"/>
      <c r="AQ35" s="4424"/>
      <c r="AY35" s="1073">
        <v>14</v>
      </c>
    </row>
    <row r="36" spans="1:51"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c r="AL36" s="4274"/>
      <c r="AM36" s="4274"/>
      <c r="AN36" s="4274"/>
      <c r="AO36" s="4274"/>
      <c r="AP36" s="4274"/>
      <c r="AQ36" s="4274"/>
      <c r="AR36" s="4274"/>
      <c r="AS36" s="4274" t="s">
        <v>322</v>
      </c>
      <c r="AY36" s="1073">
        <v>14</v>
      </c>
    </row>
    <row r="37" spans="1:51" ht="14.65" customHeight="1">
      <c r="Q37" s="311"/>
      <c r="R37" s="311"/>
      <c r="S37" s="4425" t="s">
        <v>92</v>
      </c>
      <c r="T37" s="4373" t="s">
        <v>446</v>
      </c>
      <c r="U37" s="237"/>
      <c r="V37" s="4426" t="s">
        <v>447</v>
      </c>
      <c r="W37" s="4442"/>
      <c r="X37" s="4442"/>
      <c r="Y37" s="4442"/>
      <c r="Z37" s="4442"/>
      <c r="AA37" s="4442"/>
      <c r="AB37" s="4442"/>
      <c r="AC37" s="4427"/>
      <c r="AD37" s="4427"/>
      <c r="AE37" s="4428"/>
      <c r="AF37" s="4429" t="s">
        <v>448</v>
      </c>
      <c r="AG37" s="4426" t="s">
        <v>447</v>
      </c>
      <c r="AH37" s="4427"/>
      <c r="AI37" s="4427"/>
      <c r="AJ37" s="4427"/>
      <c r="AK37" s="4427"/>
      <c r="AL37" s="4427"/>
      <c r="AM37" s="4427"/>
      <c r="AN37" s="4427"/>
      <c r="AO37" s="4427"/>
      <c r="AP37" s="4428"/>
      <c r="AQ37" s="4429" t="s">
        <v>449</v>
      </c>
      <c r="AR37" s="4432" t="s">
        <v>450</v>
      </c>
      <c r="AS37" s="4274"/>
      <c r="AY37" s="1073">
        <v>14</v>
      </c>
    </row>
    <row r="38" spans="1:51" ht="19.899999999999999" customHeight="1">
      <c r="Q38" s="311"/>
      <c r="R38" s="311"/>
      <c r="S38" s="4425"/>
      <c r="T38" s="4373"/>
      <c r="U38" s="953"/>
      <c r="V38" s="4274" t="s">
        <v>553</v>
      </c>
      <c r="W38" s="4496" t="s">
        <v>554</v>
      </c>
      <c r="X38" s="4496"/>
      <c r="Y38" s="4496"/>
      <c r="Z38" s="4496" t="s">
        <v>555</v>
      </c>
      <c r="AA38" s="4496"/>
      <c r="AB38" s="4496"/>
      <c r="AC38" s="4346" t="s">
        <v>454</v>
      </c>
      <c r="AD38" s="4454"/>
      <c r="AE38" s="4347"/>
      <c r="AF38" s="4430"/>
      <c r="AG38" s="4274" t="s">
        <v>553</v>
      </c>
      <c r="AH38" s="4496" t="s">
        <v>554</v>
      </c>
      <c r="AI38" s="4496"/>
      <c r="AJ38" s="4496"/>
      <c r="AK38" s="4496" t="s">
        <v>555</v>
      </c>
      <c r="AL38" s="4496"/>
      <c r="AM38" s="4496"/>
      <c r="AN38" s="4346" t="s">
        <v>454</v>
      </c>
      <c r="AO38" s="4454"/>
      <c r="AP38" s="4347"/>
      <c r="AQ38" s="4430"/>
      <c r="AR38" s="4433"/>
      <c r="AS38" s="4274"/>
      <c r="AY38" s="1073">
        <v>19</v>
      </c>
    </row>
    <row r="39" spans="1:51" s="4133"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4425"/>
      <c r="T39" s="4373"/>
      <c r="U39" s="953"/>
      <c r="V39" s="4274"/>
      <c r="W39" s="4496" t="s">
        <v>556</v>
      </c>
      <c r="X39" s="4496" t="s">
        <v>557</v>
      </c>
      <c r="Y39" s="4496"/>
      <c r="Z39" s="4496" t="s">
        <v>558</v>
      </c>
      <c r="AA39" s="4496" t="s">
        <v>557</v>
      </c>
      <c r="AB39" s="4496"/>
      <c r="AC39" s="4351"/>
      <c r="AD39" s="4455"/>
      <c r="AE39" s="4352"/>
      <c r="AF39" s="4430"/>
      <c r="AG39" s="4274"/>
      <c r="AH39" s="4496" t="s">
        <v>556</v>
      </c>
      <c r="AI39" s="4496" t="s">
        <v>557</v>
      </c>
      <c r="AJ39" s="4496"/>
      <c r="AK39" s="4496" t="s">
        <v>558</v>
      </c>
      <c r="AL39" s="4496" t="s">
        <v>557</v>
      </c>
      <c r="AM39" s="4496"/>
      <c r="AN39" s="4351"/>
      <c r="AO39" s="4455"/>
      <c r="AP39" s="4352"/>
      <c r="AQ39" s="4430"/>
      <c r="AR39" s="4433"/>
      <c r="AS39" s="4274"/>
      <c r="AT39" s="1554"/>
      <c r="AU39" s="1554"/>
      <c r="AV39" s="1554"/>
      <c r="AW39" s="1554"/>
      <c r="AX39" s="1554"/>
      <c r="AY39" s="1549">
        <v>19</v>
      </c>
    </row>
    <row r="40" spans="1:51" ht="61.9" customHeight="1">
      <c r="A40" s="1288"/>
      <c r="B40" s="1288" t="s">
        <v>138</v>
      </c>
      <c r="C40" s="1288" t="s">
        <v>139</v>
      </c>
      <c r="D40" s="1288" t="s">
        <v>140</v>
      </c>
      <c r="E40" s="1282" t="s">
        <v>455</v>
      </c>
      <c r="F40" s="1282" t="s">
        <v>456</v>
      </c>
      <c r="G40" s="1282" t="s">
        <v>457</v>
      </c>
      <c r="H40" s="1282"/>
      <c r="I40" s="1282" t="s">
        <v>511</v>
      </c>
      <c r="J40" s="1282" t="s">
        <v>460</v>
      </c>
      <c r="K40" s="1282" t="s">
        <v>512</v>
      </c>
      <c r="L40" s="1282" t="s">
        <v>436</v>
      </c>
      <c r="Q40" s="311"/>
      <c r="R40" s="311"/>
      <c r="S40" s="4425"/>
      <c r="T40" s="4373"/>
      <c r="U40" s="238"/>
      <c r="V40" s="4274"/>
      <c r="W40" s="4496"/>
      <c r="X40" s="1895" t="s">
        <v>559</v>
      </c>
      <c r="Y40" s="1895" t="s">
        <v>560</v>
      </c>
      <c r="Z40" s="4496"/>
      <c r="AA40" s="1895" t="s">
        <v>561</v>
      </c>
      <c r="AB40" s="1895" t="s">
        <v>562</v>
      </c>
      <c r="AC40" s="1407" t="s">
        <v>464</v>
      </c>
      <c r="AD40" s="4378" t="s">
        <v>465</v>
      </c>
      <c r="AE40" s="4392"/>
      <c r="AF40" s="4431"/>
      <c r="AG40" s="4274"/>
      <c r="AH40" s="4496"/>
      <c r="AI40" s="1895" t="s">
        <v>559</v>
      </c>
      <c r="AJ40" s="1895" t="s">
        <v>560</v>
      </c>
      <c r="AK40" s="4496"/>
      <c r="AL40" s="1895" t="s">
        <v>561</v>
      </c>
      <c r="AM40" s="1895" t="s">
        <v>562</v>
      </c>
      <c r="AN40" s="1407" t="s">
        <v>464</v>
      </c>
      <c r="AO40" s="4378" t="s">
        <v>465</v>
      </c>
      <c r="AP40" s="4392"/>
      <c r="AQ40" s="4431"/>
      <c r="AR40" s="4434"/>
      <c r="AS40" s="4274"/>
      <c r="AY40" s="1073">
        <v>59</v>
      </c>
    </row>
    <row r="41" spans="1:51" s="416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114</v>
      </c>
      <c r="U41" s="1163" t="str">
        <f ca="1">OFFSET(U41,0,-1)</f>
        <v>2</v>
      </c>
      <c r="V41" s="1400">
        <f ca="1">OFFSET(V41,0,-1)+1</f>
        <v>3</v>
      </c>
      <c r="W41" s="1259"/>
      <c r="X41" s="1259"/>
      <c r="Y41" s="1259"/>
      <c r="Z41" s="1259"/>
      <c r="AA41" s="1259"/>
      <c r="AB41" s="1259"/>
      <c r="AC41" s="1400">
        <f ca="1">OFFSET(AC41,0,-1)+1</f>
        <v>1</v>
      </c>
      <c r="AD41" s="4423">
        <f ca="1">OFFSET(AD41,0,-1)+1</f>
        <v>2</v>
      </c>
      <c r="AE41" s="4423"/>
      <c r="AF41" s="1400">
        <f ca="1">OFFSET(AF41,0,-2)+1</f>
        <v>3</v>
      </c>
      <c r="AG41" s="1400">
        <f ca="1">OFFSET(AG41,0,-1)+1</f>
        <v>4</v>
      </c>
      <c r="AH41" s="1868"/>
      <c r="AI41" s="1868"/>
      <c r="AJ41" s="1868"/>
      <c r="AK41" s="1868"/>
      <c r="AL41" s="1868"/>
      <c r="AM41" s="1400">
        <f ca="1">OFFSET(AM41,0,-1)+1</f>
        <v>1</v>
      </c>
      <c r="AN41" s="1400">
        <f ca="1">OFFSET(AN41,0,-1)+1</f>
        <v>2</v>
      </c>
      <c r="AO41" s="4423">
        <f ca="1">OFFSET(AO41,0,-1)+1</f>
        <v>3</v>
      </c>
      <c r="AP41" s="4423"/>
      <c r="AQ41" s="1400">
        <f ca="1">OFFSET(AQ41,0,-2)+1</f>
        <v>4</v>
      </c>
      <c r="AR41" s="1163">
        <f ca="1">OFFSET(AR41,0,-1)</f>
        <v>4</v>
      </c>
      <c r="AS41" s="1400">
        <f ca="1">OFFSET(AS41,0,-1)+1</f>
        <v>5</v>
      </c>
      <c r="AT41" s="446"/>
      <c r="AU41" s="446"/>
      <c r="AV41" s="446"/>
      <c r="AW41" s="446"/>
      <c r="AX41" s="446"/>
      <c r="AY41" s="431">
        <v>0</v>
      </c>
    </row>
    <row r="42" spans="1:51" ht="24" customHeight="1">
      <c r="A42" s="1281" t="s">
        <v>272</v>
      </c>
      <c r="B42" s="1281"/>
      <c r="C42" s="1281"/>
      <c r="D42" s="1281"/>
      <c r="E42" s="441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4406"/>
      <c r="W42" s="4407"/>
      <c r="X42" s="4407"/>
      <c r="Y42" s="4407"/>
      <c r="Z42" s="4407"/>
      <c r="AA42" s="4407"/>
      <c r="AB42" s="4407"/>
      <c r="AC42" s="4407"/>
      <c r="AD42" s="4407"/>
      <c r="AE42" s="4407"/>
      <c r="AF42" s="4408"/>
      <c r="AG42" s="4406" t="str">
        <f>INDEX(PT_DIFFERENTIATION_NTAR,MATCH(A42,PT_DIFFERENTIATION_NTAR_ID,0))</f>
        <v/>
      </c>
      <c r="AH42" s="4407"/>
      <c r="AI42" s="4407"/>
      <c r="AJ42" s="4407"/>
      <c r="AK42" s="4407"/>
      <c r="AL42" s="4407"/>
      <c r="AM42" s="4407"/>
      <c r="AN42" s="4407"/>
      <c r="AO42" s="4407"/>
      <c r="AP42" s="4407"/>
      <c r="AQ42" s="4407"/>
      <c r="AR42" s="440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272</v>
      </c>
      <c r="B43" s="1281" t="s">
        <v>273</v>
      </c>
      <c r="C43" s="1281"/>
      <c r="D43" s="1281"/>
      <c r="E43" s="4413"/>
      <c r="F43" s="4412">
        <v>1</v>
      </c>
      <c r="G43" s="1281"/>
      <c r="H43" s="1281"/>
      <c r="I43" s="1281"/>
      <c r="J43" s="1281"/>
      <c r="K43" s="1281"/>
      <c r="L43" s="1282"/>
      <c r="M43" s="1283"/>
      <c r="N43" s="1283"/>
      <c r="O43" s="1283"/>
      <c r="P43" s="1405"/>
      <c r="Q43" s="287"/>
      <c r="R43" s="288"/>
      <c r="S43" s="1411" t="str">
        <f>INDEX(PT_DIFFERENTIATION_NUM_TER,MATCH(B43,PT_DIFFERENTIATION_TER_ID,0))</f>
        <v>.</v>
      </c>
      <c r="T43" s="244" t="s">
        <v>418</v>
      </c>
      <c r="U43" s="236"/>
      <c r="V43" s="4406"/>
      <c r="W43" s="4407"/>
      <c r="X43" s="4407"/>
      <c r="Y43" s="4407"/>
      <c r="Z43" s="4407"/>
      <c r="AA43" s="4407"/>
      <c r="AB43" s="4407"/>
      <c r="AC43" s="4407"/>
      <c r="AD43" s="4407"/>
      <c r="AE43" s="4407"/>
      <c r="AF43" s="4408"/>
      <c r="AG43" s="4406" t="str">
        <f>INDEX(PT_DIFFERENTIATION_TER,MATCH(B43,PT_DIFFERENTIATION_TER_ID,0))</f>
        <v/>
      </c>
      <c r="AH43" s="4407"/>
      <c r="AI43" s="4407"/>
      <c r="AJ43" s="4407"/>
      <c r="AK43" s="4407"/>
      <c r="AL43" s="4407"/>
      <c r="AM43" s="4407"/>
      <c r="AN43" s="4407"/>
      <c r="AO43" s="4407"/>
      <c r="AP43" s="4407"/>
      <c r="AQ43" s="4407"/>
      <c r="AR43" s="4408"/>
      <c r="AS43" s="1176" t="s">
        <v>419</v>
      </c>
      <c r="AU43" s="435"/>
      <c r="AV43" s="435" t="str">
        <f t="shared" si="1"/>
        <v>Территория действия тарифа</v>
      </c>
      <c r="AW43" s="435"/>
      <c r="AX43" s="435"/>
      <c r="AY43" s="1073">
        <v>23</v>
      </c>
    </row>
    <row r="44" spans="1:51" ht="24" customHeight="1">
      <c r="A44" s="1281" t="s">
        <v>272</v>
      </c>
      <c r="B44" s="1281" t="s">
        <v>273</v>
      </c>
      <c r="C44" s="1281" t="s">
        <v>274</v>
      </c>
      <c r="D44" s="1281"/>
      <c r="E44" s="4413"/>
      <c r="F44" s="4413"/>
      <c r="G44" s="4412">
        <v>1</v>
      </c>
      <c r="H44" s="1281"/>
      <c r="I44" s="1281"/>
      <c r="J44" s="1281"/>
      <c r="K44" s="1281"/>
      <c r="L44" s="1282"/>
      <c r="M44" s="1283"/>
      <c r="N44" s="1283"/>
      <c r="O44" s="1283"/>
      <c r="P44" s="289"/>
      <c r="Q44" s="287"/>
      <c r="R44" s="288"/>
      <c r="S44" s="1411" t="str">
        <f>INDEX(PT_DIFFERENTIATION_NUM_CS,MATCH(C44,PT_DIFFERENTIATION_CS_ID,0))</f>
        <v>..</v>
      </c>
      <c r="T44" s="245" t="s">
        <v>551</v>
      </c>
      <c r="U44" s="236"/>
      <c r="V44" s="4406"/>
      <c r="W44" s="4407"/>
      <c r="X44" s="4407"/>
      <c r="Y44" s="4407"/>
      <c r="Z44" s="4407"/>
      <c r="AA44" s="4407"/>
      <c r="AB44" s="4407"/>
      <c r="AC44" s="4407"/>
      <c r="AD44" s="4407"/>
      <c r="AE44" s="4407"/>
      <c r="AF44" s="4408"/>
      <c r="AG44" s="4406" t="str">
        <f>INDEX(PT_DIFFERENTIATION_CS,MATCH(C44,PT_DIFFERENTIATION_CS_ID,0))</f>
        <v/>
      </c>
      <c r="AH44" s="4407"/>
      <c r="AI44" s="4407"/>
      <c r="AJ44" s="4407"/>
      <c r="AK44" s="4407"/>
      <c r="AL44" s="4407"/>
      <c r="AM44" s="4407"/>
      <c r="AN44" s="4407"/>
      <c r="AO44" s="4407"/>
      <c r="AP44" s="4407"/>
      <c r="AQ44" s="4407"/>
      <c r="AR44" s="4408"/>
      <c r="AS44" s="1176" t="s">
        <v>552</v>
      </c>
      <c r="AU44" s="435"/>
      <c r="AV44" s="435" t="str">
        <f t="shared" si="1"/>
        <v>Наименование централизованной системы горячего водоснабжения</v>
      </c>
      <c r="AW44" s="435"/>
      <c r="AX44" s="435"/>
      <c r="AY44" s="1073">
        <v>23</v>
      </c>
    </row>
    <row r="45" spans="1:51" ht="24" customHeight="1">
      <c r="A45" s="1281" t="s">
        <v>272</v>
      </c>
      <c r="B45" s="1281" t="s">
        <v>273</v>
      </c>
      <c r="C45" s="1281" t="s">
        <v>274</v>
      </c>
      <c r="D45" s="1281" t="s">
        <v>563</v>
      </c>
      <c r="E45" s="4413"/>
      <c r="F45" s="4413"/>
      <c r="G45" s="4413"/>
      <c r="H45" s="4413"/>
      <c r="I45" s="4414" t="str">
        <f>S44&amp;".1"</f>
        <v>...1</v>
      </c>
      <c r="J45" s="1281"/>
      <c r="K45" s="1281"/>
      <c r="L45" s="1282"/>
      <c r="P45" s="4416">
        <v>1</v>
      </c>
      <c r="Q45" s="1399"/>
      <c r="R45" s="291"/>
      <c r="S45" s="1411" t="str">
        <f>$I45</f>
        <v>...1</v>
      </c>
      <c r="T45" s="221" t="s">
        <v>504</v>
      </c>
      <c r="U45" s="236"/>
      <c r="V45" s="4480"/>
      <c r="W45" s="4481"/>
      <c r="X45" s="4481"/>
      <c r="Y45" s="4481"/>
      <c r="Z45" s="4481"/>
      <c r="AA45" s="4481"/>
      <c r="AB45" s="4481"/>
      <c r="AC45" s="4481"/>
      <c r="AD45" s="4481"/>
      <c r="AE45" s="4481"/>
      <c r="AF45" s="4482"/>
      <c r="AG45" s="4483"/>
      <c r="AH45" s="4484"/>
      <c r="AI45" s="4484"/>
      <c r="AJ45" s="4484"/>
      <c r="AK45" s="4484"/>
      <c r="AL45" s="4484"/>
      <c r="AM45" s="4484"/>
      <c r="AN45" s="4484"/>
      <c r="AO45" s="4484"/>
      <c r="AP45" s="4484"/>
      <c r="AQ45" s="4484"/>
      <c r="AR45" s="4485"/>
      <c r="AS45" s="1176" t="s">
        <v>505</v>
      </c>
      <c r="AU45" s="435"/>
      <c r="AV45" s="435" t="str">
        <f t="shared" si="1"/>
        <v>Наименование признака дифференциации</v>
      </c>
      <c r="AW45" s="435"/>
      <c r="AX45" s="435"/>
      <c r="AY45" s="1073">
        <v>23</v>
      </c>
    </row>
    <row r="46" spans="1:51" ht="24" customHeight="1">
      <c r="A46" s="1281" t="s">
        <v>272</v>
      </c>
      <c r="B46" s="1281" t="s">
        <v>273</v>
      </c>
      <c r="C46" s="1281" t="s">
        <v>274</v>
      </c>
      <c r="D46" s="1281" t="s">
        <v>563</v>
      </c>
      <c r="E46" s="4413"/>
      <c r="F46" s="4413"/>
      <c r="G46" s="4413"/>
      <c r="H46" s="4413"/>
      <c r="I46" s="4415"/>
      <c r="J46" s="4414" t="str">
        <f>I45&amp;".1"</f>
        <v>...1.1</v>
      </c>
      <c r="K46" s="1281"/>
      <c r="L46" s="1282" t="s">
        <v>427</v>
      </c>
      <c r="P46" s="4416"/>
      <c r="Q46" s="4416">
        <v>1</v>
      </c>
      <c r="R46" s="292"/>
      <c r="S46" s="1411" t="str">
        <f>$J46</f>
        <v>...1.1</v>
      </c>
      <c r="T46" s="222" t="s">
        <v>428</v>
      </c>
      <c r="U46" s="236"/>
      <c r="V46" s="4400"/>
      <c r="W46" s="4401"/>
      <c r="X46" s="4401"/>
      <c r="Y46" s="4401"/>
      <c r="Z46" s="4401"/>
      <c r="AA46" s="4401"/>
      <c r="AB46" s="4401"/>
      <c r="AC46" s="4401"/>
      <c r="AD46" s="4401"/>
      <c r="AE46" s="4401"/>
      <c r="AF46" s="4402"/>
      <c r="AG46" s="4400"/>
      <c r="AH46" s="4401"/>
      <c r="AI46" s="4401"/>
      <c r="AJ46" s="4401"/>
      <c r="AK46" s="4401"/>
      <c r="AL46" s="4401"/>
      <c r="AM46" s="4401"/>
      <c r="AN46" s="4401"/>
      <c r="AO46" s="4401"/>
      <c r="AP46" s="4401"/>
      <c r="AQ46" s="4401"/>
      <c r="AR46" s="4402"/>
      <c r="AS46" s="1225" t="s">
        <v>506</v>
      </c>
      <c r="AU46" s="435"/>
      <c r="AV46" s="435" t="str">
        <f t="shared" si="1"/>
        <v>Группа потребителей</v>
      </c>
      <c r="AW46" s="435"/>
      <c r="AX46" s="435"/>
      <c r="AY46" s="1073">
        <v>23</v>
      </c>
    </row>
    <row r="47" spans="1:51" ht="24" customHeight="1">
      <c r="A47" s="1281" t="s">
        <v>272</v>
      </c>
      <c r="B47" s="1281" t="s">
        <v>273</v>
      </c>
      <c r="C47" s="1281" t="s">
        <v>274</v>
      </c>
      <c r="D47" s="1281" t="s">
        <v>563</v>
      </c>
      <c r="E47" s="4413"/>
      <c r="F47" s="4413"/>
      <c r="G47" s="4413"/>
      <c r="H47" s="4413"/>
      <c r="I47" s="4415"/>
      <c r="J47" s="4415"/>
      <c r="K47" s="4414" t="str">
        <f>J46&amp;".1"</f>
        <v>...1.1.1</v>
      </c>
      <c r="L47" s="1282"/>
      <c r="P47" s="4416"/>
      <c r="Q47" s="4416"/>
      <c r="R47" s="292">
        <v>1</v>
      </c>
      <c r="S47" s="1411" t="str">
        <f>$K47</f>
        <v>...1.1.1</v>
      </c>
      <c r="T47" s="1355"/>
      <c r="U47" s="236"/>
      <c r="V47" s="686"/>
      <c r="W47" s="686"/>
      <c r="X47" s="686"/>
      <c r="Y47" s="686"/>
      <c r="Z47" s="686"/>
      <c r="AA47" s="686"/>
      <c r="AB47" s="686"/>
      <c r="AC47" s="4410"/>
      <c r="AD47" s="4409" t="s">
        <v>65</v>
      </c>
      <c r="AE47" s="4410"/>
      <c r="AF47" s="4409" t="s">
        <v>65</v>
      </c>
      <c r="AG47" s="686"/>
      <c r="AH47" s="686"/>
      <c r="AI47" s="686"/>
      <c r="AJ47" s="686"/>
      <c r="AK47" s="686"/>
      <c r="AL47" s="686"/>
      <c r="AM47" s="686"/>
      <c r="AN47" s="4417"/>
      <c r="AO47" s="4284" t="s">
        <v>65</v>
      </c>
      <c r="AP47" s="4419"/>
      <c r="AQ47" s="4284" t="s">
        <v>19</v>
      </c>
      <c r="AR47" s="1356"/>
      <c r="AS4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272</v>
      </c>
      <c r="B48" s="1281" t="s">
        <v>273</v>
      </c>
      <c r="C48" s="1281" t="s">
        <v>274</v>
      </c>
      <c r="D48" s="1281" t="s">
        <v>563</v>
      </c>
      <c r="E48" s="4413"/>
      <c r="F48" s="4413"/>
      <c r="G48" s="4413"/>
      <c r="H48" s="4413"/>
      <c r="I48" s="4415"/>
      <c r="J48" s="4415"/>
      <c r="K48" s="4414"/>
      <c r="L48" s="1282"/>
      <c r="P48" s="4416"/>
      <c r="Q48" s="4416"/>
      <c r="R48" s="292"/>
      <c r="S48" s="1408"/>
      <c r="T48" s="236"/>
      <c r="U48" s="236"/>
      <c r="V48" s="1278"/>
      <c r="W48" s="1278"/>
      <c r="X48" s="1278"/>
      <c r="Y48" s="1278"/>
      <c r="Z48" s="1278"/>
      <c r="AA48" s="1278"/>
      <c r="AB48" s="1278"/>
      <c r="AC48" s="4409"/>
      <c r="AD48" s="4409"/>
      <c r="AE48" s="4409"/>
      <c r="AF48" s="4409"/>
      <c r="AG48" s="261"/>
      <c r="AH48" s="261"/>
      <c r="AI48" s="261"/>
      <c r="AJ48" s="261"/>
      <c r="AK48" s="261"/>
      <c r="AL48" s="261"/>
      <c r="AM48" s="261"/>
      <c r="AN48" s="4418"/>
      <c r="AO48" s="4284"/>
      <c r="AP48" s="4420"/>
      <c r="AQ48" s="4284"/>
      <c r="AR48" s="1357"/>
      <c r="AS48" s="4486"/>
      <c r="AU48" s="435"/>
      <c r="AV48" s="435" t="str">
        <f t="shared" si="1"/>
        <v/>
      </c>
      <c r="AW48" s="435"/>
      <c r="AX48" s="435"/>
      <c r="AY48" s="1073">
        <v>0</v>
      </c>
    </row>
    <row r="49" spans="1:51" ht="21" customHeight="1">
      <c r="A49" s="1281" t="s">
        <v>272</v>
      </c>
      <c r="B49" s="1281" t="s">
        <v>273</v>
      </c>
      <c r="C49" s="1281" t="s">
        <v>274</v>
      </c>
      <c r="D49" s="1281" t="s">
        <v>563</v>
      </c>
      <c r="E49" s="4413"/>
      <c r="F49" s="4413"/>
      <c r="G49" s="4413"/>
      <c r="H49" s="4413"/>
      <c r="I49" s="4415"/>
      <c r="J49" s="4414"/>
      <c r="K49" s="1281"/>
      <c r="L49" s="1282"/>
      <c r="P49" s="4416"/>
      <c r="Q49" s="4416"/>
      <c r="R49" s="291"/>
      <c r="S49" s="1196"/>
      <c r="T49" s="223" t="s">
        <v>507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508</v>
      </c>
      <c r="AU49" s="435"/>
      <c r="AV49" s="435" t="str">
        <f t="shared" si="1"/>
        <v>Добавить значение признака дифференциации</v>
      </c>
      <c r="AW49" s="435"/>
      <c r="AX49" s="435"/>
      <c r="AY49" s="1073">
        <v>20</v>
      </c>
    </row>
    <row r="50" spans="1:51" ht="21.95" customHeight="1">
      <c r="A50" s="1281" t="s">
        <v>272</v>
      </c>
      <c r="B50" s="1281" t="s">
        <v>273</v>
      </c>
      <c r="C50" s="1281" t="s">
        <v>274</v>
      </c>
      <c r="D50" s="1281" t="s">
        <v>563</v>
      </c>
      <c r="E50" s="4413"/>
      <c r="F50" s="4413"/>
      <c r="G50" s="4413"/>
      <c r="H50" s="4413"/>
      <c r="I50" s="4414"/>
      <c r="J50" s="1281"/>
      <c r="K50" s="1281"/>
      <c r="L50" s="1282"/>
      <c r="P50" s="4416"/>
      <c r="Q50" s="1399"/>
      <c r="R50" s="291"/>
      <c r="S50" s="1196"/>
      <c r="T50" s="300" t="s">
        <v>433</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272</v>
      </c>
      <c r="B51" s="1281" t="s">
        <v>273</v>
      </c>
      <c r="C51" s="1281" t="s">
        <v>274</v>
      </c>
      <c r="D51" s="1281" t="s">
        <v>563</v>
      </c>
      <c r="E51" s="4413"/>
      <c r="F51" s="4413"/>
      <c r="G51" s="4413"/>
      <c r="H51" s="4412"/>
      <c r="I51" s="1281"/>
      <c r="J51" s="1281"/>
      <c r="K51" s="1281"/>
      <c r="L51" s="1282"/>
      <c r="M51" s="1283"/>
      <c r="N51" s="1283"/>
      <c r="O51" s="472"/>
      <c r="P51" s="295"/>
      <c r="Q51" s="310"/>
      <c r="R51" s="290"/>
      <c r="S51" s="1196"/>
      <c r="T51" s="307" t="s">
        <v>509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140" customFormat="1" ht="0" hidden="1" customHeight="1">
      <c r="A52" s="1261" t="s">
        <v>272</v>
      </c>
      <c r="B52" s="1261" t="s">
        <v>273</v>
      </c>
      <c r="C52" s="1232"/>
      <c r="D52" s="1232"/>
      <c r="E52" s="4413"/>
      <c r="F52" s="4412"/>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140" customFormat="1" ht="0" hidden="1" customHeight="1">
      <c r="A53" s="1261" t="s">
        <v>272</v>
      </c>
      <c r="B53" s="1261"/>
      <c r="C53" s="1261"/>
      <c r="D53" s="1261"/>
      <c r="E53" s="4412"/>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14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4411"/>
      <c r="U56" s="4411"/>
      <c r="V56" s="4411"/>
      <c r="W56" s="4411"/>
      <c r="X56" s="4411"/>
      <c r="Y56" s="4411"/>
      <c r="Z56" s="4411"/>
      <c r="AA56" s="4411"/>
      <c r="AB56" s="4411"/>
      <c r="AC56" s="4411"/>
      <c r="AD56" s="4411"/>
      <c r="AE56" s="4411"/>
      <c r="AF56" s="4411"/>
      <c r="AG56" s="4411"/>
      <c r="AH56" s="4411"/>
      <c r="AI56" s="4411"/>
      <c r="AJ56" s="4411"/>
      <c r="AK56" s="4411"/>
      <c r="AL56" s="4411"/>
      <c r="AM56" s="4411"/>
      <c r="AN56" s="4411"/>
      <c r="AO56" s="4411"/>
      <c r="AP56" s="4411"/>
      <c r="AQ56" s="4411"/>
      <c r="AR56" s="4411"/>
      <c r="AS56" s="4411"/>
      <c r="AY56" s="1073">
        <v>14</v>
      </c>
    </row>
    <row r="57" spans="1:51" ht="14.65" customHeight="1">
      <c r="O57" s="472"/>
      <c r="AY57" s="1073">
        <v>14</v>
      </c>
    </row>
    <row r="58" spans="1:51" ht="14.65" customHeight="1">
      <c r="O58" s="472"/>
      <c r="S58" s="1171"/>
      <c r="T58" s="4411"/>
      <c r="U58" s="4411"/>
      <c r="V58" s="4411"/>
      <c r="W58" s="4411"/>
      <c r="X58" s="4411"/>
      <c r="Y58" s="4411"/>
      <c r="Z58" s="4411"/>
      <c r="AA58" s="4411"/>
      <c r="AB58" s="4411"/>
      <c r="AC58" s="4411"/>
      <c r="AD58" s="4411"/>
      <c r="AE58" s="4411"/>
      <c r="AF58" s="4411"/>
      <c r="AG58" s="4411"/>
      <c r="AH58" s="4411"/>
      <c r="AI58" s="4411"/>
      <c r="AJ58" s="4411"/>
      <c r="AK58" s="4411"/>
      <c r="AL58" s="4411"/>
      <c r="AM58" s="4411"/>
      <c r="AN58" s="4411"/>
      <c r="AO58" s="4411"/>
      <c r="AP58" s="4411"/>
      <c r="AQ58" s="4411"/>
      <c r="AR58" s="4411"/>
      <c r="AS58" s="4411"/>
      <c r="AY58" s="1073">
        <v>14</v>
      </c>
    </row>
    <row r="59" spans="1:51" ht="22.5" hidden="1" customHeight="1">
      <c r="A59" s="1078" t="s">
        <v>86</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4.140625" style="4139" hidden="1" customWidth="1"/>
    <col min="10" max="10" width="9.85546875" style="4139" hidden="1" customWidth="1"/>
    <col min="11" max="11" width="14.7109375" style="4139" hidden="1" customWidth="1"/>
    <col min="12" max="12" width="19.140625" style="4165" hidden="1" customWidth="1"/>
    <col min="13" max="14" width="12.28515625" style="4166" hidden="1" customWidth="1"/>
    <col min="15" max="15" width="23.42578125" style="4166" hidden="1" customWidth="1"/>
    <col min="16" max="16" width="3" style="4167" customWidth="1"/>
    <col min="17" max="18" width="3" style="4168" customWidth="1"/>
    <col min="19" max="19" width="12" style="4169" customWidth="1"/>
    <col min="20" max="20" width="35" style="4133" customWidth="1"/>
    <col min="21" max="21" width="0.140625" style="4133" customWidth="1"/>
    <col min="22" max="28" width="19.7109375" style="4133" hidden="1" customWidth="1"/>
    <col min="29" max="29" width="11.7109375" style="4133" hidden="1" customWidth="1"/>
    <col min="30" max="30" width="3.7109375" style="4133" hidden="1" customWidth="1"/>
    <col min="31" max="31" width="11.7109375" style="4133" hidden="1" customWidth="1"/>
    <col min="32" max="32" width="8.5703125" style="4133" hidden="1" customWidth="1"/>
    <col min="33" max="33" width="19.7109375" style="4133" customWidth="1"/>
    <col min="34" max="39" width="19" style="4133" customWidth="1"/>
    <col min="40" max="40" width="11" style="4133" customWidth="1"/>
    <col min="41" max="41" width="3.7109375" style="4133" customWidth="1"/>
    <col min="42" max="42" width="11" style="4133" customWidth="1"/>
    <col min="43" max="43" width="8.5703125" style="4133" hidden="1" customWidth="1"/>
    <col min="44" max="44" width="4" style="4133" customWidth="1"/>
    <col min="45" max="45" width="115" style="4133" customWidth="1"/>
    <col min="46" max="50" width="10" style="4140" customWidth="1"/>
    <col min="51" max="51" width="10.5703125" style="4133" hidden="1"/>
  </cols>
  <sheetData>
    <row r="1" spans="1:51" ht="22.5" hidden="1" customHeight="1">
      <c r="AB1" s="263"/>
      <c r="AC1" s="263"/>
      <c r="AM1" s="263"/>
      <c r="AN1" s="263"/>
      <c r="AY1" s="1073" t="s">
        <v>14</v>
      </c>
    </row>
    <row r="2" spans="1:51" ht="23.25" hidden="1" customHeight="1">
      <c r="A2" s="1281"/>
      <c r="B2" s="1281"/>
      <c r="C2" s="1281"/>
      <c r="D2" s="1281"/>
      <c r="E2" s="4412">
        <v>1</v>
      </c>
      <c r="F2" s="1281"/>
      <c r="G2" s="1281"/>
      <c r="H2" s="1281"/>
      <c r="I2" s="1281"/>
      <c r="J2" s="1281"/>
      <c r="K2" s="1281"/>
      <c r="L2" s="1282"/>
      <c r="M2" s="1283"/>
      <c r="N2" s="1283"/>
      <c r="O2" s="1283"/>
      <c r="P2" s="296"/>
      <c r="Q2" s="295"/>
      <c r="R2" s="290"/>
      <c r="S2" s="1411" t="e">
        <f>INDEX(PT_DIFFERENTIATION_NUM_NTAR,MATCH(A2,PT_DIFFERENTIATION_NTAR_ID,0))</f>
        <v>#N/A</v>
      </c>
      <c r="T2" s="234" t="s">
        <v>126</v>
      </c>
      <c r="U2" s="236"/>
      <c r="V2" s="4406"/>
      <c r="W2" s="4407"/>
      <c r="X2" s="4407"/>
      <c r="Y2" s="4407"/>
      <c r="Z2" s="4407"/>
      <c r="AA2" s="4407"/>
      <c r="AB2" s="4407"/>
      <c r="AC2" s="4407"/>
      <c r="AD2" s="4407"/>
      <c r="AE2" s="4407"/>
      <c r="AF2" s="4408"/>
      <c r="AG2" s="4406" t="e">
        <f>INDEX(PT_DIFFERENTIATION_NTAR,MATCH(A2,PT_DIFFERENTIATION_NTAR_ID,0))</f>
        <v>#N/A</v>
      </c>
      <c r="AH2" s="4407"/>
      <c r="AI2" s="4407"/>
      <c r="AJ2" s="4407"/>
      <c r="AK2" s="4407"/>
      <c r="AL2" s="4407"/>
      <c r="AM2" s="4407"/>
      <c r="AN2" s="4407"/>
      <c r="AO2" s="4407"/>
      <c r="AP2" s="4407"/>
      <c r="AQ2" s="4407"/>
      <c r="AR2" s="440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4413"/>
      <c r="F3" s="4412">
        <v>1</v>
      </c>
      <c r="G3" s="1281"/>
      <c r="H3" s="1281"/>
      <c r="I3" s="1281"/>
      <c r="J3" s="1281"/>
      <c r="K3" s="1281"/>
      <c r="L3" s="1282"/>
      <c r="M3" s="1283"/>
      <c r="N3" s="1283"/>
      <c r="O3" s="1283"/>
      <c r="P3" s="1405"/>
      <c r="Q3" s="287"/>
      <c r="R3" s="288"/>
      <c r="S3" s="1411" t="e">
        <f>INDEX(PT_DIFFERENTIATION_NUM_TER,MATCH(B3,PT_DIFFERENTIATION_TER_ID,0))</f>
        <v>#N/A</v>
      </c>
      <c r="T3" s="244" t="s">
        <v>418</v>
      </c>
      <c r="U3" s="236"/>
      <c r="V3" s="4406"/>
      <c r="W3" s="4407"/>
      <c r="X3" s="4407"/>
      <c r="Y3" s="4407"/>
      <c r="Z3" s="4407"/>
      <c r="AA3" s="4407"/>
      <c r="AB3" s="4407"/>
      <c r="AC3" s="4407"/>
      <c r="AD3" s="4407"/>
      <c r="AE3" s="4407"/>
      <c r="AF3" s="4408"/>
      <c r="AG3" s="4406" t="e">
        <f>INDEX(PT_DIFFERENTIATION_TER,MATCH(B3,PT_DIFFERENTIATION_TER_ID,0))</f>
        <v>#N/A</v>
      </c>
      <c r="AH3" s="4407"/>
      <c r="AI3" s="4407"/>
      <c r="AJ3" s="4407"/>
      <c r="AK3" s="4407"/>
      <c r="AL3" s="4407"/>
      <c r="AM3" s="4407"/>
      <c r="AN3" s="4407"/>
      <c r="AO3" s="4407"/>
      <c r="AP3" s="4407"/>
      <c r="AQ3" s="4407"/>
      <c r="AR3" s="4408"/>
      <c r="AS3" s="1176" t="s">
        <v>419</v>
      </c>
      <c r="AU3" s="435"/>
      <c r="AV3" s="435" t="str">
        <f t="shared" si="0"/>
        <v>Территория действия тарифа</v>
      </c>
      <c r="AW3" s="435"/>
      <c r="AX3" s="435"/>
      <c r="AY3" s="1073">
        <v>0</v>
      </c>
    </row>
    <row r="4" spans="1:51" ht="23.25" hidden="1" customHeight="1">
      <c r="A4" s="1281"/>
      <c r="B4" s="1281"/>
      <c r="C4" s="1281"/>
      <c r="D4" s="1281"/>
      <c r="E4" s="4413"/>
      <c r="F4" s="4413"/>
      <c r="G4" s="4412">
        <v>1</v>
      </c>
      <c r="H4" s="1281"/>
      <c r="I4" s="1281"/>
      <c r="J4" s="1281"/>
      <c r="K4" s="1281"/>
      <c r="L4" s="1282"/>
      <c r="M4" s="1283"/>
      <c r="N4" s="1283"/>
      <c r="O4" s="1283"/>
      <c r="P4" s="289"/>
      <c r="Q4" s="287"/>
      <c r="R4" s="288"/>
      <c r="S4" s="1411" t="e">
        <f>INDEX(PT_DIFFERENTIATION_NUM_CS,MATCH(C4,PT_DIFFERENTIATION_CS_ID,0))</f>
        <v>#N/A</v>
      </c>
      <c r="T4" s="245" t="s">
        <v>551</v>
      </c>
      <c r="U4" s="236"/>
      <c r="V4" s="4406"/>
      <c r="W4" s="4407"/>
      <c r="X4" s="4407"/>
      <c r="Y4" s="4407"/>
      <c r="Z4" s="4407"/>
      <c r="AA4" s="4407"/>
      <c r="AB4" s="4407"/>
      <c r="AC4" s="4407"/>
      <c r="AD4" s="4407"/>
      <c r="AE4" s="4407"/>
      <c r="AF4" s="4408"/>
      <c r="AG4" s="4406" t="e">
        <f>INDEX(PT_DIFFERENTIATION_CS,MATCH(C4,PT_DIFFERENTIATION_CS_ID,0))</f>
        <v>#N/A</v>
      </c>
      <c r="AH4" s="4407"/>
      <c r="AI4" s="4407"/>
      <c r="AJ4" s="4407"/>
      <c r="AK4" s="4407"/>
      <c r="AL4" s="4407"/>
      <c r="AM4" s="4407"/>
      <c r="AN4" s="4407"/>
      <c r="AO4" s="4407"/>
      <c r="AP4" s="4407"/>
      <c r="AQ4" s="4407"/>
      <c r="AR4" s="4408"/>
      <c r="AS4" s="1176" t="s">
        <v>552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4413"/>
      <c r="F5" s="4413"/>
      <c r="G5" s="4413"/>
      <c r="H5" s="4413"/>
      <c r="I5" s="4414" t="e">
        <f>S4&amp;".1"</f>
        <v>#N/A</v>
      </c>
      <c r="J5" s="1281"/>
      <c r="K5" s="1281"/>
      <c r="L5" s="1282"/>
      <c r="P5" s="4416">
        <v>1</v>
      </c>
      <c r="Q5" s="1399"/>
      <c r="R5" s="291"/>
      <c r="S5" s="1411" t="e">
        <f>$I5</f>
        <v>#N/A</v>
      </c>
      <c r="T5" s="221" t="s">
        <v>504</v>
      </c>
      <c r="U5" s="236"/>
      <c r="V5" s="4480"/>
      <c r="W5" s="4481"/>
      <c r="X5" s="4481"/>
      <c r="Y5" s="4481"/>
      <c r="Z5" s="4481"/>
      <c r="AA5" s="4481"/>
      <c r="AB5" s="4481"/>
      <c r="AC5" s="4481"/>
      <c r="AD5" s="4481"/>
      <c r="AE5" s="4481"/>
      <c r="AF5" s="4482"/>
      <c r="AG5" s="4483"/>
      <c r="AH5" s="4484"/>
      <c r="AI5" s="4484"/>
      <c r="AJ5" s="4484"/>
      <c r="AK5" s="4484"/>
      <c r="AL5" s="4484"/>
      <c r="AM5" s="4484"/>
      <c r="AN5" s="4484"/>
      <c r="AO5" s="4484"/>
      <c r="AP5" s="4484"/>
      <c r="AQ5" s="4484"/>
      <c r="AR5" s="4485"/>
      <c r="AS5" s="1176" t="s">
        <v>505</v>
      </c>
      <c r="AU5" s="435"/>
      <c r="AV5" s="435" t="str">
        <f t="shared" si="0"/>
        <v>Наименование признака дифференциации</v>
      </c>
      <c r="AW5" s="435"/>
      <c r="AX5" s="435"/>
      <c r="AY5" s="1073">
        <v>0</v>
      </c>
    </row>
    <row r="6" spans="1:51" ht="23.25" hidden="1" customHeight="1">
      <c r="A6" s="1281"/>
      <c r="B6" s="1281"/>
      <c r="C6" s="1281"/>
      <c r="D6" s="1281"/>
      <c r="E6" s="4413"/>
      <c r="F6" s="4413"/>
      <c r="G6" s="4413"/>
      <c r="H6" s="4413"/>
      <c r="I6" s="4415"/>
      <c r="J6" s="4414" t="e">
        <f>I5&amp;".1"</f>
        <v>#N/A</v>
      </c>
      <c r="K6" s="1281"/>
      <c r="L6" s="1282" t="s">
        <v>427</v>
      </c>
      <c r="P6" s="4416"/>
      <c r="Q6" s="4416">
        <v>1</v>
      </c>
      <c r="R6" s="292"/>
      <c r="S6" s="1411" t="e">
        <f>$J6</f>
        <v>#N/A</v>
      </c>
      <c r="T6" s="222" t="s">
        <v>428</v>
      </c>
      <c r="U6" s="236"/>
      <c r="V6" s="4400"/>
      <c r="W6" s="4401"/>
      <c r="X6" s="4401"/>
      <c r="Y6" s="4401"/>
      <c r="Z6" s="4401"/>
      <c r="AA6" s="4401"/>
      <c r="AB6" s="4401"/>
      <c r="AC6" s="4401"/>
      <c r="AD6" s="4401"/>
      <c r="AE6" s="4401"/>
      <c r="AF6" s="4402"/>
      <c r="AG6" s="4400"/>
      <c r="AH6" s="4401"/>
      <c r="AI6" s="4401"/>
      <c r="AJ6" s="4401"/>
      <c r="AK6" s="4401"/>
      <c r="AL6" s="4401"/>
      <c r="AM6" s="4401"/>
      <c r="AN6" s="4401"/>
      <c r="AO6" s="4401"/>
      <c r="AP6" s="4401"/>
      <c r="AQ6" s="4401"/>
      <c r="AR6" s="4402"/>
      <c r="AS6" s="1225" t="s">
        <v>506</v>
      </c>
      <c r="AU6" s="435"/>
      <c r="AV6" s="435" t="str">
        <f t="shared" si="0"/>
        <v>Группа потребителей</v>
      </c>
      <c r="AW6" s="435"/>
      <c r="AX6" s="435"/>
      <c r="AY6" s="1073">
        <v>0</v>
      </c>
    </row>
    <row r="7" spans="1:51" ht="23.25" hidden="1" customHeight="1">
      <c r="A7" s="1281"/>
      <c r="B7" s="1281"/>
      <c r="C7" s="1281"/>
      <c r="D7" s="1281"/>
      <c r="E7" s="4413"/>
      <c r="F7" s="4413"/>
      <c r="G7" s="4413"/>
      <c r="H7" s="4413"/>
      <c r="I7" s="4415"/>
      <c r="J7" s="4415"/>
      <c r="K7" s="4414" t="e">
        <f>J6&amp;".1"</f>
        <v>#N/A</v>
      </c>
      <c r="L7" s="1282"/>
      <c r="P7" s="4416"/>
      <c r="Q7" s="4416"/>
      <c r="R7" s="292">
        <v>1</v>
      </c>
      <c r="S7" s="1411" t="e">
        <f>$K7</f>
        <v>#N/A</v>
      </c>
      <c r="T7" s="1355"/>
      <c r="U7" s="236"/>
      <c r="V7" s="686"/>
      <c r="W7" s="686"/>
      <c r="X7" s="686"/>
      <c r="Y7" s="686"/>
      <c r="Z7" s="686"/>
      <c r="AA7" s="686"/>
      <c r="AB7" s="1175"/>
      <c r="AC7" s="4417"/>
      <c r="AD7" s="4284" t="s">
        <v>65</v>
      </c>
      <c r="AE7" s="4417"/>
      <c r="AF7" s="4284" t="s">
        <v>65</v>
      </c>
      <c r="AG7" s="686"/>
      <c r="AH7" s="686"/>
      <c r="AI7" s="686"/>
      <c r="AJ7" s="686"/>
      <c r="AK7" s="686"/>
      <c r="AL7" s="686"/>
      <c r="AM7" s="1175"/>
      <c r="AN7" s="4417"/>
      <c r="AO7" s="4284" t="s">
        <v>65</v>
      </c>
      <c r="AP7" s="4419"/>
      <c r="AQ7" s="4284" t="s">
        <v>65</v>
      </c>
      <c r="AR7" s="1356"/>
      <c r="AS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4413"/>
      <c r="F8" s="4413"/>
      <c r="G8" s="4413"/>
      <c r="H8" s="4413"/>
      <c r="I8" s="4415"/>
      <c r="J8" s="4415"/>
      <c r="K8" s="4414"/>
      <c r="L8" s="1282"/>
      <c r="P8" s="4416"/>
      <c r="Q8" s="4416"/>
      <c r="R8" s="292"/>
      <c r="S8" s="1408"/>
      <c r="T8" s="236"/>
      <c r="U8" s="236"/>
      <c r="V8" s="261"/>
      <c r="W8" s="261"/>
      <c r="X8" s="261"/>
      <c r="Y8" s="261"/>
      <c r="Z8" s="261"/>
      <c r="AA8" s="261"/>
      <c r="AB8" s="264" t="str">
        <f>AC7&amp;"-"&amp;AE7</f>
        <v>-</v>
      </c>
      <c r="AC8" s="4418"/>
      <c r="AD8" s="4284"/>
      <c r="AE8" s="4418"/>
      <c r="AF8" s="4284"/>
      <c r="AG8" s="261"/>
      <c r="AH8" s="261"/>
      <c r="AI8" s="261"/>
      <c r="AJ8" s="261"/>
      <c r="AK8" s="261"/>
      <c r="AL8" s="261"/>
      <c r="AM8" s="264" t="str">
        <f>AN7&amp;"-"&amp;AP7</f>
        <v>-</v>
      </c>
      <c r="AN8" s="4418"/>
      <c r="AO8" s="4284"/>
      <c r="AP8" s="4420"/>
      <c r="AQ8" s="4284"/>
      <c r="AR8" s="1357"/>
      <c r="AS8" s="4486"/>
      <c r="AU8" s="435"/>
      <c r="AV8" s="435" t="str">
        <f t="shared" si="0"/>
        <v/>
      </c>
      <c r="AW8" s="435"/>
      <c r="AX8" s="435"/>
      <c r="AY8" s="1073">
        <v>0</v>
      </c>
    </row>
    <row r="9" spans="1:51" ht="21" hidden="1" customHeight="1">
      <c r="A9" s="1281"/>
      <c r="B9" s="1281"/>
      <c r="C9" s="1281"/>
      <c r="D9" s="1281"/>
      <c r="E9" s="4413"/>
      <c r="F9" s="4413"/>
      <c r="G9" s="4413"/>
      <c r="H9" s="4413"/>
      <c r="I9" s="4415"/>
      <c r="J9" s="4414"/>
      <c r="K9" s="1281"/>
      <c r="L9" s="1282"/>
      <c r="P9" s="4416"/>
      <c r="Q9" s="4416"/>
      <c r="R9" s="291"/>
      <c r="S9" s="1196"/>
      <c r="T9" s="223" t="s">
        <v>507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508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4413"/>
      <c r="F10" s="4413"/>
      <c r="G10" s="4413"/>
      <c r="H10" s="4413"/>
      <c r="I10" s="4414"/>
      <c r="J10" s="1281"/>
      <c r="K10" s="1281"/>
      <c r="L10" s="1282"/>
      <c r="P10" s="4416"/>
      <c r="Q10" s="1399"/>
      <c r="R10" s="291"/>
      <c r="S10" s="1196"/>
      <c r="T10" s="300" t="s">
        <v>433</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4413"/>
      <c r="F11" s="4413"/>
      <c r="G11" s="4413"/>
      <c r="H11" s="4412"/>
      <c r="I11" s="1281"/>
      <c r="J11" s="1281"/>
      <c r="K11" s="1281"/>
      <c r="L11" s="1282"/>
      <c r="M11" s="1283"/>
      <c r="N11" s="1283"/>
      <c r="O11" s="472"/>
      <c r="P11" s="295"/>
      <c r="Q11" s="310"/>
      <c r="R11" s="290"/>
      <c r="S11" s="1196"/>
      <c r="T11" s="307" t="s">
        <v>509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4140" customFormat="1" ht="14.25" hidden="1" customHeight="1">
      <c r="A12" s="1261"/>
      <c r="B12" s="1261"/>
      <c r="C12" s="1232"/>
      <c r="D12" s="1232"/>
      <c r="E12" s="4413"/>
      <c r="F12" s="4412"/>
      <c r="G12" s="1232"/>
      <c r="H12" s="1232"/>
      <c r="I12" s="1232"/>
      <c r="J12" s="1232"/>
      <c r="K12" s="1232"/>
      <c r="L12" s="1412"/>
      <c r="M12" s="1239"/>
      <c r="N12" s="1239"/>
      <c r="P12" s="1234"/>
      <c r="Q12" s="1235"/>
      <c r="R12" s="1234"/>
      <c r="S12" s="1240"/>
      <c r="T12" s="1243" t="s">
        <v>173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4140" customFormat="1" ht="14.25" hidden="1" customHeight="1">
      <c r="A13" s="1261"/>
      <c r="B13" s="1261"/>
      <c r="C13" s="1261"/>
      <c r="D13" s="1261"/>
      <c r="E13" s="4412"/>
      <c r="F13" s="1261"/>
      <c r="G13" s="1261"/>
      <c r="H13" s="1261"/>
      <c r="I13" s="1261"/>
      <c r="J13" s="1261"/>
      <c r="K13" s="1261"/>
      <c r="L13" s="1264"/>
      <c r="M13" s="1239"/>
      <c r="N13" s="1239"/>
      <c r="O13" s="453"/>
      <c r="P13" s="315"/>
      <c r="Q13" s="1262"/>
      <c r="R13" s="315"/>
      <c r="S13" s="1240"/>
      <c r="T13" s="1243" t="s">
        <v>174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4410"/>
      <c r="AO15" s="4409" t="s">
        <v>65</v>
      </c>
      <c r="AP15" s="4410"/>
      <c r="AQ15" s="4409" t="s">
        <v>65</v>
      </c>
      <c r="AY15" s="1073">
        <v>0</v>
      </c>
    </row>
    <row r="16" spans="1:51" ht="14.25" hidden="1" customHeight="1">
      <c r="AG16" s="1278"/>
      <c r="AH16" s="1278"/>
      <c r="AI16" s="1278"/>
      <c r="AJ16" s="1278"/>
      <c r="AK16" s="1278"/>
      <c r="AL16" s="1278"/>
      <c r="AM16" s="264" t="str">
        <f>AN15&amp;"-"&amp;AP15</f>
        <v>-</v>
      </c>
      <c r="AN16" s="4409"/>
      <c r="AO16" s="4409"/>
      <c r="AP16" s="4409"/>
      <c r="AQ16" s="4409"/>
      <c r="AY16" s="1073">
        <v>0</v>
      </c>
    </row>
    <row r="17" spans="1:51" ht="14.25" hidden="1" customHeight="1">
      <c r="AQ17" s="263"/>
      <c r="AY17" s="1073">
        <v>0</v>
      </c>
    </row>
    <row r="18" spans="1:51" s="4139" customFormat="1" ht="22.5" hidden="1" customHeight="1">
      <c r="L18" s="1396"/>
      <c r="M18" s="1280"/>
      <c r="N18" s="1280"/>
      <c r="O18" s="1285" t="s">
        <v>435</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4139"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4139" customFormat="1" ht="12" hidden="1" customHeight="1">
      <c r="L20" s="1396"/>
      <c r="M20" s="1280"/>
      <c r="N20" s="1280"/>
      <c r="O20" s="1282" t="s">
        <v>436</v>
      </c>
      <c r="P20" s="1280"/>
      <c r="Q20" s="1360"/>
      <c r="R20" s="1360"/>
      <c r="S20" s="664"/>
      <c r="T20" s="1078" t="s">
        <v>437</v>
      </c>
      <c r="W20" s="1284"/>
      <c r="X20" s="1284"/>
      <c r="Y20" s="1284"/>
      <c r="Z20" s="1284"/>
      <c r="AA20" s="1284"/>
      <c r="AD20" s="123" t="s">
        <v>438</v>
      </c>
      <c r="AF20" s="123" t="s">
        <v>439</v>
      </c>
      <c r="AG20" s="1078" t="s">
        <v>437</v>
      </c>
      <c r="AH20" s="1284"/>
      <c r="AI20" s="1284"/>
      <c r="AJ20" s="1284"/>
      <c r="AK20" s="1284"/>
      <c r="AL20" s="1284"/>
      <c r="AO20" s="123" t="s">
        <v>440</v>
      </c>
      <c r="AQ20" s="123" t="s">
        <v>439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43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393"/>
      <c r="U24" s="4393"/>
      <c r="V24" s="4393"/>
      <c r="W24" s="4393"/>
      <c r="X24" s="4393"/>
      <c r="Y24" s="4393"/>
      <c r="Z24" s="4393"/>
      <c r="AA24" s="4393"/>
      <c r="AB24" s="4393"/>
      <c r="AC24" s="4393"/>
      <c r="AD24" s="4393"/>
      <c r="AE24" s="4393"/>
      <c r="AF24" s="4393"/>
      <c r="AG24" s="4393"/>
      <c r="AH24" s="4393"/>
      <c r="AI24" s="4393"/>
      <c r="AJ24" s="4393"/>
      <c r="AK24" s="4393"/>
      <c r="AL24" s="4393"/>
      <c r="AM24" s="4393"/>
      <c r="AN24" s="4393"/>
      <c r="AO24" s="4393"/>
      <c r="AP24" s="4393"/>
      <c r="AQ24" s="1161"/>
      <c r="AY24" s="1073">
        <v>25</v>
      </c>
    </row>
    <row r="25" spans="1:51" ht="14.65" customHeight="1">
      <c r="Q25" s="311"/>
      <c r="R25" s="311"/>
      <c r="S25" s="4365" t="str">
        <f>IF(org=0,"Не определено",org)</f>
        <v>АО "Мурманэнергосбыт"</v>
      </c>
      <c r="T25" s="4365"/>
      <c r="U25" s="4365"/>
      <c r="V25" s="4365"/>
      <c r="W25" s="4365"/>
      <c r="X25" s="4365"/>
      <c r="Y25" s="4365"/>
      <c r="Z25" s="4365"/>
      <c r="AA25" s="4365"/>
      <c r="AB25" s="4365"/>
      <c r="AC25" s="4365"/>
      <c r="AD25" s="4365"/>
      <c r="AE25" s="4365"/>
      <c r="AF25" s="4365"/>
      <c r="AG25" s="4365"/>
      <c r="AH25" s="4365"/>
      <c r="AI25" s="4365"/>
      <c r="AJ25" s="4365"/>
      <c r="AK25" s="4365"/>
      <c r="AL25" s="4365"/>
      <c r="AM25" s="4365"/>
      <c r="AN25" s="4365"/>
      <c r="AO25" s="4365"/>
      <c r="AP25" s="4365"/>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4149" customFormat="1" ht="25.5" customHeight="1">
      <c r="A27" s="1286"/>
      <c r="B27" s="1286"/>
      <c r="C27" s="1286"/>
      <c r="D27" s="1286"/>
      <c r="E27" s="1286"/>
      <c r="F27" s="1286"/>
      <c r="G27" s="1286"/>
      <c r="H27" s="1286"/>
      <c r="I27" s="1286"/>
      <c r="J27" s="1286"/>
      <c r="K27" s="1286"/>
      <c r="L27" s="1287"/>
      <c r="M27" s="1286"/>
      <c r="N27" s="1286"/>
      <c r="O27" s="1286"/>
      <c r="S27" s="4403" t="s">
        <v>42</v>
      </c>
      <c r="T27" s="4403"/>
      <c r="U27" s="1290"/>
      <c r="V27" s="4405" t="str">
        <f>IF(TITLE_NAME_OR_PR_CHANGE="",IF(TITLE_NAME_OR_PR="","",TITLE_NAME_OR_PR),TITLE_NAME_OR_PR_CHANGE)</f>
        <v>Комитет по тарифному регулированию Мурманской области</v>
      </c>
      <c r="W27" s="4405"/>
      <c r="X27" s="4405"/>
      <c r="Y27" s="4405"/>
      <c r="Z27" s="4405"/>
      <c r="AA27" s="4405"/>
      <c r="AB27" s="4405"/>
      <c r="AC27" s="4405"/>
      <c r="AD27" s="4405"/>
      <c r="AE27" s="4405"/>
      <c r="AF27" s="262"/>
      <c r="AG27" s="4405" t="str">
        <f>IF(TITLE_NAME_OR_PR_CHANGE="",IF(TITLE_NAME_OR_PR="","",TITLE_NAME_OR_PR),TITLE_NAME_OR_PR_CHANGE)</f>
        <v>Комитет по тарифному регулированию Мурманской области</v>
      </c>
      <c r="AH27" s="4405"/>
      <c r="AI27" s="4405"/>
      <c r="AJ27" s="4405"/>
      <c r="AK27" s="4405"/>
      <c r="AL27" s="4405"/>
      <c r="AM27" s="4405"/>
      <c r="AN27" s="4405"/>
      <c r="AO27" s="4405"/>
      <c r="AP27" s="4405"/>
      <c r="AQ27" s="262"/>
      <c r="AR27" s="262"/>
      <c r="AS27" s="216"/>
      <c r="AT27" s="303"/>
      <c r="AU27" s="303"/>
      <c r="AV27" s="303"/>
      <c r="AW27" s="303"/>
      <c r="AX27" s="303"/>
      <c r="AY27" s="353">
        <v>0</v>
      </c>
    </row>
    <row r="28" spans="1:51" s="4149" customFormat="1" ht="18.75" customHeight="1">
      <c r="A28" s="1286"/>
      <c r="B28" s="1286"/>
      <c r="C28" s="1286"/>
      <c r="D28" s="1286"/>
      <c r="E28" s="1286"/>
      <c r="F28" s="1286"/>
      <c r="G28" s="1286"/>
      <c r="H28" s="1286"/>
      <c r="I28" s="1286"/>
      <c r="J28" s="1286"/>
      <c r="K28" s="1286"/>
      <c r="L28" s="1287"/>
      <c r="M28" s="1286"/>
      <c r="N28" s="1286"/>
      <c r="O28" s="1286"/>
      <c r="S28" s="4403" t="s">
        <v>441</v>
      </c>
      <c r="T28" s="4403"/>
      <c r="U28" s="1290"/>
      <c r="V28" s="4404">
        <f>IF(TITLE_DATE_PR_CHANGE="",IF(TITLE_DATE_PR="","",TITLE_DATE_PR),TITLE_DATE_PR_CHANGE)</f>
        <v>45646</v>
      </c>
      <c r="W28" s="4404"/>
      <c r="X28" s="4404"/>
      <c r="Y28" s="4404"/>
      <c r="Z28" s="4404"/>
      <c r="AA28" s="4404"/>
      <c r="AB28" s="4404"/>
      <c r="AC28" s="4404"/>
      <c r="AD28" s="4404"/>
      <c r="AE28" s="4404"/>
      <c r="AF28" s="262"/>
      <c r="AG28" s="4404">
        <f>IF(TITLE_DATE_PR_CHANGE="",IF(TITLE_DATE_PR="","",TITLE_DATE_PR),TITLE_DATE_PR_CHANGE)</f>
        <v>45646</v>
      </c>
      <c r="AH28" s="4404"/>
      <c r="AI28" s="4404"/>
      <c r="AJ28" s="4404"/>
      <c r="AK28" s="4404"/>
      <c r="AL28" s="4404"/>
      <c r="AM28" s="4404"/>
      <c r="AN28" s="4404"/>
      <c r="AO28" s="4404"/>
      <c r="AP28" s="4404"/>
      <c r="AQ28" s="262"/>
      <c r="AR28" s="262"/>
      <c r="AS28" s="216"/>
      <c r="AT28" s="303"/>
      <c r="AU28" s="303"/>
      <c r="AV28" s="303"/>
      <c r="AW28" s="303"/>
      <c r="AX28" s="303"/>
      <c r="AY28" s="353">
        <v>0</v>
      </c>
    </row>
    <row r="29" spans="1:51" s="4149" customFormat="1" ht="18.75" customHeight="1">
      <c r="A29" s="1286"/>
      <c r="B29" s="1286"/>
      <c r="C29" s="1286"/>
      <c r="D29" s="1286"/>
      <c r="E29" s="1286"/>
      <c r="F29" s="1286"/>
      <c r="G29" s="1286"/>
      <c r="H29" s="1286"/>
      <c r="I29" s="1286"/>
      <c r="J29" s="1286"/>
      <c r="K29" s="1286"/>
      <c r="L29" s="1287"/>
      <c r="M29" s="1286"/>
      <c r="N29" s="1286"/>
      <c r="O29" s="1286"/>
      <c r="S29" s="4403" t="s">
        <v>442</v>
      </c>
      <c r="T29" s="4403"/>
      <c r="U29" s="1290"/>
      <c r="V29" s="4405" t="str">
        <f>IF(TITLE_NUMBER_PR_CHANGE="",IF(TITLE_NUMBER_PR="","",TITLE_NUMBER_PR),TITLE_NUMBER_PR_CHANGE)</f>
        <v>51/110</v>
      </c>
      <c r="W29" s="4405"/>
      <c r="X29" s="4405"/>
      <c r="Y29" s="4405"/>
      <c r="Z29" s="4405"/>
      <c r="AA29" s="4405"/>
      <c r="AB29" s="4405"/>
      <c r="AC29" s="4405"/>
      <c r="AD29" s="4405"/>
      <c r="AE29" s="4405"/>
      <c r="AF29" s="262"/>
      <c r="AG29" s="4405" t="str">
        <f>IF(TITLE_NUMBER_PR_CHANGE="",IF(TITLE_NUMBER_PR="","",TITLE_NUMBER_PR),TITLE_NUMBER_PR_CHANGE)</f>
        <v>51/110</v>
      </c>
      <c r="AH29" s="4405"/>
      <c r="AI29" s="4405"/>
      <c r="AJ29" s="4405"/>
      <c r="AK29" s="4405"/>
      <c r="AL29" s="4405"/>
      <c r="AM29" s="4405"/>
      <c r="AN29" s="4405"/>
      <c r="AO29" s="4405"/>
      <c r="AP29" s="4405"/>
      <c r="AQ29" s="262"/>
      <c r="AR29" s="262"/>
      <c r="AS29" s="216"/>
      <c r="AT29" s="303"/>
      <c r="AU29" s="303"/>
      <c r="AV29" s="303"/>
      <c r="AW29" s="303"/>
      <c r="AX29" s="303"/>
      <c r="AY29" s="353">
        <v>0</v>
      </c>
    </row>
    <row r="30" spans="1:51" s="4149" customFormat="1" ht="18.75" customHeight="1">
      <c r="A30" s="1286"/>
      <c r="B30" s="1286"/>
      <c r="C30" s="1286"/>
      <c r="D30" s="1286"/>
      <c r="E30" s="1286"/>
      <c r="F30" s="1286"/>
      <c r="G30" s="1286"/>
      <c r="H30" s="1286"/>
      <c r="I30" s="1286"/>
      <c r="J30" s="1286"/>
      <c r="K30" s="1286"/>
      <c r="L30" s="1287"/>
      <c r="M30" s="1286"/>
      <c r="N30" s="1286"/>
      <c r="O30" s="1286"/>
      <c r="S30" s="4403" t="s">
        <v>44</v>
      </c>
      <c r="T30" s="4403"/>
      <c r="U30" s="1290"/>
      <c r="V30" s="4405" t="str">
        <f>IF(TITLE_IST_PUB_CHANGE="",IF(TITLE_IST_PUB="","",TITLE_IST_PUB),TITLE_IST_PUB_CHANGE)</f>
        <v>https://npa.gov-murman.ru/bitrix/components/b1team/govmurman.element.file/download.php?ID=537820&amp;FID=814582</v>
      </c>
      <c r="W30" s="4405"/>
      <c r="X30" s="4405"/>
      <c r="Y30" s="4405"/>
      <c r="Z30" s="4405"/>
      <c r="AA30" s="4405"/>
      <c r="AB30" s="4405"/>
      <c r="AC30" s="4405"/>
      <c r="AD30" s="4405"/>
      <c r="AE30" s="4405"/>
      <c r="AF30" s="262"/>
      <c r="AG30" s="4405" t="str">
        <f>IF(TITLE_IST_PUB_CHANGE="",IF(TITLE_IST_PUB="","",TITLE_IST_PUB),TITLE_IST_PUB_CHANGE)</f>
        <v>https://npa.gov-murman.ru/bitrix/components/b1team/govmurman.element.file/download.php?ID=537820&amp;FID=814582</v>
      </c>
      <c r="AH30" s="4405"/>
      <c r="AI30" s="4405"/>
      <c r="AJ30" s="4405"/>
      <c r="AK30" s="4405"/>
      <c r="AL30" s="4405"/>
      <c r="AM30" s="4405"/>
      <c r="AN30" s="4405"/>
      <c r="AO30" s="4405"/>
      <c r="AP30" s="440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4149" customFormat="1" ht="18.75" hidden="1" customHeight="1">
      <c r="A32" s="1286"/>
      <c r="B32" s="1286"/>
      <c r="C32" s="1286"/>
      <c r="D32" s="1286"/>
      <c r="E32" s="1286"/>
      <c r="F32" s="1286"/>
      <c r="G32" s="1286"/>
      <c r="H32" s="1286"/>
      <c r="I32" s="1286"/>
      <c r="J32" s="1286"/>
      <c r="K32" s="1286"/>
      <c r="L32" s="1287"/>
      <c r="M32" s="1286"/>
      <c r="N32" s="1286"/>
      <c r="O32" s="1286"/>
      <c r="S32" s="4403" t="s">
        <v>443</v>
      </c>
      <c r="T32" s="4403"/>
      <c r="U32" s="1290"/>
      <c r="V32" s="4404">
        <f>IF(TITLE_DATE_PR_CHANGE="",IF(TITLE_DATE_PR="","",TITLE_DATE_PR),TITLE_DATE_PR_CHANGE)</f>
        <v>45646</v>
      </c>
      <c r="W32" s="4404"/>
      <c r="X32" s="4404"/>
      <c r="Y32" s="4404"/>
      <c r="Z32" s="4404"/>
      <c r="AA32" s="4404"/>
      <c r="AB32" s="4404"/>
      <c r="AC32" s="4404"/>
      <c r="AD32" s="4404"/>
      <c r="AE32" s="4404"/>
      <c r="AF32" s="262"/>
      <c r="AG32" s="4404">
        <f>IF(TITLE_DATE_PR_CHANGE="",IF(TITLE_DATE_PR="","",TITLE_DATE_PR),TITLE_DATE_PR_CHANGE)</f>
        <v>45646</v>
      </c>
      <c r="AH32" s="4404"/>
      <c r="AI32" s="4404"/>
      <c r="AJ32" s="4404"/>
      <c r="AK32" s="4404"/>
      <c r="AL32" s="4404"/>
      <c r="AM32" s="4404"/>
      <c r="AN32" s="4404"/>
      <c r="AO32" s="4404"/>
      <c r="AP32" s="4404"/>
      <c r="AQ32" s="262"/>
      <c r="AR32" s="262"/>
      <c r="AS32" s="216"/>
      <c r="AT32" s="303"/>
      <c r="AU32" s="303"/>
      <c r="AV32" s="303"/>
      <c r="AW32" s="303"/>
      <c r="AX32" s="303"/>
      <c r="AY32" s="353">
        <v>0</v>
      </c>
    </row>
    <row r="33" spans="1:51" s="4149" customFormat="1" ht="18.75" hidden="1" customHeight="1">
      <c r="A33" s="1286"/>
      <c r="B33" s="1286"/>
      <c r="C33" s="1286"/>
      <c r="D33" s="1286"/>
      <c r="E33" s="1286"/>
      <c r="F33" s="1286"/>
      <c r="G33" s="1286"/>
      <c r="H33" s="1286"/>
      <c r="I33" s="1286"/>
      <c r="J33" s="1286"/>
      <c r="K33" s="1286"/>
      <c r="L33" s="1287"/>
      <c r="M33" s="1286"/>
      <c r="N33" s="1286"/>
      <c r="O33" s="1286"/>
      <c r="S33" s="4403" t="s">
        <v>444</v>
      </c>
      <c r="T33" s="4403"/>
      <c r="U33" s="1290"/>
      <c r="V33" s="4405" t="str">
        <f>IF(TITLE_NUMBER_PR_CHANGE="",IF(TITLE_NUMBER_PR="","",TITLE_NUMBER_PR),TITLE_NUMBER_PR_CHANGE)</f>
        <v>51/110</v>
      </c>
      <c r="W33" s="4405"/>
      <c r="X33" s="4405"/>
      <c r="Y33" s="4405"/>
      <c r="Z33" s="4405"/>
      <c r="AA33" s="4405"/>
      <c r="AB33" s="4405"/>
      <c r="AC33" s="4405"/>
      <c r="AD33" s="4405"/>
      <c r="AE33" s="4405"/>
      <c r="AF33" s="262"/>
      <c r="AG33" s="4405" t="str">
        <f>IF(TITLE_NUMBER_PR_CHANGE="",IF(TITLE_NUMBER_PR="","",TITLE_NUMBER_PR),TITLE_NUMBER_PR_CHANGE)</f>
        <v>51/110</v>
      </c>
      <c r="AH33" s="4405"/>
      <c r="AI33" s="4405"/>
      <c r="AJ33" s="4405"/>
      <c r="AK33" s="4405"/>
      <c r="AL33" s="4405"/>
      <c r="AM33" s="4405"/>
      <c r="AN33" s="4405"/>
      <c r="AO33" s="4405"/>
      <c r="AP33" s="4405"/>
      <c r="AQ33" s="262"/>
      <c r="AR33" s="262"/>
      <c r="AS33" s="216"/>
      <c r="AT33" s="303"/>
      <c r="AU33" s="303"/>
      <c r="AV33" s="303"/>
      <c r="AW33" s="303"/>
      <c r="AX33" s="303"/>
      <c r="AY33" s="353">
        <v>0</v>
      </c>
    </row>
    <row r="34" spans="1:51" s="4149"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445</v>
      </c>
      <c r="AG34" s="262"/>
      <c r="AH34" s="1553"/>
      <c r="AI34" s="1553"/>
      <c r="AJ34" s="1553"/>
      <c r="AK34" s="1553"/>
      <c r="AL34" s="1553"/>
      <c r="AM34" s="262"/>
      <c r="AN34" s="262"/>
      <c r="AO34" s="262"/>
      <c r="AP34" s="262"/>
      <c r="AQ34" s="214" t="s">
        <v>445</v>
      </c>
      <c r="AT34" s="303"/>
      <c r="AU34" s="303"/>
      <c r="AV34" s="303"/>
      <c r="AW34" s="303"/>
      <c r="AX34" s="303"/>
      <c r="AY34" s="353">
        <v>1</v>
      </c>
    </row>
    <row r="35" spans="1:51" ht="14.65" customHeight="1">
      <c r="Q35" s="311"/>
      <c r="R35" s="311"/>
      <c r="S35" s="1193"/>
      <c r="T35" s="298"/>
      <c r="U35" s="1162"/>
      <c r="V35" s="4424"/>
      <c r="W35" s="4424"/>
      <c r="X35" s="4424"/>
      <c r="Y35" s="4424"/>
      <c r="Z35" s="4424"/>
      <c r="AA35" s="4424"/>
      <c r="AB35" s="4424"/>
      <c r="AC35" s="4424"/>
      <c r="AD35" s="4424"/>
      <c r="AE35" s="4424"/>
      <c r="AF35" s="4424"/>
      <c r="AG35" s="4424"/>
      <c r="AH35" s="4424"/>
      <c r="AI35" s="4424"/>
      <c r="AJ35" s="4424"/>
      <c r="AK35" s="4424"/>
      <c r="AL35" s="4424"/>
      <c r="AM35" s="4424"/>
      <c r="AN35" s="4424"/>
      <c r="AO35" s="4424"/>
      <c r="AP35" s="4424"/>
      <c r="AQ35" s="4424"/>
      <c r="AY35" s="1073">
        <v>14</v>
      </c>
    </row>
    <row r="36" spans="1:51" ht="14.65" customHeight="1">
      <c r="Q36" s="311"/>
      <c r="R36" s="311"/>
      <c r="S36" s="4274" t="s">
        <v>321</v>
      </c>
      <c r="T36" s="4274"/>
      <c r="U36" s="4274"/>
      <c r="V36" s="4274"/>
      <c r="W36" s="4274"/>
      <c r="X36" s="4274"/>
      <c r="Y36" s="4274"/>
      <c r="Z36" s="4274"/>
      <c r="AA36" s="4274"/>
      <c r="AB36" s="4274"/>
      <c r="AC36" s="4274"/>
      <c r="AD36" s="4274"/>
      <c r="AE36" s="4274"/>
      <c r="AF36" s="4274"/>
      <c r="AG36" s="4274"/>
      <c r="AH36" s="4274"/>
      <c r="AI36" s="4274"/>
      <c r="AJ36" s="4274"/>
      <c r="AK36" s="4274"/>
      <c r="AL36" s="4274"/>
      <c r="AM36" s="4274"/>
      <c r="AN36" s="4274"/>
      <c r="AO36" s="4274"/>
      <c r="AP36" s="4274"/>
      <c r="AQ36" s="4274"/>
      <c r="AR36" s="4274"/>
      <c r="AS36" s="4274" t="s">
        <v>322</v>
      </c>
      <c r="AY36" s="1073">
        <v>14</v>
      </c>
    </row>
    <row r="37" spans="1:51" ht="14.65" customHeight="1">
      <c r="Q37" s="311"/>
      <c r="R37" s="311"/>
      <c r="S37" s="4425" t="s">
        <v>92</v>
      </c>
      <c r="T37" s="4373" t="s">
        <v>446</v>
      </c>
      <c r="U37" s="237"/>
      <c r="V37" s="4426" t="s">
        <v>447</v>
      </c>
      <c r="W37" s="4427"/>
      <c r="X37" s="4427"/>
      <c r="Y37" s="4427"/>
      <c r="Z37" s="4427"/>
      <c r="AA37" s="4427"/>
      <c r="AB37" s="4427"/>
      <c r="AC37" s="4427"/>
      <c r="AD37" s="4427"/>
      <c r="AE37" s="4428"/>
      <c r="AF37" s="4429" t="s">
        <v>448</v>
      </c>
      <c r="AG37" s="4426" t="s">
        <v>447</v>
      </c>
      <c r="AH37" s="4427"/>
      <c r="AI37" s="4427"/>
      <c r="AJ37" s="4427"/>
      <c r="AK37" s="4427"/>
      <c r="AL37" s="4427"/>
      <c r="AM37" s="4427"/>
      <c r="AN37" s="4427"/>
      <c r="AO37" s="4427"/>
      <c r="AP37" s="4428"/>
      <c r="AQ37" s="4429" t="s">
        <v>449</v>
      </c>
      <c r="AR37" s="4432" t="s">
        <v>450</v>
      </c>
      <c r="AS37" s="4274"/>
      <c r="AY37" s="1073">
        <v>14</v>
      </c>
    </row>
    <row r="38" spans="1:51" s="4133"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4425"/>
      <c r="T38" s="4373"/>
      <c r="U38" s="953"/>
      <c r="V38" s="4274" t="s">
        <v>553</v>
      </c>
      <c r="W38" s="4496" t="s">
        <v>554</v>
      </c>
      <c r="X38" s="4496"/>
      <c r="Y38" s="4496"/>
      <c r="Z38" s="4496" t="s">
        <v>555</v>
      </c>
      <c r="AA38" s="4496"/>
      <c r="AB38" s="4496"/>
      <c r="AC38" s="4346" t="s">
        <v>454</v>
      </c>
      <c r="AD38" s="4454"/>
      <c r="AE38" s="4347"/>
      <c r="AF38" s="4430"/>
      <c r="AG38" s="4274" t="s">
        <v>553</v>
      </c>
      <c r="AH38" s="4496" t="s">
        <v>554</v>
      </c>
      <c r="AI38" s="4496"/>
      <c r="AJ38" s="4496"/>
      <c r="AK38" s="4496" t="s">
        <v>555</v>
      </c>
      <c r="AL38" s="4496"/>
      <c r="AM38" s="4496"/>
      <c r="AN38" s="4346" t="s">
        <v>454</v>
      </c>
      <c r="AO38" s="4454"/>
      <c r="AP38" s="4347"/>
      <c r="AQ38" s="4430"/>
      <c r="AR38" s="4433"/>
      <c r="AS38" s="4274"/>
      <c r="AT38" s="1554"/>
      <c r="AU38" s="1554"/>
      <c r="AV38" s="1554"/>
      <c r="AW38" s="1554"/>
      <c r="AX38" s="1554"/>
      <c r="AY38" s="1549">
        <v>19</v>
      </c>
    </row>
    <row r="39" spans="1:51" ht="19.899999999999999" customHeight="1">
      <c r="Q39" s="311"/>
      <c r="R39" s="311"/>
      <c r="S39" s="4425"/>
      <c r="T39" s="4373"/>
      <c r="U39" s="953"/>
      <c r="V39" s="4274"/>
      <c r="W39" s="4496" t="s">
        <v>556</v>
      </c>
      <c r="X39" s="4496" t="s">
        <v>557</v>
      </c>
      <c r="Y39" s="4496"/>
      <c r="Z39" s="4496" t="s">
        <v>558</v>
      </c>
      <c r="AA39" s="4496" t="s">
        <v>557</v>
      </c>
      <c r="AB39" s="4496"/>
      <c r="AC39" s="4351"/>
      <c r="AD39" s="4455"/>
      <c r="AE39" s="4352"/>
      <c r="AF39" s="4430"/>
      <c r="AG39" s="4274"/>
      <c r="AH39" s="4496" t="s">
        <v>556</v>
      </c>
      <c r="AI39" s="4496" t="s">
        <v>557</v>
      </c>
      <c r="AJ39" s="4496"/>
      <c r="AK39" s="4496" t="s">
        <v>558</v>
      </c>
      <c r="AL39" s="4496" t="s">
        <v>557</v>
      </c>
      <c r="AM39" s="4496"/>
      <c r="AN39" s="4351"/>
      <c r="AO39" s="4455"/>
      <c r="AP39" s="4352"/>
      <c r="AQ39" s="4430"/>
      <c r="AR39" s="4433"/>
      <c r="AS39" s="4274"/>
      <c r="AY39" s="1073">
        <v>19</v>
      </c>
    </row>
    <row r="40" spans="1:51" ht="61.9" customHeight="1">
      <c r="A40" s="1288"/>
      <c r="B40" s="1288" t="s">
        <v>138</v>
      </c>
      <c r="C40" s="1288" t="s">
        <v>139</v>
      </c>
      <c r="D40" s="1288" t="s">
        <v>140</v>
      </c>
      <c r="E40" s="1282" t="s">
        <v>455</v>
      </c>
      <c r="F40" s="1282" t="s">
        <v>456</v>
      </c>
      <c r="G40" s="1282" t="s">
        <v>457</v>
      </c>
      <c r="H40" s="1282"/>
      <c r="I40" s="1282" t="s">
        <v>511</v>
      </c>
      <c r="J40" s="1282" t="s">
        <v>460</v>
      </c>
      <c r="K40" s="1282" t="s">
        <v>512</v>
      </c>
      <c r="L40" s="1282" t="s">
        <v>436</v>
      </c>
      <c r="Q40" s="311"/>
      <c r="R40" s="311"/>
      <c r="S40" s="4425"/>
      <c r="T40" s="4373"/>
      <c r="U40" s="238"/>
      <c r="V40" s="4274"/>
      <c r="W40" s="4496"/>
      <c r="X40" s="1895" t="s">
        <v>559</v>
      </c>
      <c r="Y40" s="1895" t="s">
        <v>560</v>
      </c>
      <c r="Z40" s="4496"/>
      <c r="AA40" s="1895" t="s">
        <v>561</v>
      </c>
      <c r="AB40" s="1895" t="s">
        <v>562</v>
      </c>
      <c r="AC40" s="1407" t="s">
        <v>464</v>
      </c>
      <c r="AD40" s="4378" t="s">
        <v>465</v>
      </c>
      <c r="AE40" s="4392"/>
      <c r="AF40" s="4431"/>
      <c r="AG40" s="4274"/>
      <c r="AH40" s="4496"/>
      <c r="AI40" s="1895" t="s">
        <v>559</v>
      </c>
      <c r="AJ40" s="1895" t="s">
        <v>560</v>
      </c>
      <c r="AK40" s="4496"/>
      <c r="AL40" s="1895" t="s">
        <v>561</v>
      </c>
      <c r="AM40" s="1895" t="s">
        <v>562</v>
      </c>
      <c r="AN40" s="1407" t="s">
        <v>464</v>
      </c>
      <c r="AO40" s="4378" t="s">
        <v>465</v>
      </c>
      <c r="AP40" s="4392"/>
      <c r="AQ40" s="4431"/>
      <c r="AR40" s="4434"/>
      <c r="AS40" s="4274"/>
      <c r="AY40" s="1073">
        <v>59</v>
      </c>
    </row>
    <row r="41" spans="1:51" s="416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114</v>
      </c>
      <c r="U41" s="1163" t="str">
        <f ca="1">OFFSET(U41,0,-1)</f>
        <v>2</v>
      </c>
      <c r="V41" s="1400">
        <f ca="1">OFFSET(V41,0,-1)+1</f>
        <v>3</v>
      </c>
      <c r="W41" s="1891"/>
      <c r="X41" s="1891"/>
      <c r="Y41" s="1891"/>
      <c r="Z41" s="1891"/>
      <c r="AA41" s="1891"/>
      <c r="AB41" s="1400">
        <f ca="1">OFFSET(AB41,0,-1)+1</f>
        <v>1</v>
      </c>
      <c r="AC41" s="1400">
        <f ca="1">OFFSET(AC41,0,-1)+1</f>
        <v>2</v>
      </c>
      <c r="AD41" s="4423">
        <f ca="1">OFFSET(AD41,0,-1)+1</f>
        <v>3</v>
      </c>
      <c r="AE41" s="4423"/>
      <c r="AF41" s="1400">
        <f ca="1">OFFSET(AF41,0,-2)+1</f>
        <v>4</v>
      </c>
      <c r="AG41" s="1400">
        <f ca="1">OFFSET(AG41,0,-1)+1</f>
        <v>5</v>
      </c>
      <c r="AH41" s="1891"/>
      <c r="AI41" s="1891"/>
      <c r="AJ41" s="1891"/>
      <c r="AK41" s="1891"/>
      <c r="AL41" s="1891"/>
      <c r="AM41" s="1400">
        <f ca="1">OFFSET(AM41,0,-1)+1</f>
        <v>1</v>
      </c>
      <c r="AN41" s="1400">
        <f ca="1">OFFSET(AN41,0,-1)+1</f>
        <v>2</v>
      </c>
      <c r="AO41" s="4423">
        <f ca="1">OFFSET(AO41,0,-1)+1</f>
        <v>3</v>
      </c>
      <c r="AP41" s="4423"/>
      <c r="AQ41" s="1400">
        <f ca="1">OFFSET(AQ41,0,-2)+1</f>
        <v>4</v>
      </c>
      <c r="AR41" s="1163">
        <f ca="1">OFFSET(AR41,0,-1)</f>
        <v>4</v>
      </c>
      <c r="AS41" s="1400">
        <f ca="1">OFFSET(AS41,0,-1)+1</f>
        <v>5</v>
      </c>
      <c r="AT41" s="446"/>
      <c r="AU41" s="446"/>
      <c r="AV41" s="446"/>
      <c r="AW41" s="446"/>
      <c r="AX41" s="446"/>
      <c r="AY41" s="431">
        <v>0</v>
      </c>
    </row>
    <row r="42" spans="1:51" ht="24" customHeight="1">
      <c r="A42" s="1281" t="s">
        <v>277</v>
      </c>
      <c r="B42" s="1281"/>
      <c r="C42" s="1281"/>
      <c r="D42" s="1281"/>
      <c r="E42" s="441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126</v>
      </c>
      <c r="U42" s="236"/>
      <c r="V42" s="4406"/>
      <c r="W42" s="4407"/>
      <c r="X42" s="4407"/>
      <c r="Y42" s="4407"/>
      <c r="Z42" s="4407"/>
      <c r="AA42" s="4407"/>
      <c r="AB42" s="4407"/>
      <c r="AC42" s="4407"/>
      <c r="AD42" s="4407"/>
      <c r="AE42" s="4407"/>
      <c r="AF42" s="4408"/>
      <c r="AG42" s="4406" t="str">
        <f>INDEX(PT_DIFFERENTIATION_NTAR,MATCH(A42,PT_DIFFERENTIATION_NTAR_ID,0))</f>
        <v/>
      </c>
      <c r="AH42" s="4407"/>
      <c r="AI42" s="4407"/>
      <c r="AJ42" s="4407"/>
      <c r="AK42" s="4407"/>
      <c r="AL42" s="4407"/>
      <c r="AM42" s="4407"/>
      <c r="AN42" s="4407"/>
      <c r="AO42" s="4407"/>
      <c r="AP42" s="4407"/>
      <c r="AQ42" s="4407"/>
      <c r="AR42" s="440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277</v>
      </c>
      <c r="B43" s="1281" t="s">
        <v>278</v>
      </c>
      <c r="C43" s="1281"/>
      <c r="D43" s="1281"/>
      <c r="E43" s="4413"/>
      <c r="F43" s="4412">
        <v>1</v>
      </c>
      <c r="G43" s="1281"/>
      <c r="H43" s="1281"/>
      <c r="I43" s="1281"/>
      <c r="J43" s="1281"/>
      <c r="K43" s="1281"/>
      <c r="L43" s="1282"/>
      <c r="M43" s="1283"/>
      <c r="N43" s="1283"/>
      <c r="O43" s="1283"/>
      <c r="P43" s="1405"/>
      <c r="Q43" s="287"/>
      <c r="R43" s="288"/>
      <c r="S43" s="1411" t="str">
        <f>INDEX(PT_DIFFERENTIATION_NUM_TER,MATCH(B43,PT_DIFFERENTIATION_TER_ID,0))</f>
        <v>.</v>
      </c>
      <c r="T43" s="244" t="s">
        <v>418</v>
      </c>
      <c r="U43" s="236"/>
      <c r="V43" s="4406"/>
      <c r="W43" s="4407"/>
      <c r="X43" s="4407"/>
      <c r="Y43" s="4407"/>
      <c r="Z43" s="4407"/>
      <c r="AA43" s="4407"/>
      <c r="AB43" s="4407"/>
      <c r="AC43" s="4407"/>
      <c r="AD43" s="4407"/>
      <c r="AE43" s="4407"/>
      <c r="AF43" s="4408"/>
      <c r="AG43" s="4406" t="str">
        <f>INDEX(PT_DIFFERENTIATION_TER,MATCH(B43,PT_DIFFERENTIATION_TER_ID,0))</f>
        <v/>
      </c>
      <c r="AH43" s="4407"/>
      <c r="AI43" s="4407"/>
      <c r="AJ43" s="4407"/>
      <c r="AK43" s="4407"/>
      <c r="AL43" s="4407"/>
      <c r="AM43" s="4407"/>
      <c r="AN43" s="4407"/>
      <c r="AO43" s="4407"/>
      <c r="AP43" s="4407"/>
      <c r="AQ43" s="4407"/>
      <c r="AR43" s="4408"/>
      <c r="AS43" s="1176" t="s">
        <v>419</v>
      </c>
      <c r="AU43" s="435"/>
      <c r="AV43" s="435" t="str">
        <f t="shared" si="1"/>
        <v>Территория действия тарифа</v>
      </c>
      <c r="AW43" s="435"/>
      <c r="AX43" s="435"/>
      <c r="AY43" s="1073">
        <v>23</v>
      </c>
    </row>
    <row r="44" spans="1:51" ht="24" customHeight="1">
      <c r="A44" s="1281" t="s">
        <v>277</v>
      </c>
      <c r="B44" s="1281" t="s">
        <v>278</v>
      </c>
      <c r="C44" s="1281" t="s">
        <v>279</v>
      </c>
      <c r="D44" s="1281"/>
      <c r="E44" s="4413"/>
      <c r="F44" s="4413"/>
      <c r="G44" s="4412">
        <v>1</v>
      </c>
      <c r="H44" s="1281"/>
      <c r="I44" s="1281"/>
      <c r="J44" s="1281"/>
      <c r="K44" s="1281"/>
      <c r="L44" s="1282"/>
      <c r="M44" s="1283"/>
      <c r="N44" s="1283"/>
      <c r="O44" s="1283"/>
      <c r="P44" s="289"/>
      <c r="Q44" s="287"/>
      <c r="R44" s="288"/>
      <c r="S44" s="1411" t="str">
        <f>INDEX(PT_DIFFERENTIATION_NUM_CS,MATCH(C44,PT_DIFFERENTIATION_CS_ID,0))</f>
        <v>..</v>
      </c>
      <c r="T44" s="245" t="s">
        <v>551</v>
      </c>
      <c r="U44" s="236"/>
      <c r="V44" s="4406"/>
      <c r="W44" s="4407"/>
      <c r="X44" s="4407"/>
      <c r="Y44" s="4407"/>
      <c r="Z44" s="4407"/>
      <c r="AA44" s="4407"/>
      <c r="AB44" s="4407"/>
      <c r="AC44" s="4407"/>
      <c r="AD44" s="4407"/>
      <c r="AE44" s="4407"/>
      <c r="AF44" s="4408"/>
      <c r="AG44" s="4406" t="str">
        <f>INDEX(PT_DIFFERENTIATION_CS,MATCH(C44,PT_DIFFERENTIATION_CS_ID,0))</f>
        <v/>
      </c>
      <c r="AH44" s="4407"/>
      <c r="AI44" s="4407"/>
      <c r="AJ44" s="4407"/>
      <c r="AK44" s="4407"/>
      <c r="AL44" s="4407"/>
      <c r="AM44" s="4407"/>
      <c r="AN44" s="4407"/>
      <c r="AO44" s="4407"/>
      <c r="AP44" s="4407"/>
      <c r="AQ44" s="4407"/>
      <c r="AR44" s="4408"/>
      <c r="AS44" s="1176" t="s">
        <v>552</v>
      </c>
      <c r="AU44" s="435"/>
      <c r="AV44" s="435" t="str">
        <f t="shared" si="1"/>
        <v>Наименование централизованной системы горячего водоснабжения</v>
      </c>
      <c r="AW44" s="435"/>
      <c r="AX44" s="435"/>
      <c r="AY44" s="1073">
        <v>23</v>
      </c>
    </row>
    <row r="45" spans="1:51" ht="24" customHeight="1">
      <c r="A45" s="1281" t="s">
        <v>277</v>
      </c>
      <c r="B45" s="1281" t="s">
        <v>278</v>
      </c>
      <c r="C45" s="1281" t="s">
        <v>279</v>
      </c>
      <c r="D45" s="1281" t="s">
        <v>564</v>
      </c>
      <c r="E45" s="4413"/>
      <c r="F45" s="4413"/>
      <c r="G45" s="4413"/>
      <c r="H45" s="4413"/>
      <c r="I45" s="4414" t="str">
        <f>S44&amp;".1"</f>
        <v>...1</v>
      </c>
      <c r="J45" s="1281"/>
      <c r="K45" s="1281"/>
      <c r="L45" s="1282"/>
      <c r="P45" s="4416">
        <v>1</v>
      </c>
      <c r="Q45" s="1399"/>
      <c r="R45" s="291"/>
      <c r="S45" s="1411" t="str">
        <f>$I45</f>
        <v>...1</v>
      </c>
      <c r="T45" s="221" t="s">
        <v>504</v>
      </c>
      <c r="U45" s="236"/>
      <c r="V45" s="4480"/>
      <c r="W45" s="4481"/>
      <c r="X45" s="4481"/>
      <c r="Y45" s="4481"/>
      <c r="Z45" s="4481"/>
      <c r="AA45" s="4481"/>
      <c r="AB45" s="4481"/>
      <c r="AC45" s="4481"/>
      <c r="AD45" s="4481"/>
      <c r="AE45" s="4481"/>
      <c r="AF45" s="4482"/>
      <c r="AG45" s="4483"/>
      <c r="AH45" s="4484"/>
      <c r="AI45" s="4484"/>
      <c r="AJ45" s="4484"/>
      <c r="AK45" s="4484"/>
      <c r="AL45" s="4484"/>
      <c r="AM45" s="4484"/>
      <c r="AN45" s="4484"/>
      <c r="AO45" s="4484"/>
      <c r="AP45" s="4484"/>
      <c r="AQ45" s="4484"/>
      <c r="AR45" s="4485"/>
      <c r="AS45" s="1176" t="s">
        <v>505</v>
      </c>
      <c r="AU45" s="435"/>
      <c r="AV45" s="435" t="str">
        <f t="shared" si="1"/>
        <v>Наименование признака дифференциации</v>
      </c>
      <c r="AW45" s="435"/>
      <c r="AX45" s="435"/>
      <c r="AY45" s="1073">
        <v>23</v>
      </c>
    </row>
    <row r="46" spans="1:51" ht="24" customHeight="1">
      <c r="A46" s="1281" t="s">
        <v>277</v>
      </c>
      <c r="B46" s="1281" t="s">
        <v>278</v>
      </c>
      <c r="C46" s="1281" t="s">
        <v>279</v>
      </c>
      <c r="D46" s="1281" t="s">
        <v>564</v>
      </c>
      <c r="E46" s="4413"/>
      <c r="F46" s="4413"/>
      <c r="G46" s="4413"/>
      <c r="H46" s="4413"/>
      <c r="I46" s="4415"/>
      <c r="J46" s="4414" t="str">
        <f>I45&amp;".1"</f>
        <v>...1.1</v>
      </c>
      <c r="K46" s="1281"/>
      <c r="L46" s="1282" t="s">
        <v>427</v>
      </c>
      <c r="P46" s="4416"/>
      <c r="Q46" s="4416">
        <v>1</v>
      </c>
      <c r="R46" s="292"/>
      <c r="S46" s="1411" t="str">
        <f>$J46</f>
        <v>...1.1</v>
      </c>
      <c r="T46" s="222" t="s">
        <v>428</v>
      </c>
      <c r="U46" s="236"/>
      <c r="V46" s="4400"/>
      <c r="W46" s="4401"/>
      <c r="X46" s="4401"/>
      <c r="Y46" s="4401"/>
      <c r="Z46" s="4401"/>
      <c r="AA46" s="4401"/>
      <c r="AB46" s="4401"/>
      <c r="AC46" s="4401"/>
      <c r="AD46" s="4401"/>
      <c r="AE46" s="4401"/>
      <c r="AF46" s="4402"/>
      <c r="AG46" s="4400"/>
      <c r="AH46" s="4401"/>
      <c r="AI46" s="4401"/>
      <c r="AJ46" s="4401"/>
      <c r="AK46" s="4401"/>
      <c r="AL46" s="4401"/>
      <c r="AM46" s="4401"/>
      <c r="AN46" s="4401"/>
      <c r="AO46" s="4401"/>
      <c r="AP46" s="4401"/>
      <c r="AQ46" s="4401"/>
      <c r="AR46" s="4402"/>
      <c r="AS46" s="1225" t="s">
        <v>506</v>
      </c>
      <c r="AU46" s="435"/>
      <c r="AV46" s="435" t="str">
        <f t="shared" si="1"/>
        <v>Группа потребителей</v>
      </c>
      <c r="AW46" s="435"/>
      <c r="AX46" s="435"/>
      <c r="AY46" s="1073">
        <v>23</v>
      </c>
    </row>
    <row r="47" spans="1:51" ht="24" customHeight="1">
      <c r="A47" s="1281" t="s">
        <v>277</v>
      </c>
      <c r="B47" s="1281" t="s">
        <v>278</v>
      </c>
      <c r="C47" s="1281" t="s">
        <v>279</v>
      </c>
      <c r="D47" s="1281" t="s">
        <v>564</v>
      </c>
      <c r="E47" s="4413"/>
      <c r="F47" s="4413"/>
      <c r="G47" s="4413"/>
      <c r="H47" s="4413"/>
      <c r="I47" s="4415"/>
      <c r="J47" s="4415"/>
      <c r="K47" s="4414" t="str">
        <f>J46&amp;".1"</f>
        <v>...1.1.1</v>
      </c>
      <c r="L47" s="1282"/>
      <c r="P47" s="4416"/>
      <c r="Q47" s="4416"/>
      <c r="R47" s="292">
        <v>1</v>
      </c>
      <c r="S47" s="1411" t="str">
        <f>$K47</f>
        <v>...1.1.1</v>
      </c>
      <c r="T47" s="1355"/>
      <c r="U47" s="236"/>
      <c r="V47" s="1278"/>
      <c r="W47" s="1278"/>
      <c r="X47" s="1278"/>
      <c r="Y47" s="1278"/>
      <c r="Z47" s="1278"/>
      <c r="AA47" s="1278"/>
      <c r="AB47" s="1279"/>
      <c r="AC47" s="4410"/>
      <c r="AD47" s="4409" t="s">
        <v>65</v>
      </c>
      <c r="AE47" s="4410"/>
      <c r="AF47" s="4409" t="s">
        <v>65</v>
      </c>
      <c r="AG47" s="686"/>
      <c r="AH47" s="686"/>
      <c r="AI47" s="686"/>
      <c r="AJ47" s="686"/>
      <c r="AK47" s="686"/>
      <c r="AL47" s="686"/>
      <c r="AM47" s="1175"/>
      <c r="AN47" s="4417"/>
      <c r="AO47" s="4284" t="s">
        <v>65</v>
      </c>
      <c r="AP47" s="4419"/>
      <c r="AQ47" s="4284" t="s">
        <v>19</v>
      </c>
      <c r="AR47" s="1356"/>
      <c r="AS47" s="44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277</v>
      </c>
      <c r="B48" s="1281" t="s">
        <v>278</v>
      </c>
      <c r="C48" s="1281" t="s">
        <v>279</v>
      </c>
      <c r="D48" s="1281" t="s">
        <v>564</v>
      </c>
      <c r="E48" s="4413"/>
      <c r="F48" s="4413"/>
      <c r="G48" s="4413"/>
      <c r="H48" s="4413"/>
      <c r="I48" s="4415"/>
      <c r="J48" s="4415"/>
      <c r="K48" s="4414"/>
      <c r="L48" s="1282"/>
      <c r="P48" s="4416"/>
      <c r="Q48" s="4416"/>
      <c r="R48" s="292"/>
      <c r="S48" s="1408"/>
      <c r="T48" s="236"/>
      <c r="U48" s="236"/>
      <c r="V48" s="1278"/>
      <c r="W48" s="1278"/>
      <c r="X48" s="1278"/>
      <c r="Y48" s="1278"/>
      <c r="Z48" s="1278"/>
      <c r="AA48" s="1278"/>
      <c r="AB48" s="264" t="str">
        <f>AC47&amp;"-"&amp;AE47</f>
        <v>-</v>
      </c>
      <c r="AC48" s="4409"/>
      <c r="AD48" s="4409"/>
      <c r="AE48" s="4409"/>
      <c r="AF48" s="4409"/>
      <c r="AG48" s="261"/>
      <c r="AH48" s="261"/>
      <c r="AI48" s="261"/>
      <c r="AJ48" s="261"/>
      <c r="AK48" s="261"/>
      <c r="AL48" s="261"/>
      <c r="AM48" s="264" t="str">
        <f>AN47&amp;"-"&amp;AP47</f>
        <v>-</v>
      </c>
      <c r="AN48" s="4418"/>
      <c r="AO48" s="4284"/>
      <c r="AP48" s="4420"/>
      <c r="AQ48" s="4284"/>
      <c r="AR48" s="1357"/>
      <c r="AS48" s="4486"/>
      <c r="AU48" s="435"/>
      <c r="AV48" s="435" t="str">
        <f t="shared" si="1"/>
        <v/>
      </c>
      <c r="AW48" s="435"/>
      <c r="AX48" s="435"/>
      <c r="AY48" s="1073">
        <v>0</v>
      </c>
    </row>
    <row r="49" spans="1:51" ht="21" customHeight="1">
      <c r="A49" s="1281" t="s">
        <v>277</v>
      </c>
      <c r="B49" s="1281" t="s">
        <v>278</v>
      </c>
      <c r="C49" s="1281" t="s">
        <v>279</v>
      </c>
      <c r="D49" s="1281" t="s">
        <v>564</v>
      </c>
      <c r="E49" s="4413"/>
      <c r="F49" s="4413"/>
      <c r="G49" s="4413"/>
      <c r="H49" s="4413"/>
      <c r="I49" s="4415"/>
      <c r="J49" s="4414"/>
      <c r="K49" s="1281"/>
      <c r="L49" s="1282"/>
      <c r="P49" s="4416"/>
      <c r="Q49" s="4416"/>
      <c r="R49" s="291"/>
      <c r="S49" s="1196"/>
      <c r="T49" s="223" t="s">
        <v>507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508</v>
      </c>
      <c r="AU49" s="435"/>
      <c r="AV49" s="435" t="str">
        <f t="shared" si="1"/>
        <v>Добавить значение признака дифференциации</v>
      </c>
      <c r="AW49" s="435"/>
      <c r="AX49" s="435"/>
      <c r="AY49" s="1073">
        <v>20</v>
      </c>
    </row>
    <row r="50" spans="1:51" ht="21.95" customHeight="1">
      <c r="A50" s="1281" t="s">
        <v>277</v>
      </c>
      <c r="B50" s="1281" t="s">
        <v>278</v>
      </c>
      <c r="C50" s="1281" t="s">
        <v>279</v>
      </c>
      <c r="D50" s="1281" t="s">
        <v>564</v>
      </c>
      <c r="E50" s="4413"/>
      <c r="F50" s="4413"/>
      <c r="G50" s="4413"/>
      <c r="H50" s="4413"/>
      <c r="I50" s="4414"/>
      <c r="J50" s="1281"/>
      <c r="K50" s="1281"/>
      <c r="L50" s="1282"/>
      <c r="P50" s="4416"/>
      <c r="Q50" s="1399"/>
      <c r="R50" s="291"/>
      <c r="S50" s="1196"/>
      <c r="T50" s="300" t="s">
        <v>433</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277</v>
      </c>
      <c r="B51" s="1281" t="s">
        <v>278</v>
      </c>
      <c r="C51" s="1281" t="s">
        <v>279</v>
      </c>
      <c r="D51" s="1281" t="s">
        <v>564</v>
      </c>
      <c r="E51" s="4413"/>
      <c r="F51" s="4413"/>
      <c r="G51" s="4413"/>
      <c r="H51" s="4412"/>
      <c r="I51" s="1281"/>
      <c r="J51" s="1281"/>
      <c r="K51" s="1281"/>
      <c r="L51" s="1282"/>
      <c r="M51" s="1283"/>
      <c r="N51" s="1283"/>
      <c r="O51" s="472"/>
      <c r="P51" s="295"/>
      <c r="Q51" s="310"/>
      <c r="R51" s="290"/>
      <c r="S51" s="1196"/>
      <c r="T51" s="307" t="s">
        <v>509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4140" customFormat="1" ht="0" hidden="1" customHeight="1">
      <c r="A52" s="1261" t="s">
        <v>277</v>
      </c>
      <c r="B52" s="1261" t="s">
        <v>278</v>
      </c>
      <c r="C52" s="1232"/>
      <c r="D52" s="1232"/>
      <c r="E52" s="4413"/>
      <c r="F52" s="4412"/>
      <c r="G52" s="1232"/>
      <c r="H52" s="1232"/>
      <c r="I52" s="1232"/>
      <c r="J52" s="1232"/>
      <c r="K52" s="1232"/>
      <c r="L52" s="1412"/>
      <c r="M52" s="1239"/>
      <c r="N52" s="1239"/>
      <c r="P52" s="1234"/>
      <c r="Q52" s="1235"/>
      <c r="R52" s="1234"/>
      <c r="S52" s="1240"/>
      <c r="T52" s="1243" t="s">
        <v>173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4140" customFormat="1" ht="0" hidden="1" customHeight="1">
      <c r="A53" s="1261" t="s">
        <v>277</v>
      </c>
      <c r="B53" s="1261"/>
      <c r="C53" s="1261"/>
      <c r="D53" s="1261"/>
      <c r="E53" s="4412"/>
      <c r="F53" s="1261"/>
      <c r="G53" s="1261"/>
      <c r="H53" s="1261"/>
      <c r="I53" s="1261"/>
      <c r="J53" s="1261"/>
      <c r="K53" s="1261"/>
      <c r="L53" s="1264"/>
      <c r="M53" s="1239"/>
      <c r="N53" s="1239"/>
      <c r="O53" s="453"/>
      <c r="P53" s="315"/>
      <c r="Q53" s="1262"/>
      <c r="R53" s="315"/>
      <c r="S53" s="1240"/>
      <c r="T53" s="1243" t="s">
        <v>174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4140"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4411"/>
      <c r="U56" s="4411"/>
      <c r="V56" s="4411"/>
      <c r="W56" s="4411"/>
      <c r="X56" s="4411"/>
      <c r="Y56" s="4411"/>
      <c r="Z56" s="4411"/>
      <c r="AA56" s="4411"/>
      <c r="AB56" s="4411"/>
      <c r="AC56" s="4411"/>
      <c r="AD56" s="4411"/>
      <c r="AE56" s="4411"/>
      <c r="AF56" s="4411"/>
      <c r="AG56" s="4411"/>
      <c r="AH56" s="4411"/>
      <c r="AI56" s="4411"/>
      <c r="AJ56" s="4411"/>
      <c r="AK56" s="4411"/>
      <c r="AL56" s="4411"/>
      <c r="AM56" s="4411"/>
      <c r="AN56" s="4411"/>
      <c r="AO56" s="4411"/>
      <c r="AP56" s="4411"/>
      <c r="AQ56" s="4411"/>
      <c r="AR56" s="4411"/>
      <c r="AS56" s="4411"/>
      <c r="AY56" s="1073">
        <v>14</v>
      </c>
    </row>
    <row r="57" spans="1:51" ht="14.65" customHeight="1">
      <c r="O57" s="472"/>
      <c r="AY57" s="1073">
        <v>14</v>
      </c>
    </row>
    <row r="58" spans="1:51" ht="14.65" customHeight="1">
      <c r="O58" s="472"/>
      <c r="S58" s="1171"/>
      <c r="T58" s="4411"/>
      <c r="U58" s="4411"/>
      <c r="V58" s="4411"/>
      <c r="W58" s="4411"/>
      <c r="X58" s="4411"/>
      <c r="Y58" s="4411"/>
      <c r="Z58" s="4411"/>
      <c r="AA58" s="4411"/>
      <c r="AB58" s="4411"/>
      <c r="AC58" s="4411"/>
      <c r="AD58" s="4411"/>
      <c r="AE58" s="4411"/>
      <c r="AF58" s="4411"/>
      <c r="AG58" s="4411"/>
      <c r="AH58" s="4411"/>
      <c r="AI58" s="4411"/>
      <c r="AJ58" s="4411"/>
      <c r="AK58" s="4411"/>
      <c r="AL58" s="4411"/>
      <c r="AM58" s="4411"/>
      <c r="AN58" s="4411"/>
      <c r="AO58" s="4411"/>
      <c r="AP58" s="4411"/>
      <c r="AQ58" s="4411"/>
      <c r="AR58" s="4411"/>
      <c r="AS58" s="4411"/>
      <c r="AY58" s="1073">
        <v>14</v>
      </c>
    </row>
    <row r="59" spans="1:51" ht="22.5" hidden="1" customHeight="1">
      <c r="A59" s="1078" t="s">
        <v>86</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4139" hidden="1" customWidth="1"/>
    <col min="2" max="2" width="11" style="4139" hidden="1" customWidth="1"/>
    <col min="3" max="3" width="10.5703125" style="4139" hidden="1"/>
    <col min="4" max="4" width="12.85546875" style="4139" hidden="1" customWidth="1"/>
    <col min="5" max="5" width="10" style="4139" hidden="1" customWidth="1"/>
    <col min="6" max="6" width="8.7109375" style="4139" hidden="1" customWidth="1"/>
    <col min="7" max="7" width="7.5703125" style="4139" hidden="1" customWidth="1"/>
    <col min="8" max="8" width="11.42578125" style="4139" hidden="1" customWidth="1"/>
    <col min="9" max="9" width="12" style="4139" hidden="1" customWidth="1"/>
    <col min="10" max="10" width="9.85546875" style="4139" hidden="1" customWidth="1"/>
    <col min="11" max="11" width="11.42578125" style="4139" hidden="1" customWidth="1"/>
    <col min="12" max="12" width="19.140625" style="4165" hidden="1" customWidth="1"/>
    <col min="13" max="14" width="12.28515625" style="4166" hidden="1" customWidth="1"/>
    <col min="15" max="15" width="23.42578125" style="4166" hidden="1" customWidth="1"/>
    <col min="16" max="16" width="3.7109375" style="4166" hidden="1" customWidth="1"/>
    <col min="17" max="17" width="3.7109375" style="4200" hidden="1" customWidth="1"/>
    <col min="18" max="18" width="3" style="4168" customWidth="1"/>
    <col min="19" max="19" width="12" style="4169" customWidth="1"/>
    <col min="20" max="20" width="31" style="4133" customWidth="1"/>
    <col min="21" max="21" width="0.140625" style="4133" customWidth="1"/>
    <col min="22" max="25" width="21.7109375" style="4133" hidden="1" customWidth="1"/>
    <col min="26" max="26" width="11.7109375" style="4133" hidden="1" customWidth="1"/>
    <col min="27" max="27" width="3.7109375" style="4133" hidden="1" customWidth="1"/>
    <col min="28" max="28" width="11.7109375" style="4133" hidden="1" customWidth="1"/>
    <col min="29" max="29" width="8.5703125" style="4133" hidden="1" customWidth="1"/>
    <col min="30" max="30" width="3.7109375" style="4133" customWidth="1"/>
    <col min="31" max="32" width="3" style="4133" customWidth="1"/>
    <col min="33" max="33" width="24" style="4133" customWidth="1"/>
    <col min="34" max="34" width="3.7109375" style="4133" customWidth="1"/>
    <col min="35" max="36" width="3" style="4133" customWidth="1"/>
    <col min="37" max="37" width="24" style="4133" customWidth="1"/>
    <col min="38" max="38" width="3.7109375" style="4133" customWidth="1"/>
    <col min="39" max="40" width="3" style="4133" customWidth="1"/>
    <col min="41" max="41" width="18" style="4133" customWidth="1"/>
    <col min="42" max="42" width="3.7109375" style="4133" customWidth="1"/>
    <col min="43" max="44" width="3" style="4133" customWidth="1"/>
    <col min="45" max="45" width="18" style="4133" customWidth="1"/>
    <col min="46" max="49" width="21" style="4133" customWidth="1"/>
    <col min="50" max="50" width="11" style="4133" customWidth="1"/>
    <col min="51" max="51" width="3.7109375" style="4133" customWidth="1"/>
    <col min="52" max="52" width="11" style="4133" customWidth="1"/>
    <col min="53" max="53" width="8.5703125" style="4133" hidden="1" customWidth="1"/>
    <col min="54" max="54" width="4" style="4133" customWidth="1"/>
    <col min="55" max="55" width="115" style="4133" customWidth="1"/>
    <col min="56" max="60" width="10" style="4140" customWidth="1"/>
    <col min="61" max="61" width="10.5703125" style="4133" hidden="1"/>
  </cols>
  <sheetData>
    <row r="1" spans="1:61" ht="22.5" hidden="1" customHeight="1">
      <c r="W1" s="263"/>
      <c r="Y1" s="263"/>
      <c r="Z1" s="263"/>
      <c r="AW1" s="263"/>
      <c r="AX1" s="263"/>
      <c r="BI1" s="1073" t="s">
        <v>14</v>
      </c>
    </row>
    <row r="2" spans="1:61" ht="21" hidden="1" customHeight="1">
      <c r="A2" s="1281"/>
      <c r="B2" s="1281"/>
      <c r="C2" s="1281"/>
      <c r="D2" s="1281"/>
      <c r="E2" s="4412">
        <v>1</v>
      </c>
      <c r="F2" s="1281"/>
      <c r="G2" s="1281"/>
      <c r="H2" s="1281"/>
      <c r="I2" s="1281"/>
      <c r="J2" s="1281"/>
      <c r="K2" s="1281"/>
      <c r="L2" s="1282"/>
      <c r="M2" s="1283"/>
      <c r="N2" s="1283"/>
      <c r="O2" s="1283"/>
      <c r="P2" s="1327"/>
      <c r="Q2" s="798"/>
      <c r="R2" s="290"/>
      <c r="S2" s="1411" t="e">
        <f>INDEX(PT_DIFFERENTIATION_NUM_NTAR,MATCH(A2,PT_DIFFERENTIATION_NTAR_ID,0))</f>
        <v>#N/A</v>
      </c>
      <c r="T2" s="234" t="s">
        <v>126</v>
      </c>
      <c r="U2" s="236"/>
      <c r="V2" s="4407"/>
      <c r="W2" s="4407"/>
      <c r="X2" s="4407"/>
      <c r="Y2" s="4407"/>
      <c r="Z2" s="4407"/>
      <c r="AA2" s="4407"/>
      <c r="AB2" s="4407"/>
      <c r="AC2" s="4408"/>
      <c r="AD2" s="4406" t="e">
        <f>INDEX(PT_DIFFERENTIATION_NTAR,MATCH(A2,PT_DIFFERENTIATION_NTAR_ID,0))</f>
        <v>#N/A</v>
      </c>
      <c r="AE2" s="4407"/>
      <c r="AF2" s="4407"/>
      <c r="AG2" s="4407"/>
      <c r="AH2" s="4407"/>
      <c r="AI2" s="4407"/>
      <c r="AJ2" s="4407"/>
      <c r="AK2" s="4407"/>
      <c r="AL2" s="4407"/>
      <c r="AM2" s="4407"/>
      <c r="AN2" s="4407"/>
      <c r="AO2" s="4407"/>
      <c r="AP2" s="4407"/>
      <c r="AQ2" s="4407"/>
      <c r="AR2" s="4407"/>
      <c r="AS2" s="4407"/>
      <c r="AT2" s="4407"/>
      <c r="AU2" s="4407"/>
      <c r="AV2" s="4407"/>
      <c r="AW2" s="4407"/>
      <c r="AX2" s="4407"/>
      <c r="AY2" s="4407"/>
      <c r="AZ2" s="4407"/>
      <c r="BA2" s="4407"/>
      <c r="BB2" s="440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4413"/>
      <c r="F3" s="4412">
        <v>1</v>
      </c>
      <c r="G3" s="1281"/>
      <c r="H3" s="1281"/>
      <c r="I3" s="1281"/>
      <c r="J3" s="1281"/>
      <c r="K3" s="1281"/>
      <c r="L3" s="1282"/>
      <c r="M3" s="1283"/>
      <c r="N3" s="1283"/>
      <c r="O3" s="1283"/>
      <c r="P3" s="1328"/>
      <c r="Q3" s="1329"/>
      <c r="R3" s="288"/>
      <c r="S3" s="1411" t="e">
        <f>INDEX(PT_DIFFERENTIATION_NUM_TER,MATCH(B3,PT_DIFFERENTIATION_TER_ID,0))</f>
        <v>#N/A</v>
      </c>
      <c r="T3" s="244" t="s">
        <v>418</v>
      </c>
      <c r="U3" s="236"/>
      <c r="V3" s="4407"/>
      <c r="W3" s="4407"/>
      <c r="X3" s="4407"/>
      <c r="Y3" s="4407"/>
      <c r="Z3" s="4407"/>
      <c r="AA3" s="4407"/>
      <c r="AB3" s="4407"/>
      <c r="AC3" s="4408"/>
      <c r="AD3" s="4406" t="e">
        <f>INDEX(PT_DIFFERENTIATION_TER,MATCH(B3,PT_DIFFERENTIATION_TER_ID,0))</f>
        <v>#N/A</v>
      </c>
      <c r="AE3" s="4407"/>
      <c r="AF3" s="4407"/>
      <c r="AG3" s="4407"/>
      <c r="AH3" s="4407"/>
      <c r="AI3" s="4407"/>
      <c r="AJ3" s="4407"/>
      <c r="AK3" s="4407"/>
      <c r="AL3" s="4407"/>
      <c r="AM3" s="4407"/>
      <c r="AN3" s="4407"/>
      <c r="AO3" s="4407"/>
      <c r="AP3" s="4407"/>
      <c r="AQ3" s="4407"/>
      <c r="AR3" s="4407"/>
      <c r="AS3" s="4407"/>
      <c r="AT3" s="4407"/>
      <c r="AU3" s="4407"/>
      <c r="AV3" s="4407"/>
      <c r="AW3" s="4407"/>
      <c r="AX3" s="4407"/>
      <c r="AY3" s="4407"/>
      <c r="AZ3" s="4407"/>
      <c r="BA3" s="4407"/>
      <c r="BB3" s="4408"/>
      <c r="BC3" s="1176" t="s">
        <v>419</v>
      </c>
      <c r="BE3" s="435"/>
      <c r="BF3" s="435" t="str">
        <f t="shared" si="0"/>
        <v>Территория действия тарифа</v>
      </c>
      <c r="BG3" s="435"/>
      <c r="BH3" s="435"/>
      <c r="BI3" s="1073">
        <v>0</v>
      </c>
    </row>
    <row r="4" spans="1:61" ht="33.75" hidden="1" customHeight="1">
      <c r="A4" s="1281"/>
      <c r="B4" s="1281"/>
      <c r="C4" s="1281"/>
      <c r="D4" s="1281"/>
      <c r="E4" s="4413"/>
      <c r="F4" s="4413"/>
      <c r="G4" s="4412">
        <v>1</v>
      </c>
      <c r="H4" s="1281"/>
      <c r="I4" s="1281"/>
      <c r="J4" s="1281"/>
      <c r="K4" s="1281"/>
      <c r="L4" s="1282"/>
      <c r="M4" s="1283"/>
      <c r="N4" s="1283"/>
      <c r="O4" s="1283"/>
      <c r="P4" s="1330"/>
      <c r="Q4" s="1329"/>
      <c r="R4" s="288"/>
      <c r="S4" s="1411" t="e">
        <f>INDEX(PT_DIFFERENTIATION_NUM_CS,MATCH(C4,PT_DIFFERENTIATION_CS_ID,0))</f>
        <v>#N/A</v>
      </c>
      <c r="T4" s="245" t="s">
        <v>551</v>
      </c>
      <c r="U4" s="236"/>
      <c r="V4" s="4407"/>
      <c r="W4" s="4407"/>
      <c r="X4" s="4407"/>
      <c r="Y4" s="4407"/>
      <c r="Z4" s="4407"/>
      <c r="AA4" s="4407"/>
      <c r="AB4" s="4407"/>
      <c r="AC4" s="4408"/>
      <c r="AD4" s="4406" t="e">
        <f>INDEX(PT_DIFFERENTIATION_CS,MATCH(C4,PT_DIFFERENTIATION_CS_ID,0))</f>
        <v>#N/A</v>
      </c>
      <c r="AE4" s="4407"/>
      <c r="AF4" s="4407"/>
      <c r="AG4" s="4407"/>
      <c r="AH4" s="4407"/>
      <c r="AI4" s="4407"/>
      <c r="AJ4" s="4407"/>
      <c r="AK4" s="4407"/>
      <c r="AL4" s="4407"/>
      <c r="AM4" s="4407"/>
      <c r="AN4" s="4407"/>
      <c r="AO4" s="4407"/>
      <c r="AP4" s="4407"/>
      <c r="AQ4" s="4407"/>
      <c r="AR4" s="4407"/>
      <c r="AS4" s="4407"/>
      <c r="AT4" s="4407"/>
      <c r="AU4" s="4407"/>
      <c r="AV4" s="4407"/>
      <c r="AW4" s="4407"/>
      <c r="AX4" s="4407"/>
      <c r="AY4" s="4407"/>
      <c r="AZ4" s="4407"/>
      <c r="BA4" s="4407"/>
      <c r="BB4" s="4408"/>
      <c r="BC4" s="1176" t="s">
        <v>552</v>
      </c>
      <c r="BE4" s="435"/>
      <c r="BF4" s="435" t="str">
        <f t="shared" si="0"/>
        <v>Наименование централизованной системы горячего водоснабжения</v>
      </c>
      <c r="BG4" s="435"/>
      <c r="BH4" s="435"/>
      <c r="BI4" s="1073">
        <v>0</v>
      </c>
    </row>
    <row r="5" spans="1:61" s="4140" customFormat="1" ht="14.25" hidden="1" customHeight="1">
      <c r="A5" s="1261"/>
      <c r="B5" s="1261"/>
      <c r="C5" s="1261"/>
      <c r="D5" s="1261"/>
      <c r="E5" s="4413"/>
      <c r="F5" s="4413"/>
      <c r="G5" s="4413"/>
      <c r="H5" s="4412">
        <v>1</v>
      </c>
      <c r="I5" s="1261"/>
      <c r="J5" s="1261"/>
      <c r="K5" s="1261"/>
      <c r="L5" s="1264"/>
      <c r="M5" s="1233"/>
      <c r="N5" s="1233"/>
      <c r="O5" s="1233"/>
      <c r="P5" s="1415"/>
      <c r="Q5" s="1416"/>
      <c r="R5" s="292"/>
      <c r="S5" s="964"/>
      <c r="T5" s="1417"/>
      <c r="U5" s="1302"/>
      <c r="V5" s="4444"/>
      <c r="W5" s="4444"/>
      <c r="X5" s="4444"/>
      <c r="Y5" s="4444"/>
      <c r="Z5" s="4444"/>
      <c r="AA5" s="4444"/>
      <c r="AB5" s="4444"/>
      <c r="AC5" s="4445"/>
      <c r="AD5" s="4443"/>
      <c r="AE5" s="4444"/>
      <c r="AF5" s="4444"/>
      <c r="AG5" s="4444"/>
      <c r="AH5" s="4444"/>
      <c r="AI5" s="4444"/>
      <c r="AJ5" s="4444"/>
      <c r="AK5" s="4444"/>
      <c r="AL5" s="4444"/>
      <c r="AM5" s="4444"/>
      <c r="AN5" s="4444"/>
      <c r="AO5" s="4444"/>
      <c r="AP5" s="4444"/>
      <c r="AQ5" s="4444"/>
      <c r="AR5" s="4444"/>
      <c r="AS5" s="4444"/>
      <c r="AT5" s="4444"/>
      <c r="AU5" s="4444"/>
      <c r="AV5" s="4444"/>
      <c r="AW5" s="4444"/>
      <c r="AX5" s="4444"/>
      <c r="AY5" s="4444"/>
      <c r="AZ5" s="4444"/>
      <c r="BA5" s="4444"/>
      <c r="BB5" s="4445"/>
      <c r="BC5" s="1303" t="s">
        <v>423</v>
      </c>
      <c r="BE5" s="435"/>
      <c r="BF5" s="435" t="str">
        <f t="shared" si="0"/>
        <v/>
      </c>
      <c r="BG5" s="435"/>
      <c r="BH5" s="435"/>
      <c r="BI5" s="446">
        <v>0</v>
      </c>
    </row>
    <row r="6" spans="1:61" s="4140" customFormat="1" ht="14.25" hidden="1" customHeight="1">
      <c r="A6" s="1261"/>
      <c r="B6" s="1261"/>
      <c r="C6" s="1261"/>
      <c r="D6" s="1261"/>
      <c r="E6" s="4413"/>
      <c r="F6" s="4413"/>
      <c r="G6" s="4413"/>
      <c r="H6" s="4413"/>
      <c r="I6" s="4414" t="str">
        <f>S5&amp;".1"</f>
        <v>.1</v>
      </c>
      <c r="J6" s="1261"/>
      <c r="K6" s="1261"/>
      <c r="L6" s="1264" t="s">
        <v>424</v>
      </c>
      <c r="M6" s="445"/>
      <c r="N6" s="445"/>
      <c r="O6" s="445"/>
      <c r="P6" s="4416">
        <v>1</v>
      </c>
      <c r="Q6" s="1399"/>
      <c r="R6" s="291"/>
      <c r="S6" s="964"/>
      <c r="T6" s="1301"/>
      <c r="U6" s="1302"/>
      <c r="V6" s="4444"/>
      <c r="W6" s="4444"/>
      <c r="X6" s="4444"/>
      <c r="Y6" s="4444"/>
      <c r="Z6" s="4444"/>
      <c r="AA6" s="4444"/>
      <c r="AB6" s="4444"/>
      <c r="AC6" s="4445"/>
      <c r="AD6" s="4443"/>
      <c r="AE6" s="4444"/>
      <c r="AF6" s="4444"/>
      <c r="AG6" s="4444"/>
      <c r="AH6" s="4444"/>
      <c r="AI6" s="4444"/>
      <c r="AJ6" s="4444"/>
      <c r="AK6" s="4444"/>
      <c r="AL6" s="4444"/>
      <c r="AM6" s="4444"/>
      <c r="AN6" s="4444"/>
      <c r="AO6" s="4444"/>
      <c r="AP6" s="4444"/>
      <c r="AQ6" s="4444"/>
      <c r="AR6" s="4444"/>
      <c r="AS6" s="4444"/>
      <c r="AT6" s="4444"/>
      <c r="AU6" s="4444"/>
      <c r="AV6" s="4444"/>
      <c r="AW6" s="4444"/>
      <c r="AX6" s="4444"/>
      <c r="AY6" s="4444"/>
      <c r="AZ6" s="4444"/>
      <c r="BA6" s="4444"/>
      <c r="BB6" s="4445"/>
      <c r="BC6" s="1303"/>
      <c r="BE6" s="435"/>
      <c r="BF6" s="435" t="str">
        <f t="shared" si="0"/>
        <v/>
      </c>
      <c r="BG6" s="435"/>
      <c r="BH6" s="435"/>
      <c r="BI6" s="446">
        <v>0</v>
      </c>
    </row>
    <row r="7" spans="1:61" s="4140" customFormat="1" ht="14.25" hidden="1" customHeight="1">
      <c r="A7" s="1261"/>
      <c r="B7" s="1261"/>
      <c r="C7" s="1261"/>
      <c r="D7" s="1261"/>
      <c r="E7" s="4413"/>
      <c r="F7" s="4413"/>
      <c r="G7" s="4413"/>
      <c r="H7" s="4413"/>
      <c r="I7" s="4415"/>
      <c r="J7" s="4414" t="str">
        <f>S5&amp;".1"</f>
        <v>.1</v>
      </c>
      <c r="K7" s="1261"/>
      <c r="L7" s="1264"/>
      <c r="M7" s="445"/>
      <c r="N7" s="445"/>
      <c r="O7" s="445"/>
      <c r="P7" s="4416"/>
      <c r="Q7" s="4416">
        <v>1</v>
      </c>
      <c r="R7" s="292"/>
      <c r="S7" s="964"/>
      <c r="T7" s="1317"/>
      <c r="U7" s="1302"/>
      <c r="V7" s="4444"/>
      <c r="W7" s="4444"/>
      <c r="X7" s="4444"/>
      <c r="Y7" s="4444"/>
      <c r="Z7" s="4444"/>
      <c r="AA7" s="4444"/>
      <c r="AB7" s="4444"/>
      <c r="AC7" s="4445"/>
      <c r="AD7" s="4443"/>
      <c r="AE7" s="4444"/>
      <c r="AF7" s="4444"/>
      <c r="AG7" s="4444"/>
      <c r="AH7" s="4444"/>
      <c r="AI7" s="4444"/>
      <c r="AJ7" s="4444"/>
      <c r="AK7" s="4444"/>
      <c r="AL7" s="4444"/>
      <c r="AM7" s="4444"/>
      <c r="AN7" s="4444"/>
      <c r="AO7" s="4444"/>
      <c r="AP7" s="4444"/>
      <c r="AQ7" s="4444"/>
      <c r="AR7" s="4444"/>
      <c r="AS7" s="4444"/>
      <c r="AT7" s="4444"/>
      <c r="AU7" s="4444"/>
      <c r="AV7" s="4444"/>
      <c r="AW7" s="4444"/>
      <c r="AX7" s="4444"/>
      <c r="AY7" s="4444"/>
      <c r="AZ7" s="4444"/>
      <c r="BA7" s="4444"/>
      <c r="BB7" s="4445"/>
      <c r="BC7" s="1303"/>
      <c r="BE7" s="435"/>
      <c r="BF7" s="435" t="str">
        <f t="shared" si="0"/>
        <v/>
      </c>
      <c r="BG7" s="435"/>
      <c r="BH7" s="435"/>
      <c r="BI7" s="446">
        <v>0</v>
      </c>
    </row>
    <row r="8" spans="1:61" ht="11.25" hidden="1" customHeight="1">
      <c r="A8" s="1281"/>
      <c r="B8" s="1281"/>
      <c r="C8" s="1281"/>
      <c r="D8" s="1281"/>
      <c r="E8" s="4413"/>
      <c r="F8" s="4413"/>
      <c r="G8" s="4413"/>
      <c r="H8" s="4413"/>
      <c r="I8" s="4415"/>
      <c r="J8" s="4415"/>
      <c r="K8" s="4414" t="e">
        <f>S4&amp;".1"</f>
        <v>#N/A</v>
      </c>
      <c r="L8" s="1282"/>
      <c r="P8" s="4416"/>
      <c r="Q8" s="4416"/>
      <c r="R8" s="4472">
        <v>1</v>
      </c>
      <c r="S8" s="4469" t="e">
        <f>$K8</f>
        <v>#N/A</v>
      </c>
      <c r="T8" s="4489"/>
      <c r="U8" s="236"/>
      <c r="V8" s="686"/>
      <c r="W8" s="1175"/>
      <c r="X8" s="686"/>
      <c r="Y8" s="1175"/>
      <c r="Z8" s="1651"/>
      <c r="AA8" s="1387" t="s">
        <v>65</v>
      </c>
      <c r="AB8" s="1651"/>
      <c r="AC8" s="1387" t="s">
        <v>65</v>
      </c>
      <c r="AD8" s="4337" t="s">
        <v>65</v>
      </c>
      <c r="AE8" s="4465"/>
      <c r="AF8" s="4369">
        <v>1</v>
      </c>
      <c r="AG8" s="4488"/>
      <c r="AH8" s="4284" t="s">
        <v>65</v>
      </c>
      <c r="AI8" s="4465"/>
      <c r="AJ8" s="4369">
        <v>1</v>
      </c>
      <c r="AK8" s="4479" t="s">
        <v>28</v>
      </c>
      <c r="AL8" s="4284" t="s">
        <v>65</v>
      </c>
      <c r="AM8" s="4346"/>
      <c r="AN8" s="4369">
        <v>1</v>
      </c>
      <c r="AO8" s="4492"/>
      <c r="AP8" s="4493" t="s">
        <v>65</v>
      </c>
      <c r="AQ8" s="247"/>
      <c r="AR8" s="1404">
        <v>1</v>
      </c>
      <c r="AS8" s="1410" t="s">
        <v>28</v>
      </c>
      <c r="AT8" s="686"/>
      <c r="AU8" s="1175"/>
      <c r="AV8" s="686"/>
      <c r="AW8" s="1175"/>
      <c r="AX8" s="1651"/>
      <c r="AY8" s="1387" t="s">
        <v>65</v>
      </c>
      <c r="AZ8" s="1651"/>
      <c r="BA8" s="1387" t="s">
        <v>65</v>
      </c>
      <c r="BB8" s="1266"/>
      <c r="BC8" s="4435" t="s">
        <v>522</v>
      </c>
      <c r="BE8" s="435"/>
      <c r="BF8" s="435" t="str">
        <f t="shared" si="0"/>
        <v/>
      </c>
      <c r="BG8" s="435"/>
      <c r="BH8" s="435"/>
      <c r="BI8" s="1073">
        <v>0</v>
      </c>
    </row>
    <row r="9" spans="1:61" ht="11.25" hidden="1" customHeight="1">
      <c r="A9" s="1281"/>
      <c r="B9" s="1281"/>
      <c r="C9" s="1281"/>
      <c r="D9" s="1281"/>
      <c r="E9" s="4413"/>
      <c r="F9" s="4413"/>
      <c r="G9" s="4413"/>
      <c r="H9" s="4413"/>
      <c r="I9" s="4415"/>
      <c r="J9" s="4415"/>
      <c r="K9" s="4414"/>
      <c r="L9" s="1282"/>
      <c r="P9" s="4416"/>
      <c r="Q9" s="4416"/>
      <c r="R9" s="4472"/>
      <c r="S9" s="4470"/>
      <c r="T9" s="4490"/>
      <c r="U9" s="236"/>
      <c r="V9" s="1311"/>
      <c r="W9" s="1414"/>
      <c r="X9" s="1311"/>
      <c r="Y9" s="1414"/>
      <c r="Z9" s="1311"/>
      <c r="AA9" s="1311"/>
      <c r="AB9" s="1311"/>
      <c r="AC9" s="1311"/>
      <c r="AD9" s="4338"/>
      <c r="AE9" s="4465"/>
      <c r="AF9" s="4369"/>
      <c r="AG9" s="4488"/>
      <c r="AH9" s="4284"/>
      <c r="AI9" s="4465"/>
      <c r="AJ9" s="4369"/>
      <c r="AK9" s="4479"/>
      <c r="AL9" s="4284"/>
      <c r="AM9" s="4351"/>
      <c r="AN9" s="4369"/>
      <c r="AO9" s="4492"/>
      <c r="AP9" s="4494"/>
      <c r="AQ9" s="252"/>
      <c r="AR9" s="351"/>
      <c r="AS9" s="351" t="s">
        <v>523</v>
      </c>
      <c r="AT9" s="1311"/>
      <c r="AU9" s="1414"/>
      <c r="AV9" s="1311"/>
      <c r="AW9" s="1414"/>
      <c r="AX9" s="1311"/>
      <c r="AY9" s="1311"/>
      <c r="AZ9" s="1311"/>
      <c r="BA9" s="1311"/>
      <c r="BB9" s="1315"/>
      <c r="BC9" s="4436"/>
      <c r="BE9" s="435"/>
      <c r="BF9" s="435"/>
      <c r="BG9" s="435"/>
      <c r="BH9" s="435"/>
      <c r="BI9" s="1073">
        <v>0</v>
      </c>
    </row>
    <row r="10" spans="1:61" ht="11.25" hidden="1" customHeight="1">
      <c r="A10" s="1281"/>
      <c r="B10" s="1281"/>
      <c r="C10" s="1281"/>
      <c r="D10" s="1281"/>
      <c r="E10" s="4413"/>
      <c r="F10" s="4413"/>
      <c r="G10" s="4413"/>
      <c r="H10" s="4413"/>
      <c r="I10" s="4415"/>
      <c r="J10" s="4415"/>
      <c r="K10" s="4414"/>
      <c r="L10" s="1282"/>
      <c r="P10" s="4416"/>
      <c r="Q10" s="4416"/>
      <c r="R10" s="4472"/>
      <c r="S10" s="4470"/>
      <c r="T10" s="4490"/>
      <c r="U10" s="236"/>
      <c r="V10" s="1311"/>
      <c r="W10" s="1414"/>
      <c r="X10" s="1311"/>
      <c r="Y10" s="1414"/>
      <c r="Z10" s="1311"/>
      <c r="AA10" s="1311"/>
      <c r="AB10" s="1311"/>
      <c r="AC10" s="1311"/>
      <c r="AD10" s="4338"/>
      <c r="AE10" s="4465"/>
      <c r="AF10" s="4369"/>
      <c r="AG10" s="4488"/>
      <c r="AH10" s="4284"/>
      <c r="AI10" s="4465"/>
      <c r="AJ10" s="4369"/>
      <c r="AK10" s="4479"/>
      <c r="AL10" s="4284"/>
      <c r="AM10" s="252"/>
      <c r="AN10" s="1418"/>
      <c r="AO10" s="1418" t="s">
        <v>524</v>
      </c>
      <c r="AP10" s="351"/>
      <c r="AQ10" s="351"/>
      <c r="AR10" s="351"/>
      <c r="AS10" s="1311"/>
      <c r="AT10" s="1311"/>
      <c r="AU10" s="1414"/>
      <c r="AV10" s="1311"/>
      <c r="AW10" s="1414"/>
      <c r="AX10" s="1311"/>
      <c r="AY10" s="1311"/>
      <c r="AZ10" s="1311"/>
      <c r="BA10" s="1311"/>
      <c r="BB10" s="1315"/>
      <c r="BC10" s="4436"/>
      <c r="BE10" s="435"/>
      <c r="BF10" s="435"/>
      <c r="BG10" s="435"/>
      <c r="BH10" s="435"/>
      <c r="BI10" s="1073">
        <v>0</v>
      </c>
    </row>
    <row r="11" spans="1:61" ht="11.25" hidden="1" customHeight="1">
      <c r="A11" s="1281"/>
      <c r="B11" s="1281"/>
      <c r="C11" s="1281"/>
      <c r="D11" s="1281"/>
      <c r="E11" s="4413"/>
      <c r="F11" s="4413"/>
      <c r="G11" s="4413"/>
      <c r="H11" s="4413"/>
      <c r="I11" s="4415"/>
      <c r="J11" s="4415"/>
      <c r="K11" s="4414"/>
      <c r="L11" s="1282"/>
      <c r="P11" s="4416"/>
      <c r="Q11" s="4416"/>
      <c r="R11" s="4472"/>
      <c r="S11" s="4470"/>
      <c r="T11" s="4490"/>
      <c r="U11" s="236"/>
      <c r="V11" s="1311"/>
      <c r="W11" s="1414"/>
      <c r="X11" s="1311"/>
      <c r="Y11" s="1414"/>
      <c r="Z11" s="1311"/>
      <c r="AA11" s="1311"/>
      <c r="AB11" s="1311"/>
      <c r="AC11" s="1311"/>
      <c r="AD11" s="4338"/>
      <c r="AE11" s="4465"/>
      <c r="AF11" s="4369"/>
      <c r="AG11" s="4488"/>
      <c r="AH11" s="4284"/>
      <c r="AI11" s="230"/>
      <c r="AJ11" s="350"/>
      <c r="AK11" s="249" t="s">
        <v>525</v>
      </c>
      <c r="AL11" s="1311"/>
      <c r="AM11" s="1311"/>
      <c r="AN11" s="1311"/>
      <c r="AO11" s="1311"/>
      <c r="AP11" s="1311"/>
      <c r="AQ11" s="1311"/>
      <c r="AR11" s="1311"/>
      <c r="AS11" s="1311"/>
      <c r="AT11" s="1311"/>
      <c r="AU11" s="1414"/>
      <c r="AV11" s="1311"/>
      <c r="AW11" s="1414"/>
      <c r="AX11" s="1311"/>
      <c r="AY11" s="1311"/>
      <c r="AZ11" s="1311"/>
      <c r="BA11" s="1311"/>
      <c r="BB11" s="1315"/>
      <c r="BC11" s="4436"/>
      <c r="BE11" s="435"/>
      <c r="BF11" s="435"/>
      <c r="BG11" s="435"/>
      <c r="BH11" s="435"/>
      <c r="BI11" s="1073">
        <v>0</v>
      </c>
    </row>
    <row r="12" spans="1:61" ht="11.25" hidden="1" customHeight="1">
      <c r="A12" s="1281"/>
      <c r="B12" s="1281"/>
      <c r="C12" s="1281"/>
      <c r="D12" s="1281"/>
      <c r="E12" s="4413"/>
      <c r="F12" s="4413"/>
      <c r="G12" s="4413"/>
      <c r="H12" s="4413"/>
      <c r="I12" s="4415"/>
      <c r="J12" s="4415"/>
      <c r="K12" s="4414"/>
      <c r="L12" s="1282"/>
      <c r="P12" s="4416"/>
      <c r="Q12" s="4416"/>
      <c r="R12" s="4472"/>
      <c r="S12" s="4471"/>
      <c r="T12" s="4491"/>
      <c r="U12" s="236"/>
      <c r="V12" s="1311"/>
      <c r="W12" s="1312" t="str">
        <f>Z8&amp;"-"&amp;AB8</f>
        <v>-</v>
      </c>
      <c r="X12" s="1311"/>
      <c r="Y12" s="1312" t="str">
        <f>AB8&amp;"-"&amp;AD8</f>
        <v>-да</v>
      </c>
      <c r="Z12" s="1311"/>
      <c r="AA12" s="1311"/>
      <c r="AB12" s="1311"/>
      <c r="AC12" s="1311"/>
      <c r="AD12" s="4289"/>
      <c r="AE12" s="248"/>
      <c r="AF12" s="250"/>
      <c r="AG12" s="351" t="s">
        <v>526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4436"/>
      <c r="BE12" s="435"/>
      <c r="BF12" s="435" t="str">
        <f t="shared" ref="BF12:BF18" si="1">IF(T12="","",T12)</f>
        <v/>
      </c>
      <c r="BG12" s="435"/>
      <c r="BH12" s="435"/>
      <c r="BI12" s="1073">
        <v>0</v>
      </c>
    </row>
    <row r="13" spans="1:61" ht="11.25" hidden="1" customHeight="1">
      <c r="A13" s="1281"/>
      <c r="B13" s="1281"/>
      <c r="C13" s="1281"/>
      <c r="D13" s="1281"/>
      <c r="E13" s="4413"/>
      <c r="F13" s="4413"/>
      <c r="G13" s="4413"/>
      <c r="H13" s="4413"/>
      <c r="I13" s="4415"/>
      <c r="J13" s="4414"/>
      <c r="K13" s="1281"/>
      <c r="L13" s="1282"/>
      <c r="P13" s="4416"/>
      <c r="Q13" s="4416"/>
      <c r="R13" s="291"/>
      <c r="S13" s="1196"/>
      <c r="T13" s="223" t="s">
        <v>489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4437"/>
      <c r="BE13" s="435"/>
      <c r="BF13" s="435" t="str">
        <f t="shared" si="1"/>
        <v>Добавить строку</v>
      </c>
      <c r="BG13" s="435"/>
      <c r="BH13" s="435"/>
      <c r="BI13" s="1073">
        <v>0</v>
      </c>
    </row>
    <row r="14" spans="1:61" s="4140" customFormat="1" ht="14.25" hidden="1" customHeight="1">
      <c r="A14" s="1261"/>
      <c r="B14" s="1261"/>
      <c r="C14" s="1261"/>
      <c r="D14" s="1261"/>
      <c r="E14" s="4413"/>
      <c r="F14" s="4413"/>
      <c r="G14" s="4413"/>
      <c r="H14" s="4413"/>
      <c r="I14" s="4414"/>
      <c r="J14" s="1261"/>
      <c r="K14" s="1261"/>
      <c r="L14" s="1264"/>
      <c r="M14" s="445"/>
      <c r="N14" s="445"/>
      <c r="O14" s="445"/>
      <c r="P14" s="441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4140" customFormat="1" ht="14.25" hidden="1" customHeight="1">
      <c r="A15" s="1261"/>
      <c r="B15" s="1261"/>
      <c r="C15" s="1261"/>
      <c r="D15" s="1261"/>
      <c r="E15" s="4413"/>
      <c r="F15" s="4413"/>
      <c r="G15" s="4413"/>
      <c r="H15" s="441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4140" customFormat="1" ht="14.25" hidden="1" customHeight="1">
      <c r="A16" s="1261"/>
      <c r="B16" s="1261"/>
      <c r="C16" s="1261"/>
      <c r="D16" s="1232"/>
      <c r="E16" s="4413"/>
      <c r="F16" s="4413"/>
      <c r="G16" s="441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4140" customFormat="1" ht="14.25" hidden="1" customHeight="1">
      <c r="A17" s="1261"/>
      <c r="B17" s="1261"/>
      <c r="C17" s="1232"/>
      <c r="D17" s="1232"/>
      <c r="E17" s="4413"/>
      <c r="F17" s="4412"/>
      <c r="G17" s="1232"/>
      <c r="H17" s="1232"/>
      <c r="I17" s="1232"/>
      <c r="J17" s="1232"/>
      <c r="K17" s="1232"/>
      <c r="L17" s="1412"/>
      <c r="M17" s="1239"/>
      <c r="N17" s="1239"/>
      <c r="P17" s="1234"/>
      <c r="Q17" s="1235"/>
      <c r="R17" s="1234"/>
      <c r="S17" s="1240"/>
      <c r="T17" s="1243" t="s">
        <v>173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4140" customFormat="1" ht="14.25" hidden="1" customHeight="1">
      <c r="A18" s="1261"/>
      <c r="B18" s="1261"/>
      <c r="C18" s="1261"/>
      <c r="D18" s="1261"/>
      <c r="E18" s="4412"/>
      <c r="F18" s="1261"/>
      <c r="G18" s="1261"/>
      <c r="H18" s="1261"/>
      <c r="I18" s="1261"/>
      <c r="J18" s="1261"/>
      <c r="K18" s="1261"/>
      <c r="L18" s="1264"/>
      <c r="M18" s="1239"/>
      <c r="N18" s="1239"/>
      <c r="O18" s="453"/>
      <c r="P18" s="315"/>
      <c r="Q18" s="1262"/>
      <c r="R18" s="315"/>
      <c r="S18" s="1240"/>
      <c r="T18" s="1243" t="s">
        <v>174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435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4199" customFormat="1" ht="14.25" hidden="1" customHeight="1">
      <c r="M24" s="1426"/>
      <c r="N24" s="1426"/>
      <c r="O24" s="1427" t="s">
        <v>436</v>
      </c>
      <c r="P24" s="1426"/>
      <c r="Q24" s="1428"/>
      <c r="R24" s="1428"/>
      <c r="AA24" s="1425" t="s">
        <v>438</v>
      </c>
      <c r="AC24" s="1425" t="s">
        <v>439</v>
      </c>
      <c r="AD24" s="1425" t="s">
        <v>490</v>
      </c>
      <c r="AH24" s="1425" t="s">
        <v>490</v>
      </c>
      <c r="AK24" s="1425" t="s">
        <v>527</v>
      </c>
      <c r="AL24" s="1425" t="s">
        <v>490</v>
      </c>
      <c r="AP24" s="1425" t="s">
        <v>490</v>
      </c>
      <c r="AY24" s="1425" t="s">
        <v>438</v>
      </c>
      <c r="BA24" s="1425" t="s">
        <v>439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439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4393"/>
      <c r="U28" s="4393"/>
      <c r="V28" s="4393"/>
      <c r="W28" s="4393"/>
      <c r="X28" s="4393"/>
      <c r="Y28" s="4393"/>
      <c r="Z28" s="4393"/>
      <c r="AA28" s="4393"/>
      <c r="AB28" s="4393"/>
      <c r="AC28" s="4393"/>
      <c r="AD28" s="4393"/>
      <c r="AE28" s="4393"/>
      <c r="AF28" s="4393"/>
      <c r="AG28" s="4393"/>
      <c r="AH28" s="4393"/>
      <c r="AI28" s="4393"/>
      <c r="AJ28" s="4393"/>
      <c r="AK28" s="4393"/>
      <c r="AL28" s="4393"/>
      <c r="AM28" s="4393"/>
      <c r="AN28" s="4393"/>
      <c r="AO28" s="4393"/>
      <c r="AP28" s="4393"/>
      <c r="AQ28" s="4393"/>
      <c r="AR28" s="4393"/>
      <c r="AS28" s="4393"/>
      <c r="AT28" s="4393"/>
      <c r="AU28" s="4393"/>
      <c r="AV28" s="4393"/>
      <c r="AW28" s="4393"/>
      <c r="AX28" s="4393"/>
      <c r="AY28" s="4393"/>
      <c r="AZ28" s="4393"/>
      <c r="BA28" s="1161"/>
      <c r="BI28" s="1073">
        <v>14</v>
      </c>
    </row>
    <row r="29" spans="1:61" ht="14.65" customHeight="1">
      <c r="Q29" s="227"/>
      <c r="R29" s="311"/>
      <c r="S29" s="4365" t="str">
        <f>IF(org=0,"Не определено",org)</f>
        <v>АО "Мурманэнергосбыт"</v>
      </c>
      <c r="T29" s="4365"/>
      <c r="U29" s="4365"/>
      <c r="V29" s="4365"/>
      <c r="W29" s="4365"/>
      <c r="X29" s="4365"/>
      <c r="Y29" s="4365"/>
      <c r="Z29" s="4365"/>
      <c r="AA29" s="4365"/>
      <c r="AB29" s="4365"/>
      <c r="AC29" s="4365"/>
      <c r="AD29" s="4365"/>
      <c r="AE29" s="4365"/>
      <c r="AF29" s="4365"/>
      <c r="AG29" s="4365"/>
      <c r="AH29" s="4365"/>
      <c r="AI29" s="4365"/>
      <c r="AJ29" s="4365"/>
      <c r="AK29" s="4365"/>
      <c r="AL29" s="4365"/>
      <c r="AM29" s="4365"/>
      <c r="AN29" s="4365"/>
      <c r="AO29" s="4365"/>
      <c r="AP29" s="4365"/>
      <c r="AQ29" s="4365"/>
      <c r="AR29" s="4365"/>
      <c r="AS29" s="4365"/>
      <c r="AT29" s="4365"/>
      <c r="AU29" s="4365"/>
      <c r="AV29" s="4365"/>
      <c r="AW29" s="4365"/>
      <c r="AX29" s="4365"/>
      <c r="AY29" s="4365"/>
      <c r="AZ29" s="4365"/>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4149" customFormat="1" ht="25.5" customHeight="1">
      <c r="A31" s="1286"/>
      <c r="B31" s="1286"/>
      <c r="C31" s="1286"/>
      <c r="D31" s="1286"/>
      <c r="E31" s="1286"/>
      <c r="F31" s="1286"/>
      <c r="G31" s="1286"/>
      <c r="H31" s="1286"/>
      <c r="I31" s="1286"/>
      <c r="J31" s="1286"/>
      <c r="K31" s="1286"/>
      <c r="L31" s="1287"/>
      <c r="M31" s="1286"/>
      <c r="N31" s="1286"/>
      <c r="O31" s="1286"/>
      <c r="P31" s="1286"/>
      <c r="Q31" s="1286"/>
      <c r="S31" s="4403" t="s">
        <v>42</v>
      </c>
      <c r="T31" s="4403"/>
      <c r="U31" s="1290"/>
      <c r="V31" s="4405" t="str">
        <f>IF(TITLE_NAME_OR_PR_CHANGE="",IF(TITLE_NAME_OR_PR="","",TITLE_NAME_OR_PR),TITLE_NAME_OR_PR_CHANGE)</f>
        <v>Комитет по тарифному регулированию Мурманской области</v>
      </c>
      <c r="W31" s="4405"/>
      <c r="X31" s="4405"/>
      <c r="Y31" s="4405"/>
      <c r="Z31" s="4405"/>
      <c r="AA31" s="4405"/>
      <c r="AB31" s="4405"/>
      <c r="AC31" s="262"/>
      <c r="AD31" s="4405" t="str">
        <f>IF(TITLE_NAME_OR_PR_CHANGE="",IF(TITLE_NAME_OR_PR="","",TITLE_NAME_OR_PR),TITLE_NAME_OR_PR_CHANGE)</f>
        <v>Комитет по тарифному регулированию Мурманской области</v>
      </c>
      <c r="AE31" s="4405"/>
      <c r="AF31" s="4405"/>
      <c r="AG31" s="4405"/>
      <c r="AH31" s="4405"/>
      <c r="AI31" s="4405"/>
      <c r="AJ31" s="4405"/>
      <c r="AK31" s="4405"/>
      <c r="AL31" s="4405"/>
      <c r="AM31" s="4405"/>
      <c r="AN31" s="4405"/>
      <c r="AO31" s="4405"/>
      <c r="AP31" s="4405"/>
      <c r="AQ31" s="4405"/>
      <c r="AR31" s="4405"/>
      <c r="AS31" s="4405"/>
      <c r="AT31" s="4405"/>
      <c r="AU31" s="4405"/>
      <c r="AV31" s="4405"/>
      <c r="AW31" s="4405"/>
      <c r="AX31" s="4405"/>
      <c r="AY31" s="4405"/>
      <c r="AZ31" s="4405"/>
      <c r="BA31" s="262"/>
      <c r="BB31" s="262"/>
      <c r="BC31" s="216"/>
      <c r="BD31" s="303"/>
      <c r="BE31" s="303"/>
      <c r="BF31" s="303"/>
      <c r="BG31" s="303"/>
      <c r="BH31" s="303"/>
      <c r="BI31" s="353">
        <v>0</v>
      </c>
    </row>
    <row r="32" spans="1:61" s="4149" customFormat="1" ht="18.75" customHeight="1">
      <c r="A32" s="1286"/>
      <c r="B32" s="1286"/>
      <c r="C32" s="1286"/>
      <c r="D32" s="1286"/>
      <c r="E32" s="1286"/>
      <c r="F32" s="1286"/>
      <c r="G32" s="1286"/>
      <c r="H32" s="1286"/>
      <c r="I32" s="1286"/>
      <c r="J32" s="1286"/>
      <c r="K32" s="1286"/>
      <c r="L32" s="1287"/>
      <c r="M32" s="1286"/>
      <c r="N32" s="1286"/>
      <c r="O32" s="1286"/>
      <c r="P32" s="1286"/>
      <c r="Q32" s="1286"/>
      <c r="S32" s="4403" t="s">
        <v>441</v>
      </c>
      <c r="T32" s="4403"/>
      <c r="U32" s="1290"/>
      <c r="V32" s="4404">
        <f>IF(TITLE_DATE_PR_CHANGE="",IF(TITLE_DATE_PR="","",TITLE_DATE_PR),TITLE_DATE_PR_CHANGE)</f>
        <v>45646</v>
      </c>
      <c r="W32" s="4404"/>
      <c r="X32" s="4404"/>
      <c r="Y32" s="4404"/>
      <c r="Z32" s="4404"/>
      <c r="AA32" s="4404"/>
      <c r="AB32" s="4404"/>
      <c r="AC32" s="262"/>
      <c r="AD32" s="4404">
        <f>IF(TITLE_DATE_PR_CHANGE="",IF(TITLE_DATE_PR="","",TITLE_DATE_PR),TITLE_DATE_PR_CHANGE)</f>
        <v>45646</v>
      </c>
      <c r="AE32" s="4404"/>
      <c r="AF32" s="4404"/>
      <c r="AG32" s="4404"/>
      <c r="AH32" s="4404"/>
      <c r="AI32" s="4404"/>
      <c r="AJ32" s="4404"/>
      <c r="AK32" s="4404"/>
      <c r="AL32" s="4404"/>
      <c r="AM32" s="4404"/>
      <c r="AN32" s="4404"/>
      <c r="AO32" s="4404"/>
      <c r="AP32" s="4404"/>
      <c r="AQ32" s="4404"/>
      <c r="AR32" s="4404"/>
      <c r="AS32" s="4404"/>
      <c r="AT32" s="4404"/>
      <c r="AU32" s="4404"/>
      <c r="AV32" s="4404"/>
      <c r="AW32" s="4404"/>
      <c r="AX32" s="4404"/>
      <c r="AY32" s="4404"/>
      <c r="AZ32" s="4404"/>
      <c r="BA32" s="262"/>
      <c r="BB32" s="262"/>
      <c r="BC32" s="216"/>
      <c r="BD32" s="303"/>
      <c r="BE32" s="303"/>
      <c r="BF32" s="303"/>
      <c r="BG32" s="303"/>
      <c r="BH32" s="303"/>
      <c r="BI32" s="353">
        <v>0</v>
      </c>
    </row>
    <row r="33" spans="1:61" s="4149" customFormat="1" ht="18.75" customHeight="1">
      <c r="A33" s="1286"/>
      <c r="B33" s="1286"/>
      <c r="C33" s="1286"/>
      <c r="D33" s="1286"/>
      <c r="E33" s="1286"/>
      <c r="F33" s="1286"/>
      <c r="G33" s="1286"/>
      <c r="H33" s="1286"/>
      <c r="I33" s="1286"/>
      <c r="J33" s="1286"/>
      <c r="K33" s="1286"/>
      <c r="L33" s="1287"/>
      <c r="M33" s="1286"/>
      <c r="N33" s="1286"/>
      <c r="O33" s="1286"/>
      <c r="P33" s="1286"/>
      <c r="Q33" s="1286"/>
      <c r="S33" s="4403" t="s">
        <v>442</v>
      </c>
      <c r="T33" s="4403"/>
      <c r="U33" s="1290"/>
      <c r="V33" s="4405" t="str">
        <f>IF(TITLE_NUMBER_PR_CHANGE="",IF(TITLE_NUMBER_PR="","",TITLE_NUMBER_PR),TITLE_NUMBER_PR_CHANGE)</f>
        <v>51/110</v>
      </c>
      <c r="W33" s="4405"/>
      <c r="X33" s="4405"/>
      <c r="Y33" s="4405"/>
      <c r="Z33" s="4405"/>
      <c r="AA33" s="4405"/>
      <c r="AB33" s="4405"/>
      <c r="AC33" s="262"/>
      <c r="AD33" s="4405" t="str">
        <f>IF(TITLE_NUMBER_PR_CHANGE="",IF(TITLE_NUMBER_PR="","",TITLE_NUMBER_PR),TITLE_NUMBER_PR_CHANGE)</f>
        <v>51/110</v>
      </c>
      <c r="AE33" s="4405"/>
      <c r="AF33" s="4405"/>
      <c r="AG33" s="4405"/>
      <c r="AH33" s="4405"/>
      <c r="AI33" s="4405"/>
      <c r="AJ33" s="4405"/>
      <c r="AK33" s="4405"/>
      <c r="AL33" s="4405"/>
      <c r="AM33" s="4405"/>
      <c r="AN33" s="4405"/>
      <c r="AO33" s="4405"/>
      <c r="AP33" s="4405"/>
      <c r="AQ33" s="4405"/>
      <c r="AR33" s="4405"/>
      <c r="AS33" s="4405"/>
      <c r="AT33" s="4405"/>
      <c r="AU33" s="4405"/>
      <c r="AV33" s="4405"/>
      <c r="AW33" s="4405"/>
      <c r="AX33" s="4405"/>
      <c r="AY33" s="4405"/>
      <c r="AZ33" s="4405"/>
      <c r="BA33" s="262"/>
      <c r="BB33" s="262"/>
      <c r="BC33" s="216"/>
      <c r="BD33" s="303"/>
      <c r="BE33" s="303"/>
      <c r="BF33" s="303"/>
      <c r="BG33" s="303"/>
      <c r="BH33" s="303"/>
      <c r="BI33" s="353">
        <v>0</v>
      </c>
    </row>
    <row r="34" spans="1:61" s="4149" customFormat="1" ht="18.75" customHeight="1">
      <c r="A34" s="1286"/>
      <c r="B34" s="1286"/>
      <c r="C34" s="1286"/>
      <c r="D34" s="1286"/>
      <c r="E34" s="1286"/>
      <c r="F34" s="1286"/>
      <c r="G34" s="1286"/>
      <c r="H34" s="1286"/>
      <c r="I34" s="1286"/>
      <c r="J34" s="1286"/>
      <c r="K34" s="1286"/>
      <c r="L34" s="1287"/>
      <c r="M34" s="1286"/>
      <c r="N34" s="1286"/>
      <c r="O34" s="1286"/>
      <c r="P34" s="1286"/>
      <c r="Q34" s="1286"/>
      <c r="S34" s="4403" t="s">
        <v>44</v>
      </c>
      <c r="T34" s="4403"/>
      <c r="U34" s="1290"/>
      <c r="V34" s="4405" t="str">
        <f>IF(TITLE_IST_PUB_CHANGE="",IF(TITLE_IST_PUB="","",TITLE_IST_PUB),TITLE_IST_PUB_CHANGE)</f>
        <v>https://npa.gov-murman.ru/bitrix/components/b1team/govmurman.element.file/download.php?ID=537820&amp;FID=814582</v>
      </c>
      <c r="W34" s="4405"/>
      <c r="X34" s="4405"/>
      <c r="Y34" s="4405"/>
      <c r="Z34" s="4405"/>
      <c r="AA34" s="4405"/>
      <c r="AB34" s="4405"/>
      <c r="AC34" s="262"/>
      <c r="AD34" s="4405" t="str">
        <f>IF(TITLE_IST_PUB_CHANGE="",IF(TITLE_IST_PUB="","",TITLE_IST_PUB),TITLE_IST_PUB_CHANGE)</f>
        <v>https://npa.gov-murman.ru/bitrix/components/b1team/govmurman.element.file/download.php?ID=537820&amp;FID=814582</v>
      </c>
      <c r="AE34" s="4405"/>
      <c r="AF34" s="4405"/>
      <c r="AG34" s="4405"/>
      <c r="AH34" s="4405"/>
      <c r="AI34" s="4405"/>
      <c r="AJ34" s="4405"/>
      <c r="AK34" s="4405"/>
      <c r="AL34" s="4405"/>
      <c r="AM34" s="4405"/>
      <c r="AN34" s="4405"/>
      <c r="AO34" s="4405"/>
      <c r="AP34" s="4405"/>
      <c r="AQ34" s="4405"/>
      <c r="AR34" s="4405"/>
      <c r="AS34" s="4405"/>
      <c r="AT34" s="4405"/>
      <c r="AU34" s="4405"/>
      <c r="AV34" s="4405"/>
      <c r="AW34" s="4405"/>
      <c r="AX34" s="4405"/>
      <c r="AY34" s="4405"/>
      <c r="AZ34" s="440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4149" customFormat="1" ht="18.75" hidden="1" customHeight="1">
      <c r="A36" s="1286"/>
      <c r="B36" s="1286"/>
      <c r="C36" s="1286"/>
      <c r="D36" s="1286"/>
      <c r="E36" s="1286"/>
      <c r="F36" s="1286"/>
      <c r="G36" s="1286"/>
      <c r="H36" s="1286"/>
      <c r="I36" s="1286"/>
      <c r="J36" s="1286"/>
      <c r="K36" s="1286"/>
      <c r="L36" s="1287"/>
      <c r="M36" s="1286"/>
      <c r="N36" s="1286"/>
      <c r="O36" s="1286"/>
      <c r="P36" s="1286"/>
      <c r="Q36" s="1286"/>
      <c r="S36" s="4403" t="s">
        <v>441</v>
      </c>
      <c r="T36" s="4403"/>
      <c r="U36" s="1290"/>
      <c r="V36" s="4404">
        <f>IF(TITLE_DATE_PR_CHANGE="",IF(TITLE_DATE_PR="","",TITLE_DATE_PR),TITLE_DATE_PR_CHANGE)</f>
        <v>45646</v>
      </c>
      <c r="W36" s="4404"/>
      <c r="X36" s="4404"/>
      <c r="Y36" s="4404"/>
      <c r="Z36" s="4404"/>
      <c r="AA36" s="4404"/>
      <c r="AB36" s="4404"/>
      <c r="AC36" s="262"/>
      <c r="AD36" s="4404">
        <f>IF(TITLE_DATE_PR_CHANGE="",IF(TITLE_DATE_PR="","",TITLE_DATE_PR),TITLE_DATE_PR_CHANGE)</f>
        <v>45646</v>
      </c>
      <c r="AE36" s="4404"/>
      <c r="AF36" s="4404"/>
      <c r="AG36" s="4404"/>
      <c r="AH36" s="4404"/>
      <c r="AI36" s="4404"/>
      <c r="AJ36" s="4404"/>
      <c r="AK36" s="4404"/>
      <c r="AL36" s="4404"/>
      <c r="AM36" s="4404"/>
      <c r="AN36" s="4404"/>
      <c r="AO36" s="4404"/>
      <c r="AP36" s="4404"/>
      <c r="AQ36" s="4404"/>
      <c r="AR36" s="4404"/>
      <c r="AS36" s="4404"/>
      <c r="AT36" s="4404"/>
      <c r="AU36" s="4404"/>
      <c r="AV36" s="4404"/>
      <c r="AW36" s="4404"/>
      <c r="AX36" s="4404"/>
      <c r="AY36" s="4404"/>
      <c r="AZ36" s="4404"/>
      <c r="BA36" s="262"/>
      <c r="BB36" s="262"/>
      <c r="BC36" s="216"/>
      <c r="BD36" s="303"/>
      <c r="BE36" s="303"/>
      <c r="BF36" s="303"/>
      <c r="BG36" s="303"/>
      <c r="BH36" s="303"/>
      <c r="BI36" s="353">
        <v>0</v>
      </c>
    </row>
    <row r="37" spans="1:61" s="4149" customFormat="1" ht="18.75" hidden="1" customHeight="1">
      <c r="A37" s="1286"/>
      <c r="B37" s="1286"/>
      <c r="C37" s="1286"/>
      <c r="D37" s="1286"/>
      <c r="E37" s="1286"/>
      <c r="F37" s="1286"/>
      <c r="G37" s="1286"/>
      <c r="H37" s="1286"/>
      <c r="I37" s="1286"/>
      <c r="J37" s="1286"/>
      <c r="K37" s="1286"/>
      <c r="L37" s="1287"/>
      <c r="M37" s="1286"/>
      <c r="N37" s="1286"/>
      <c r="O37" s="1286"/>
      <c r="P37" s="1286"/>
      <c r="Q37" s="1286"/>
      <c r="S37" s="4403" t="s">
        <v>442</v>
      </c>
      <c r="T37" s="4403"/>
      <c r="U37" s="1290"/>
      <c r="V37" s="4405" t="str">
        <f>IF(TITLE_NUMBER_PR_CHANGE="",IF(TITLE_NUMBER_PR="","",TITLE_NUMBER_PR),TITLE_NUMBER_PR_CHANGE)</f>
        <v>51/110</v>
      </c>
      <c r="W37" s="4405"/>
      <c r="X37" s="4405"/>
      <c r="Y37" s="4405"/>
      <c r="Z37" s="4405"/>
      <c r="AA37" s="4405"/>
      <c r="AB37" s="4405"/>
      <c r="AC37" s="262"/>
      <c r="AD37" s="4405" t="str">
        <f>IF(TITLE_NUMBER_PR_CHANGE="",IF(TITLE_NUMBER_PR="","",TITLE_NUMBER_PR),TITLE_NUMBER_PR_CHANGE)</f>
        <v>51/110</v>
      </c>
      <c r="AE37" s="4405"/>
      <c r="AF37" s="4405"/>
      <c r="AG37" s="4405"/>
      <c r="AH37" s="4405"/>
      <c r="AI37" s="4405"/>
      <c r="AJ37" s="4405"/>
      <c r="AK37" s="4405"/>
      <c r="AL37" s="4405"/>
      <c r="AM37" s="4405"/>
      <c r="AN37" s="4405"/>
      <c r="AO37" s="4405"/>
      <c r="AP37" s="4405"/>
      <c r="AQ37" s="4405"/>
      <c r="AR37" s="4405"/>
      <c r="AS37" s="4405"/>
      <c r="AT37" s="4405"/>
      <c r="AU37" s="4405"/>
      <c r="AV37" s="4405"/>
      <c r="AW37" s="4405"/>
      <c r="AX37" s="4405"/>
      <c r="AY37" s="4405"/>
      <c r="AZ37" s="4405"/>
      <c r="BA37" s="262"/>
      <c r="BB37" s="262"/>
      <c r="BC37" s="216"/>
      <c r="BD37" s="303"/>
      <c r="BE37" s="303"/>
      <c r="BF37" s="303"/>
      <c r="BG37" s="303"/>
      <c r="BH37" s="303"/>
      <c r="BI37" s="353">
        <v>0</v>
      </c>
    </row>
    <row r="38" spans="1:61" s="4149"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445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445</v>
      </c>
      <c r="BD38" s="303"/>
      <c r="BE38" s="303"/>
      <c r="BF38" s="303"/>
      <c r="BG38" s="303"/>
      <c r="BH38" s="303"/>
      <c r="BI38" s="353">
        <v>0</v>
      </c>
    </row>
    <row r="39" spans="1:61" ht="14.65" customHeight="1">
      <c r="Q39" s="227"/>
      <c r="R39" s="311"/>
      <c r="S39" s="1193"/>
      <c r="T39" s="298"/>
      <c r="U39" s="1162"/>
      <c r="V39" s="4424"/>
      <c r="W39" s="4424"/>
      <c r="X39" s="4424"/>
      <c r="Y39" s="4424"/>
      <c r="Z39" s="4424"/>
      <c r="AA39" s="4424"/>
      <c r="AB39" s="4424"/>
      <c r="AC39" s="4424"/>
      <c r="AD39" s="4424"/>
      <c r="AE39" s="4424"/>
      <c r="AF39" s="4424"/>
      <c r="AG39" s="4424"/>
      <c r="AH39" s="4424"/>
      <c r="AI39" s="4424"/>
      <c r="AJ39" s="4424"/>
      <c r="AK39" s="4424"/>
      <c r="AL39" s="4424"/>
      <c r="AM39" s="4424"/>
      <c r="AN39" s="4424"/>
      <c r="AO39" s="4424"/>
      <c r="AP39" s="4424"/>
      <c r="AQ39" s="4424"/>
      <c r="AR39" s="4424"/>
      <c r="AS39" s="4424"/>
      <c r="AT39" s="4424"/>
      <c r="AU39" s="4424"/>
      <c r="AV39" s="4424"/>
      <c r="AW39" s="4424"/>
      <c r="AX39" s="4424"/>
      <c r="AY39" s="4424"/>
      <c r="AZ39" s="4424"/>
      <c r="BA39" s="4424"/>
      <c r="BI39" s="1073">
        <v>14</v>
      </c>
    </row>
    <row r="40" spans="1:61" ht="14.65" customHeight="1">
      <c r="Q40" s="227"/>
      <c r="R40" s="311"/>
      <c r="S40" s="4274" t="s">
        <v>321</v>
      </c>
      <c r="T40" s="4274"/>
      <c r="U40" s="4274"/>
      <c r="V40" s="4274"/>
      <c r="W40" s="4274"/>
      <c r="X40" s="4274"/>
      <c r="Y40" s="4274"/>
      <c r="Z40" s="4274"/>
      <c r="AA40" s="4274"/>
      <c r="AB40" s="4274"/>
      <c r="AC40" s="4274"/>
      <c r="AD40" s="4274"/>
      <c r="AE40" s="4274"/>
      <c r="AF40" s="4274"/>
      <c r="AG40" s="4274"/>
      <c r="AH40" s="4274"/>
      <c r="AI40" s="4274"/>
      <c r="AJ40" s="4274"/>
      <c r="AK40" s="4274"/>
      <c r="AL40" s="4274"/>
      <c r="AM40" s="4274"/>
      <c r="AN40" s="4274"/>
      <c r="AO40" s="4274"/>
      <c r="AP40" s="4274"/>
      <c r="AQ40" s="4274"/>
      <c r="AR40" s="4274"/>
      <c r="AS40" s="4274"/>
      <c r="AT40" s="4274"/>
      <c r="AU40" s="4274"/>
      <c r="AV40" s="4274"/>
      <c r="AW40" s="4274"/>
      <c r="AX40" s="4274"/>
      <c r="AY40" s="4274"/>
      <c r="AZ40" s="4274"/>
      <c r="BA40" s="4274"/>
      <c r="BB40" s="4274"/>
      <c r="BC40" s="4274" t="s">
        <v>322</v>
      </c>
      <c r="BI40" s="1073">
        <v>14</v>
      </c>
    </row>
    <row r="41" spans="1:61" ht="14.65" customHeight="1">
      <c r="Q41" s="227"/>
      <c r="R41" s="311"/>
      <c r="S41" s="4425" t="s">
        <v>92</v>
      </c>
      <c r="T41" s="4373" t="s">
        <v>528</v>
      </c>
      <c r="U41" s="237"/>
      <c r="V41" s="4426" t="s">
        <v>447</v>
      </c>
      <c r="W41" s="4427"/>
      <c r="X41" s="4427"/>
      <c r="Y41" s="4427"/>
      <c r="Z41" s="4427"/>
      <c r="AA41" s="4427"/>
      <c r="AB41" s="4428"/>
      <c r="AC41" s="4429" t="s">
        <v>448</v>
      </c>
      <c r="AD41" s="4458" t="s">
        <v>529</v>
      </c>
      <c r="AE41" s="4442"/>
      <c r="AF41" s="4442"/>
      <c r="AG41" s="4459"/>
      <c r="AH41" s="4458" t="s">
        <v>530</v>
      </c>
      <c r="AI41" s="4442"/>
      <c r="AJ41" s="4442"/>
      <c r="AK41" s="4459"/>
      <c r="AL41" s="4458" t="s">
        <v>531</v>
      </c>
      <c r="AM41" s="4442"/>
      <c r="AN41" s="4442"/>
      <c r="AO41" s="4459"/>
      <c r="AP41" s="4458" t="s">
        <v>532</v>
      </c>
      <c r="AQ41" s="4442"/>
      <c r="AR41" s="4442"/>
      <c r="AS41" s="4459"/>
      <c r="AT41" s="4426" t="s">
        <v>447</v>
      </c>
      <c r="AU41" s="4427"/>
      <c r="AV41" s="4427"/>
      <c r="AW41" s="4427"/>
      <c r="AX41" s="4427"/>
      <c r="AY41" s="4427"/>
      <c r="AZ41" s="4428"/>
      <c r="BA41" s="4429" t="s">
        <v>448</v>
      </c>
      <c r="BB41" s="4432" t="s">
        <v>450</v>
      </c>
      <c r="BC41" s="4274"/>
      <c r="BI41" s="1073">
        <v>14</v>
      </c>
    </row>
    <row r="42" spans="1:61" ht="35.65" customHeight="1">
      <c r="Q42" s="227"/>
      <c r="R42" s="311"/>
      <c r="S42" s="4425"/>
      <c r="T42" s="4373"/>
      <c r="U42" s="953"/>
      <c r="V42" s="4346" t="s">
        <v>533</v>
      </c>
      <c r="W42" s="4347"/>
      <c r="X42" s="4346" t="s">
        <v>534</v>
      </c>
      <c r="Y42" s="4347"/>
      <c r="Z42" s="4346" t="s">
        <v>535</v>
      </c>
      <c r="AA42" s="4454"/>
      <c r="AB42" s="4347"/>
      <c r="AC42" s="4430"/>
      <c r="AD42" s="4460"/>
      <c r="AE42" s="4461"/>
      <c r="AF42" s="4461"/>
      <c r="AG42" s="4473"/>
      <c r="AH42" s="4460"/>
      <c r="AI42" s="4461"/>
      <c r="AJ42" s="4461"/>
      <c r="AK42" s="4473"/>
      <c r="AL42" s="4460"/>
      <c r="AM42" s="4461"/>
      <c r="AN42" s="4461"/>
      <c r="AO42" s="4473"/>
      <c r="AP42" s="4460"/>
      <c r="AQ42" s="4461"/>
      <c r="AR42" s="4461"/>
      <c r="AS42" s="4473"/>
      <c r="AT42" s="4346" t="s">
        <v>533</v>
      </c>
      <c r="AU42" s="4347"/>
      <c r="AV42" s="4346" t="s">
        <v>534</v>
      </c>
      <c r="AW42" s="4347"/>
      <c r="AX42" s="4346" t="s">
        <v>535</v>
      </c>
      <c r="AY42" s="4454"/>
      <c r="AZ42" s="4347"/>
      <c r="BA42" s="4430"/>
      <c r="BB42" s="4433"/>
      <c r="BC42" s="4274"/>
      <c r="BI42" s="1073">
        <v>34</v>
      </c>
    </row>
    <row r="43" spans="1:61" ht="14.65" customHeight="1">
      <c r="Q43" s="227"/>
      <c r="R43" s="311"/>
      <c r="S43" s="4425"/>
      <c r="T43" s="4373"/>
      <c r="U43" s="953"/>
      <c r="V43" s="4351"/>
      <c r="W43" s="4352"/>
      <c r="X43" s="4351"/>
      <c r="Y43" s="4352"/>
      <c r="Z43" s="4351"/>
      <c r="AA43" s="4455"/>
      <c r="AB43" s="4352"/>
      <c r="AC43" s="4430"/>
      <c r="AD43" s="4460"/>
      <c r="AE43" s="4461"/>
      <c r="AF43" s="4461"/>
      <c r="AG43" s="4473"/>
      <c r="AH43" s="4460"/>
      <c r="AI43" s="4461"/>
      <c r="AJ43" s="4461"/>
      <c r="AK43" s="4473"/>
      <c r="AL43" s="4460"/>
      <c r="AM43" s="4461"/>
      <c r="AN43" s="4461"/>
      <c r="AO43" s="4473"/>
      <c r="AP43" s="4460"/>
      <c r="AQ43" s="4461"/>
      <c r="AR43" s="4461"/>
      <c r="AS43" s="4473"/>
      <c r="AT43" s="4351"/>
      <c r="AU43" s="4352"/>
      <c r="AV43" s="4351"/>
      <c r="AW43" s="4352"/>
      <c r="AX43" s="4351"/>
      <c r="AY43" s="4455"/>
      <c r="AZ43" s="4352"/>
      <c r="BA43" s="4430"/>
      <c r="BB43" s="4433"/>
      <c r="BC43" s="4274"/>
      <c r="BI43" s="1073">
        <v>14</v>
      </c>
    </row>
    <row r="44" spans="1:61" ht="14.65" customHeight="1">
      <c r="A44" s="1288"/>
      <c r="B44" s="1288" t="s">
        <v>138</v>
      </c>
      <c r="C44" s="1288" t="s">
        <v>139</v>
      </c>
      <c r="D44" s="1288" t="s">
        <v>140</v>
      </c>
      <c r="E44" s="1282" t="s">
        <v>455</v>
      </c>
      <c r="F44" s="1282" t="s">
        <v>456</v>
      </c>
      <c r="G44" s="1282" t="s">
        <v>457</v>
      </c>
      <c r="H44" s="1282" t="s">
        <v>458</v>
      </c>
      <c r="I44" s="1282" t="s">
        <v>459</v>
      </c>
      <c r="J44" s="1282" t="s">
        <v>460</v>
      </c>
      <c r="K44" s="1282" t="s">
        <v>461</v>
      </c>
      <c r="L44" s="1282" t="s">
        <v>436</v>
      </c>
      <c r="Q44" s="227"/>
      <c r="R44" s="311"/>
      <c r="S44" s="4425"/>
      <c r="T44" s="4373"/>
      <c r="U44" s="238"/>
      <c r="V44" s="1397" t="s">
        <v>499</v>
      </c>
      <c r="W44" s="1397" t="s">
        <v>500</v>
      </c>
      <c r="X44" s="1397" t="s">
        <v>499</v>
      </c>
      <c r="Y44" s="1397" t="s">
        <v>500</v>
      </c>
      <c r="Z44" s="1407" t="s">
        <v>464</v>
      </c>
      <c r="AA44" s="4378" t="s">
        <v>465</v>
      </c>
      <c r="AB44" s="4392"/>
      <c r="AC44" s="4431"/>
      <c r="AD44" s="4462"/>
      <c r="AE44" s="4463"/>
      <c r="AF44" s="4463"/>
      <c r="AG44" s="4464"/>
      <c r="AH44" s="4462"/>
      <c r="AI44" s="4463"/>
      <c r="AJ44" s="4463"/>
      <c r="AK44" s="4464"/>
      <c r="AL44" s="4462"/>
      <c r="AM44" s="4463"/>
      <c r="AN44" s="4463"/>
      <c r="AO44" s="4464"/>
      <c r="AP44" s="4462"/>
      <c r="AQ44" s="4463"/>
      <c r="AR44" s="4463"/>
      <c r="AS44" s="4464"/>
      <c r="AT44" s="1397" t="s">
        <v>499</v>
      </c>
      <c r="AU44" s="1397" t="s">
        <v>500</v>
      </c>
      <c r="AV44" s="1397" t="s">
        <v>499</v>
      </c>
      <c r="AW44" s="1397" t="s">
        <v>500</v>
      </c>
      <c r="AX44" s="1407" t="s">
        <v>464</v>
      </c>
      <c r="AY44" s="4378" t="s">
        <v>465</v>
      </c>
      <c r="AZ44" s="4392"/>
      <c r="BA44" s="4431"/>
      <c r="BB44" s="4434"/>
      <c r="BC44" s="4274"/>
      <c r="BI44" s="1073">
        <v>14</v>
      </c>
    </row>
    <row r="45" spans="1:61" s="4164"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114</v>
      </c>
      <c r="U45" s="1163" t="str">
        <f ca="1">OFFSET(U45,0,-1)</f>
        <v>2</v>
      </c>
      <c r="V45" s="1400">
        <f t="shared" ref="V45:AA45" ca="1" si="2">OFFSET(V45,0,-1)+1</f>
        <v>3</v>
      </c>
      <c r="W45" s="1400">
        <f t="shared" ca="1" si="2"/>
        <v>4</v>
      </c>
      <c r="X45" s="1400">
        <f t="shared" ca="1" si="2"/>
        <v>5</v>
      </c>
      <c r="Y45" s="1400">
        <f t="shared" ca="1" si="2"/>
        <v>6</v>
      </c>
      <c r="Z45" s="1400">
        <f t="shared" ca="1" si="2"/>
        <v>7</v>
      </c>
      <c r="AA45" s="4423">
        <f t="shared" ca="1" si="2"/>
        <v>8</v>
      </c>
      <c r="AB45" s="442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4423">
        <f ca="1">OFFSET(AY45,0,-1)+1</f>
        <v>3</v>
      </c>
      <c r="AZ45" s="4423"/>
      <c r="BA45" s="1400">
        <f ca="1">OFFSET(BA45,0,-2)+1</f>
        <v>4</v>
      </c>
      <c r="BB45" s="1163">
        <f ca="1">OFFSET(BB45,0,-1)</f>
        <v>4</v>
      </c>
      <c r="BC45" s="1400">
        <f ca="1">OFFSET(BC45,0,-1)+1</f>
        <v>5</v>
      </c>
      <c r="BD45" s="446"/>
      <c r="BE45" s="446"/>
      <c r="BF45" s="446"/>
      <c r="BG45" s="446"/>
      <c r="BH45" s="446"/>
      <c r="BI45" s="431">
        <v>0</v>
      </c>
    </row>
    <row r="46" spans="1:61" ht="21.95" customHeight="1">
      <c r="A46" s="1281" t="s">
        <v>282</v>
      </c>
      <c r="B46" s="1281"/>
      <c r="C46" s="1281"/>
      <c r="D46" s="1281"/>
      <c r="E46" s="441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126</v>
      </c>
      <c r="U46" s="236"/>
      <c r="V46" s="4407"/>
      <c r="W46" s="4407"/>
      <c r="X46" s="4407"/>
      <c r="Y46" s="4407"/>
      <c r="Z46" s="4407"/>
      <c r="AA46" s="4407"/>
      <c r="AB46" s="4407"/>
      <c r="AC46" s="4408"/>
      <c r="AD46" s="4406" t="str">
        <f>INDEX(PT_DIFFERENTIATION_NTAR,MATCH(A46,PT_DIFFERENTIATION_NTAR_ID,0))</f>
        <v/>
      </c>
      <c r="AE46" s="4407"/>
      <c r="AF46" s="4407"/>
      <c r="AG46" s="4407"/>
      <c r="AH46" s="4407"/>
      <c r="AI46" s="4407"/>
      <c r="AJ46" s="4407"/>
      <c r="AK46" s="4407"/>
      <c r="AL46" s="4407"/>
      <c r="AM46" s="4407"/>
      <c r="AN46" s="4407"/>
      <c r="AO46" s="4407"/>
      <c r="AP46" s="4407"/>
      <c r="AQ46" s="4407"/>
      <c r="AR46" s="4407"/>
      <c r="AS46" s="4407"/>
      <c r="AT46" s="4407"/>
      <c r="AU46" s="4407"/>
      <c r="AV46" s="4407"/>
      <c r="AW46" s="4407"/>
      <c r="AX46" s="4407"/>
      <c r="AY46" s="4407"/>
      <c r="AZ46" s="4407"/>
      <c r="BA46" s="4407"/>
      <c r="BB46" s="440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282</v>
      </c>
      <c r="B47" s="1281" t="s">
        <v>283</v>
      </c>
      <c r="C47" s="1281"/>
      <c r="D47" s="1281"/>
      <c r="E47" s="4413"/>
      <c r="F47" s="4412">
        <v>1</v>
      </c>
      <c r="G47" s="1281"/>
      <c r="H47" s="1281"/>
      <c r="I47" s="1281"/>
      <c r="J47" s="1281"/>
      <c r="K47" s="1281"/>
      <c r="L47" s="1282"/>
      <c r="M47" s="1283"/>
      <c r="N47" s="1283"/>
      <c r="O47" s="1283"/>
      <c r="P47" s="1328"/>
      <c r="Q47" s="1329"/>
      <c r="R47" s="288"/>
      <c r="S47" s="1411" t="str">
        <f>INDEX(PT_DIFFERENTIATION_NUM_TER,MATCH(B47,PT_DIFFERENTIATION_TER_ID,0))</f>
        <v>.</v>
      </c>
      <c r="T47" s="244" t="s">
        <v>418</v>
      </c>
      <c r="U47" s="236"/>
      <c r="V47" s="4407"/>
      <c r="W47" s="4407"/>
      <c r="X47" s="4407"/>
      <c r="Y47" s="4407"/>
      <c r="Z47" s="4407"/>
      <c r="AA47" s="4407"/>
      <c r="AB47" s="4407"/>
      <c r="AC47" s="4408"/>
      <c r="AD47" s="4406" t="str">
        <f>INDEX(PT_DIFFERENTIATION_TER,MATCH(B47,PT_DIFFERENTIATION_TER_ID,0))</f>
        <v/>
      </c>
      <c r="AE47" s="4407"/>
      <c r="AF47" s="4407"/>
      <c r="AG47" s="4407"/>
      <c r="AH47" s="4407"/>
      <c r="AI47" s="4407"/>
      <c r="AJ47" s="4407"/>
      <c r="AK47" s="4407"/>
      <c r="AL47" s="4407"/>
      <c r="AM47" s="4407"/>
      <c r="AN47" s="4407"/>
      <c r="AO47" s="4407"/>
      <c r="AP47" s="4407"/>
      <c r="AQ47" s="4407"/>
      <c r="AR47" s="4407"/>
      <c r="AS47" s="4407"/>
      <c r="AT47" s="4407"/>
      <c r="AU47" s="4407"/>
      <c r="AV47" s="4407"/>
      <c r="AW47" s="4407"/>
      <c r="AX47" s="4407"/>
      <c r="AY47" s="4407"/>
      <c r="AZ47" s="4407"/>
      <c r="BA47" s="4407"/>
      <c r="BB47" s="4408"/>
      <c r="BC47" s="1176" t="s">
        <v>419</v>
      </c>
      <c r="BE47" s="435"/>
      <c r="BF47" s="435" t="str">
        <f t="shared" si="3"/>
        <v>Территория действия тарифа</v>
      </c>
      <c r="BG47" s="435"/>
      <c r="BH47" s="435"/>
      <c r="BI47" s="1073">
        <v>21</v>
      </c>
    </row>
    <row r="48" spans="1:61" ht="35.65" customHeight="1">
      <c r="A48" s="1281" t="s">
        <v>282</v>
      </c>
      <c r="B48" s="1281" t="s">
        <v>283</v>
      </c>
      <c r="C48" s="1281" t="s">
        <v>284</v>
      </c>
      <c r="D48" s="1281"/>
      <c r="E48" s="4413"/>
      <c r="F48" s="4413"/>
      <c r="G48" s="4412">
        <v>1</v>
      </c>
      <c r="H48" s="1281"/>
      <c r="I48" s="1281"/>
      <c r="J48" s="1281"/>
      <c r="K48" s="1281"/>
      <c r="L48" s="1282"/>
      <c r="M48" s="1283"/>
      <c r="N48" s="1283"/>
      <c r="O48" s="1283"/>
      <c r="P48" s="1330"/>
      <c r="Q48" s="1329"/>
      <c r="R48" s="288"/>
      <c r="S48" s="1411" t="str">
        <f>INDEX(PT_DIFFERENTIATION_NUM_CS,MATCH(C48,PT_DIFFERENTIATION_CS_ID,0))</f>
        <v>..</v>
      </c>
      <c r="T48" s="245" t="s">
        <v>551</v>
      </c>
      <c r="U48" s="236"/>
      <c r="V48" s="4407"/>
      <c r="W48" s="4407"/>
      <c r="X48" s="4407"/>
      <c r="Y48" s="4407"/>
      <c r="Z48" s="4407"/>
      <c r="AA48" s="4407"/>
      <c r="AB48" s="4407"/>
      <c r="AC48" s="4408"/>
      <c r="AD48" s="4406" t="str">
        <f>INDEX(PT_DIFFERENTIATION_CS,MATCH(C48,PT_DIFFERENTIATION_CS_ID,0))</f>
        <v/>
      </c>
      <c r="AE48" s="4407"/>
      <c r="AF48" s="4407"/>
      <c r="AG48" s="4407"/>
      <c r="AH48" s="4407"/>
      <c r="AI48" s="4407"/>
      <c r="AJ48" s="4407"/>
      <c r="AK48" s="4407"/>
      <c r="AL48" s="4407"/>
      <c r="AM48" s="4407"/>
      <c r="AN48" s="4407"/>
      <c r="AO48" s="4407"/>
      <c r="AP48" s="4407"/>
      <c r="AQ48" s="4407"/>
      <c r="AR48" s="4407"/>
      <c r="AS48" s="4407"/>
      <c r="AT48" s="4407"/>
      <c r="AU48" s="4407"/>
      <c r="AV48" s="4407"/>
      <c r="AW48" s="4407"/>
      <c r="AX48" s="4407"/>
      <c r="AY48" s="4407"/>
      <c r="AZ48" s="4407"/>
      <c r="BA48" s="4407"/>
      <c r="BB48" s="4408"/>
      <c r="BC48" s="1176" t="s">
        <v>552</v>
      </c>
      <c r="BE48" s="435"/>
      <c r="BF48" s="435" t="str">
        <f t="shared" si="3"/>
        <v>Наименование централизованной системы горячего водоснабжения</v>
      </c>
      <c r="BG48" s="435"/>
      <c r="BH48" s="435"/>
      <c r="BI48" s="1073">
        <v>34</v>
      </c>
    </row>
    <row r="49" spans="1:61" s="4140" customFormat="1" ht="0" hidden="1" customHeight="1">
      <c r="A49" s="1261" t="s">
        <v>282</v>
      </c>
      <c r="B49" s="1261" t="s">
        <v>283</v>
      </c>
      <c r="C49" s="1261" t="s">
        <v>284</v>
      </c>
      <c r="D49" s="1261" t="s">
        <v>565</v>
      </c>
      <c r="E49" s="4413"/>
      <c r="F49" s="4413"/>
      <c r="G49" s="4413"/>
      <c r="H49" s="4412">
        <v>1</v>
      </c>
      <c r="I49" s="1261"/>
      <c r="J49" s="1261"/>
      <c r="K49" s="1261"/>
      <c r="L49" s="1264"/>
      <c r="M49" s="1233"/>
      <c r="N49" s="1233"/>
      <c r="O49" s="1233"/>
      <c r="P49" s="1415"/>
      <c r="Q49" s="1416"/>
      <c r="R49" s="292"/>
      <c r="S49" s="964"/>
      <c r="T49" s="1417"/>
      <c r="U49" s="1302"/>
      <c r="V49" s="4444"/>
      <c r="W49" s="4444"/>
      <c r="X49" s="4444"/>
      <c r="Y49" s="4444"/>
      <c r="Z49" s="4444"/>
      <c r="AA49" s="4444"/>
      <c r="AB49" s="4444"/>
      <c r="AC49" s="4445"/>
      <c r="AD49" s="4443"/>
      <c r="AE49" s="4444"/>
      <c r="AF49" s="4444"/>
      <c r="AG49" s="4444"/>
      <c r="AH49" s="4444"/>
      <c r="AI49" s="4444"/>
      <c r="AJ49" s="4444"/>
      <c r="AK49" s="4444"/>
      <c r="AL49" s="4444"/>
      <c r="AM49" s="4444"/>
      <c r="AN49" s="4444"/>
      <c r="AO49" s="4444"/>
      <c r="AP49" s="4444"/>
      <c r="AQ49" s="4444"/>
      <c r="AR49" s="4444"/>
      <c r="AS49" s="4444"/>
      <c r="AT49" s="4444"/>
      <c r="AU49" s="4444"/>
      <c r="AV49" s="4444"/>
      <c r="AW49" s="4444"/>
      <c r="AX49" s="4444"/>
      <c r="AY49" s="4444"/>
      <c r="AZ49" s="4444"/>
      <c r="BA49" s="4444"/>
      <c r="BB49" s="4445"/>
      <c r="BC49" s="1303" t="s">
        <v>423</v>
      </c>
      <c r="BE49" s="435"/>
      <c r="BF49" s="435" t="str">
        <f t="shared" si="3"/>
        <v/>
      </c>
      <c r="BG49" s="435"/>
      <c r="BH49" s="435"/>
      <c r="BI49" s="446">
        <v>0</v>
      </c>
    </row>
    <row r="50" spans="1:61" s="4140" customFormat="1" ht="0" hidden="1" customHeight="1">
      <c r="A50" s="1261" t="s">
        <v>282</v>
      </c>
      <c r="B50" s="1261" t="s">
        <v>283</v>
      </c>
      <c r="C50" s="1261" t="s">
        <v>284</v>
      </c>
      <c r="D50" s="1261" t="s">
        <v>565</v>
      </c>
      <c r="E50" s="4413"/>
      <c r="F50" s="4413"/>
      <c r="G50" s="4413"/>
      <c r="H50" s="4413"/>
      <c r="I50" s="4414" t="str">
        <f>S49&amp;".1"</f>
        <v>.1</v>
      </c>
      <c r="J50" s="1261"/>
      <c r="K50" s="1261"/>
      <c r="L50" s="1264" t="s">
        <v>424</v>
      </c>
      <c r="M50" s="445"/>
      <c r="N50" s="445"/>
      <c r="O50" s="445"/>
      <c r="P50" s="4416">
        <v>1</v>
      </c>
      <c r="Q50" s="1399"/>
      <c r="R50" s="291"/>
      <c r="S50" s="964"/>
      <c r="T50" s="1301"/>
      <c r="U50" s="1302"/>
      <c r="V50" s="4444"/>
      <c r="W50" s="4444"/>
      <c r="X50" s="4444"/>
      <c r="Y50" s="4444"/>
      <c r="Z50" s="4444"/>
      <c r="AA50" s="4444"/>
      <c r="AB50" s="4444"/>
      <c r="AC50" s="4445"/>
      <c r="AD50" s="4443"/>
      <c r="AE50" s="4444"/>
      <c r="AF50" s="4444"/>
      <c r="AG50" s="4444"/>
      <c r="AH50" s="4444"/>
      <c r="AI50" s="4444"/>
      <c r="AJ50" s="4444"/>
      <c r="AK50" s="4444"/>
      <c r="AL50" s="4444"/>
      <c r="AM50" s="4444"/>
      <c r="AN50" s="4444"/>
      <c r="AO50" s="4444"/>
      <c r="AP50" s="4444"/>
      <c r="AQ50" s="4444"/>
      <c r="AR50" s="4444"/>
      <c r="AS50" s="4444"/>
      <c r="AT50" s="4444"/>
      <c r="AU50" s="4444"/>
      <c r="AV50" s="4444"/>
      <c r="AW50" s="4444"/>
      <c r="AX50" s="4444"/>
      <c r="AY50" s="4444"/>
      <c r="AZ50" s="4444"/>
      <c r="BA50" s="4444"/>
      <c r="BB50" s="4445"/>
      <c r="BC50" s="1303"/>
      <c r="BE50" s="435"/>
      <c r="BF50" s="435" t="str">
        <f t="shared" si="3"/>
        <v/>
      </c>
      <c r="BG50" s="435"/>
      <c r="BH50" s="435"/>
      <c r="BI50" s="446">
        <v>0</v>
      </c>
    </row>
    <row r="51" spans="1:61" s="4140" customFormat="1" ht="0" hidden="1" customHeight="1">
      <c r="A51" s="1261" t="s">
        <v>282</v>
      </c>
      <c r="B51" s="1261" t="s">
        <v>283</v>
      </c>
      <c r="C51" s="1261" t="s">
        <v>284</v>
      </c>
      <c r="D51" s="1261" t="s">
        <v>565</v>
      </c>
      <c r="E51" s="4413"/>
      <c r="F51" s="4413"/>
      <c r="G51" s="4413"/>
      <c r="H51" s="4413"/>
      <c r="I51" s="4415"/>
      <c r="J51" s="4414" t="str">
        <f>S49&amp;".1"</f>
        <v>.1</v>
      </c>
      <c r="K51" s="1261"/>
      <c r="L51" s="1264"/>
      <c r="M51" s="445"/>
      <c r="N51" s="445"/>
      <c r="O51" s="445"/>
      <c r="P51" s="4416"/>
      <c r="Q51" s="4416">
        <v>1</v>
      </c>
      <c r="R51" s="292"/>
      <c r="S51" s="964"/>
      <c r="T51" s="1317"/>
      <c r="U51" s="1302"/>
      <c r="V51" s="4444"/>
      <c r="W51" s="4444"/>
      <c r="X51" s="4444"/>
      <c r="Y51" s="4444"/>
      <c r="Z51" s="4444"/>
      <c r="AA51" s="4444"/>
      <c r="AB51" s="4444"/>
      <c r="AC51" s="4445"/>
      <c r="AD51" s="4443"/>
      <c r="AE51" s="4444"/>
      <c r="AF51" s="4444"/>
      <c r="AG51" s="4444"/>
      <c r="AH51" s="4444"/>
      <c r="AI51" s="4444"/>
      <c r="AJ51" s="4444"/>
      <c r="AK51" s="4444"/>
      <c r="AL51" s="4444"/>
      <c r="AM51" s="4444"/>
      <c r="AN51" s="4495"/>
      <c r="AO51" s="4495"/>
      <c r="AP51" s="4444"/>
      <c r="AQ51" s="4444"/>
      <c r="AR51" s="4444"/>
      <c r="AS51" s="4444"/>
      <c r="AT51" s="4444"/>
      <c r="AU51" s="4444"/>
      <c r="AV51" s="4444"/>
      <c r="AW51" s="4444"/>
      <c r="AX51" s="4444"/>
      <c r="AY51" s="4444"/>
      <c r="AZ51" s="4444"/>
      <c r="BA51" s="4444"/>
      <c r="BB51" s="4445"/>
      <c r="BC51" s="1303"/>
      <c r="BE51" s="435"/>
      <c r="BF51" s="435" t="str">
        <f t="shared" si="3"/>
        <v/>
      </c>
      <c r="BG51" s="435"/>
      <c r="BH51" s="435"/>
      <c r="BI51" s="446">
        <v>0</v>
      </c>
    </row>
    <row r="52" spans="1:61" ht="11.45" customHeight="1">
      <c r="A52" s="1281" t="s">
        <v>282</v>
      </c>
      <c r="B52" s="1281" t="s">
        <v>283</v>
      </c>
      <c r="C52" s="1281" t="s">
        <v>284</v>
      </c>
      <c r="D52" s="1281" t="s">
        <v>565</v>
      </c>
      <c r="E52" s="4413"/>
      <c r="F52" s="4413"/>
      <c r="G52" s="4413"/>
      <c r="H52" s="4413"/>
      <c r="I52" s="4415"/>
      <c r="J52" s="4415"/>
      <c r="K52" s="4414" t="str">
        <f>S48&amp;".1"</f>
        <v>...1</v>
      </c>
      <c r="L52" s="1282"/>
      <c r="P52" s="4416"/>
      <c r="Q52" s="4416"/>
      <c r="R52" s="292">
        <v>1</v>
      </c>
      <c r="S52" s="4469" t="str">
        <f>$K52</f>
        <v>...1</v>
      </c>
      <c r="T52" s="4489"/>
      <c r="U52" s="236"/>
      <c r="V52" s="686"/>
      <c r="W52" s="1175"/>
      <c r="X52" s="686"/>
      <c r="Y52" s="1175"/>
      <c r="Z52" s="1651"/>
      <c r="AA52" s="1387" t="s">
        <v>65</v>
      </c>
      <c r="AB52" s="1651"/>
      <c r="AC52" s="1387" t="s">
        <v>65</v>
      </c>
      <c r="AD52" s="4337" t="s">
        <v>65</v>
      </c>
      <c r="AE52" s="4465"/>
      <c r="AF52" s="4369">
        <v>1</v>
      </c>
      <c r="AG52" s="4488"/>
      <c r="AH52" s="4284" t="s">
        <v>65</v>
      </c>
      <c r="AI52" s="4465"/>
      <c r="AJ52" s="4369">
        <v>1</v>
      </c>
      <c r="AK52" s="4479" t="s">
        <v>28</v>
      </c>
      <c r="AL52" s="4284" t="s">
        <v>65</v>
      </c>
      <c r="AM52" s="4346"/>
      <c r="AN52" s="4369">
        <v>1</v>
      </c>
      <c r="AO52" s="4492"/>
      <c r="AP52" s="4493" t="s">
        <v>65</v>
      </c>
      <c r="AQ52" s="247"/>
      <c r="AR52" s="1404">
        <v>1</v>
      </c>
      <c r="AS52" s="1410" t="s">
        <v>28</v>
      </c>
      <c r="AT52" s="686"/>
      <c r="AU52" s="1175"/>
      <c r="AV52" s="686"/>
      <c r="AW52" s="1175"/>
      <c r="AX52" s="1651"/>
      <c r="AY52" s="1387" t="s">
        <v>65</v>
      </c>
      <c r="AZ52" s="1651"/>
      <c r="BA52" s="1387" t="s">
        <v>65</v>
      </c>
      <c r="BB52" s="1266"/>
      <c r="BC52" s="4435" t="s">
        <v>522</v>
      </c>
      <c r="BE52" s="435"/>
      <c r="BF52" s="435" t="str">
        <f t="shared" si="3"/>
        <v/>
      </c>
      <c r="BG52" s="435"/>
      <c r="BH52" s="435"/>
      <c r="BI52" s="1073">
        <v>11</v>
      </c>
    </row>
    <row r="53" spans="1:61" ht="11.45" customHeight="1">
      <c r="A53" s="1281"/>
      <c r="B53" s="1281"/>
      <c r="C53" s="1281"/>
      <c r="D53" s="1281"/>
      <c r="E53" s="4413"/>
      <c r="F53" s="4413"/>
      <c r="G53" s="4413"/>
      <c r="H53" s="4413"/>
      <c r="I53" s="4415"/>
      <c r="J53" s="4415"/>
      <c r="K53" s="4414"/>
      <c r="L53" s="1282"/>
      <c r="P53" s="4416"/>
      <c r="Q53" s="4416"/>
      <c r="R53" s="292"/>
      <c r="S53" s="4470"/>
      <c r="T53" s="4490"/>
      <c r="U53" s="236"/>
      <c r="V53" s="1311"/>
      <c r="W53" s="1414"/>
      <c r="X53" s="1311"/>
      <c r="Y53" s="1414"/>
      <c r="Z53" s="1311"/>
      <c r="AA53" s="1311"/>
      <c r="AB53" s="1311"/>
      <c r="AC53" s="1311"/>
      <c r="AD53" s="4338"/>
      <c r="AE53" s="4465"/>
      <c r="AF53" s="4369"/>
      <c r="AG53" s="4488"/>
      <c r="AH53" s="4284"/>
      <c r="AI53" s="4465"/>
      <c r="AJ53" s="4369"/>
      <c r="AK53" s="4479"/>
      <c r="AL53" s="4284"/>
      <c r="AM53" s="4351"/>
      <c r="AN53" s="4369"/>
      <c r="AO53" s="4492"/>
      <c r="AP53" s="4494"/>
      <c r="AQ53" s="252"/>
      <c r="AR53" s="351"/>
      <c r="AS53" s="351" t="s">
        <v>523</v>
      </c>
      <c r="AT53" s="1311"/>
      <c r="AU53" s="1414"/>
      <c r="AV53" s="1311"/>
      <c r="AW53" s="1414"/>
      <c r="AX53" s="1311"/>
      <c r="AY53" s="1311"/>
      <c r="AZ53" s="1311"/>
      <c r="BA53" s="1311"/>
      <c r="BB53" s="1315"/>
      <c r="BC53" s="4436"/>
      <c r="BE53" s="435"/>
      <c r="BF53" s="435"/>
      <c r="BG53" s="435"/>
      <c r="BH53" s="435"/>
      <c r="BI53" s="1073">
        <v>11</v>
      </c>
    </row>
    <row r="54" spans="1:61" ht="11.45" customHeight="1">
      <c r="A54" s="1281" t="s">
        <v>282</v>
      </c>
      <c r="B54" s="1281"/>
      <c r="C54" s="1281"/>
      <c r="D54" s="1281"/>
      <c r="E54" s="4413"/>
      <c r="F54" s="4413"/>
      <c r="G54" s="4413"/>
      <c r="H54" s="4413"/>
      <c r="I54" s="4415"/>
      <c r="J54" s="4415"/>
      <c r="K54" s="4414"/>
      <c r="L54" s="1282"/>
      <c r="P54" s="4416"/>
      <c r="Q54" s="4416"/>
      <c r="R54" s="292"/>
      <c r="S54" s="4470"/>
      <c r="T54" s="4490"/>
      <c r="U54" s="236"/>
      <c r="V54" s="1311"/>
      <c r="W54" s="1414"/>
      <c r="X54" s="1311"/>
      <c r="Y54" s="1414"/>
      <c r="Z54" s="1311"/>
      <c r="AA54" s="1311"/>
      <c r="AB54" s="1311"/>
      <c r="AC54" s="1311"/>
      <c r="AD54" s="4338"/>
      <c r="AE54" s="4465"/>
      <c r="AF54" s="4369"/>
      <c r="AG54" s="4488"/>
      <c r="AH54" s="4284"/>
      <c r="AI54" s="4465"/>
      <c r="AJ54" s="4369"/>
      <c r="AK54" s="4479"/>
      <c r="AL54" s="4284"/>
      <c r="AM54" s="252"/>
      <c r="AN54" s="1418"/>
      <c r="AO54" s="1418" t="s">
        <v>524</v>
      </c>
      <c r="AP54" s="351"/>
      <c r="AQ54" s="351"/>
      <c r="AR54" s="351"/>
      <c r="AS54" s="1311"/>
      <c r="AT54" s="1311"/>
      <c r="AU54" s="1414"/>
      <c r="AV54" s="1311"/>
      <c r="AW54" s="1414"/>
      <c r="AX54" s="1311"/>
      <c r="AY54" s="1311"/>
      <c r="AZ54" s="1311"/>
      <c r="BA54" s="1311"/>
      <c r="BB54" s="1315"/>
      <c r="BC54" s="4436"/>
      <c r="BE54" s="435"/>
      <c r="BF54" s="435"/>
      <c r="BG54" s="435"/>
      <c r="BH54" s="435"/>
      <c r="BI54" s="1073">
        <v>11</v>
      </c>
    </row>
    <row r="55" spans="1:61" ht="11.45" customHeight="1">
      <c r="A55" s="1281" t="s">
        <v>282</v>
      </c>
      <c r="B55" s="1281"/>
      <c r="C55" s="1281"/>
      <c r="D55" s="1281"/>
      <c r="E55" s="4413"/>
      <c r="F55" s="4413"/>
      <c r="G55" s="4413"/>
      <c r="H55" s="4413"/>
      <c r="I55" s="4415"/>
      <c r="J55" s="4415"/>
      <c r="K55" s="4414"/>
      <c r="L55" s="1282"/>
      <c r="P55" s="4416"/>
      <c r="Q55" s="4416"/>
      <c r="R55" s="292"/>
      <c r="S55" s="4470"/>
      <c r="T55" s="4490"/>
      <c r="U55" s="236"/>
      <c r="V55" s="1311"/>
      <c r="W55" s="1414"/>
      <c r="X55" s="1311"/>
      <c r="Y55" s="1414"/>
      <c r="Z55" s="1311"/>
      <c r="AA55" s="1311"/>
      <c r="AB55" s="1311"/>
      <c r="AC55" s="1311"/>
      <c r="AD55" s="4338"/>
      <c r="AE55" s="4465"/>
      <c r="AF55" s="4369"/>
      <c r="AG55" s="4488"/>
      <c r="AH55" s="4284"/>
      <c r="AI55" s="230"/>
      <c r="AJ55" s="350"/>
      <c r="AK55" s="249" t="s">
        <v>525</v>
      </c>
      <c r="AL55" s="1311"/>
      <c r="AM55" s="1311"/>
      <c r="AN55" s="1311"/>
      <c r="AO55" s="1311"/>
      <c r="AP55" s="1311"/>
      <c r="AQ55" s="1311"/>
      <c r="AR55" s="1311"/>
      <c r="AS55" s="1311"/>
      <c r="AT55" s="1311"/>
      <c r="AU55" s="1414"/>
      <c r="AV55" s="1311"/>
      <c r="AW55" s="1414"/>
      <c r="AX55" s="1311"/>
      <c r="AY55" s="1311"/>
      <c r="AZ55" s="1311"/>
      <c r="BA55" s="1311"/>
      <c r="BB55" s="1315"/>
      <c r="BC55" s="4436"/>
      <c r="BE55" s="435"/>
      <c r="BF55" s="435"/>
      <c r="BG55" s="435"/>
      <c r="BH55" s="435"/>
      <c r="BI55" s="1073">
        <v>11</v>
      </c>
    </row>
    <row r="56" spans="1:61" ht="11.45" customHeight="1">
      <c r="A56" s="1281" t="s">
        <v>282</v>
      </c>
      <c r="B56" s="1281" t="s">
        <v>283</v>
      </c>
      <c r="C56" s="1281" t="s">
        <v>284</v>
      </c>
      <c r="D56" s="1281" t="s">
        <v>565</v>
      </c>
      <c r="E56" s="4413"/>
      <c r="F56" s="4413"/>
      <c r="G56" s="4413"/>
      <c r="H56" s="4413"/>
      <c r="I56" s="4415"/>
      <c r="J56" s="4415"/>
      <c r="K56" s="4414"/>
      <c r="L56" s="1282"/>
      <c r="P56" s="4416"/>
      <c r="Q56" s="4416"/>
      <c r="R56" s="292"/>
      <c r="S56" s="4471"/>
      <c r="T56" s="4491"/>
      <c r="U56" s="236"/>
      <c r="V56" s="1311"/>
      <c r="W56" s="1312" t="str">
        <f>Z52&amp;"-"&amp;AB52</f>
        <v>-</v>
      </c>
      <c r="X56" s="1311"/>
      <c r="Y56" s="1312" t="str">
        <f>AB52&amp;"-"&amp;AD52</f>
        <v>-да</v>
      </c>
      <c r="Z56" s="1311"/>
      <c r="AA56" s="1311"/>
      <c r="AB56" s="1311"/>
      <c r="AC56" s="1311"/>
      <c r="AD56" s="4289"/>
      <c r="AE56" s="248"/>
      <c r="AF56" s="250"/>
      <c r="AG56" s="351" t="s">
        <v>526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4436"/>
      <c r="BE56" s="435"/>
      <c r="BF56" s="435" t="str">
        <f t="shared" ref="BF56:BF63" si="4">IF(T56="","",T56)</f>
        <v/>
      </c>
      <c r="BG56" s="435"/>
      <c r="BH56" s="435"/>
      <c r="BI56" s="1073">
        <v>11</v>
      </c>
    </row>
    <row r="57" spans="1:61" ht="11.45" customHeight="1">
      <c r="A57" s="1281" t="s">
        <v>282</v>
      </c>
      <c r="B57" s="1281" t="s">
        <v>283</v>
      </c>
      <c r="C57" s="1281" t="s">
        <v>284</v>
      </c>
      <c r="D57" s="1281" t="s">
        <v>565</v>
      </c>
      <c r="E57" s="4413"/>
      <c r="F57" s="4413"/>
      <c r="G57" s="4413"/>
      <c r="H57" s="4413"/>
      <c r="I57" s="4415"/>
      <c r="J57" s="4414"/>
      <c r="K57" s="1281"/>
      <c r="L57" s="1282"/>
      <c r="P57" s="4416"/>
      <c r="Q57" s="4416"/>
      <c r="R57" s="291"/>
      <c r="S57" s="1196"/>
      <c r="T57" s="223" t="s">
        <v>489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4437"/>
      <c r="BE57" s="435"/>
      <c r="BF57" s="435" t="str">
        <f t="shared" si="4"/>
        <v>Добавить строку</v>
      </c>
      <c r="BG57" s="435"/>
      <c r="BH57" s="435"/>
      <c r="BI57" s="1073">
        <v>11</v>
      </c>
    </row>
    <row r="58" spans="1:61" s="4140" customFormat="1" ht="0" hidden="1" customHeight="1">
      <c r="A58" s="1261" t="s">
        <v>282</v>
      </c>
      <c r="B58" s="1261" t="s">
        <v>283</v>
      </c>
      <c r="C58" s="1261" t="s">
        <v>284</v>
      </c>
      <c r="D58" s="1261" t="s">
        <v>565</v>
      </c>
      <c r="E58" s="4413"/>
      <c r="F58" s="4413"/>
      <c r="G58" s="4413"/>
      <c r="H58" s="4413"/>
      <c r="I58" s="4414"/>
      <c r="J58" s="1261"/>
      <c r="K58" s="1261"/>
      <c r="L58" s="1264"/>
      <c r="M58" s="445"/>
      <c r="N58" s="445"/>
      <c r="O58" s="445"/>
      <c r="P58" s="441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4140" customFormat="1" ht="0" hidden="1" customHeight="1">
      <c r="A59" s="1261" t="s">
        <v>282</v>
      </c>
      <c r="B59" s="1261" t="s">
        <v>283</v>
      </c>
      <c r="C59" s="1261" t="s">
        <v>284</v>
      </c>
      <c r="D59" s="1261" t="s">
        <v>565</v>
      </c>
      <c r="E59" s="4413"/>
      <c r="F59" s="4413"/>
      <c r="G59" s="4413"/>
      <c r="H59" s="441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4140" customFormat="1" ht="0" hidden="1" customHeight="1">
      <c r="A60" s="1261" t="s">
        <v>282</v>
      </c>
      <c r="B60" s="1261" t="s">
        <v>283</v>
      </c>
      <c r="C60" s="1261" t="s">
        <v>284</v>
      </c>
      <c r="D60" s="1232"/>
      <c r="E60" s="4413"/>
      <c r="F60" s="4413"/>
      <c r="G60" s="441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4140" customFormat="1" ht="0" hidden="1" customHeight="1">
      <c r="A61" s="1261" t="s">
        <v>282</v>
      </c>
      <c r="B61" s="1261" t="s">
        <v>283</v>
      </c>
      <c r="C61" s="1232"/>
      <c r="D61" s="1232"/>
      <c r="E61" s="4413"/>
      <c r="F61" s="4412"/>
      <c r="G61" s="1232"/>
      <c r="H61" s="1232"/>
      <c r="I61" s="1232"/>
      <c r="J61" s="1232"/>
      <c r="K61" s="1232"/>
      <c r="L61" s="1412"/>
      <c r="M61" s="1239"/>
      <c r="N61" s="1239"/>
      <c r="P61" s="1234"/>
      <c r="Q61" s="1235"/>
      <c r="R61" s="1234"/>
      <c r="S61" s="1240"/>
      <c r="T61" s="1243" t="s">
        <v>173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4140" customFormat="1" ht="0" hidden="1" customHeight="1">
      <c r="A62" s="1261" t="s">
        <v>282</v>
      </c>
      <c r="B62" s="1261"/>
      <c r="C62" s="1261"/>
      <c r="D62" s="1261"/>
      <c r="E62" s="4412"/>
      <c r="F62" s="1261"/>
      <c r="G62" s="1261"/>
      <c r="H62" s="1261"/>
      <c r="I62" s="1261"/>
      <c r="J62" s="1261"/>
      <c r="K62" s="1261"/>
      <c r="L62" s="1264"/>
      <c r="M62" s="1239"/>
      <c r="N62" s="1239"/>
      <c r="O62" s="453"/>
      <c r="P62" s="315"/>
      <c r="Q62" s="1262"/>
      <c r="R62" s="315"/>
      <c r="S62" s="1240"/>
      <c r="T62" s="1243" t="s">
        <v>174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4140"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4411"/>
      <c r="U65" s="4411"/>
      <c r="V65" s="4411"/>
      <c r="W65" s="4411"/>
      <c r="X65" s="4411"/>
      <c r="Y65" s="4411"/>
      <c r="Z65" s="4411"/>
      <c r="AA65" s="4411"/>
      <c r="AB65" s="4411"/>
      <c r="AC65" s="4411"/>
      <c r="AD65" s="4411"/>
      <c r="AE65" s="4411"/>
      <c r="AF65" s="4411"/>
      <c r="AG65" s="4411"/>
      <c r="AH65" s="4411"/>
      <c r="AI65" s="4411"/>
      <c r="AJ65" s="4411"/>
      <c r="AK65" s="4411"/>
      <c r="AL65" s="4411"/>
      <c r="AM65" s="4411"/>
      <c r="AN65" s="4411"/>
      <c r="AO65" s="4411"/>
      <c r="AP65" s="4411"/>
      <c r="AQ65" s="4411"/>
      <c r="AR65" s="4411"/>
      <c r="AS65" s="4411"/>
      <c r="AT65" s="4411"/>
      <c r="AU65" s="4411"/>
      <c r="AV65" s="4411"/>
      <c r="AW65" s="4411"/>
      <c r="AX65" s="4411"/>
      <c r="AY65" s="4411"/>
      <c r="AZ65" s="4411"/>
      <c r="BA65" s="4411"/>
      <c r="BB65" s="4411"/>
      <c r="BC65" s="4411"/>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4411"/>
      <c r="U67" s="4411"/>
      <c r="V67" s="4411"/>
      <c r="W67" s="4411"/>
      <c r="X67" s="4411"/>
      <c r="Y67" s="4411"/>
      <c r="Z67" s="4411"/>
      <c r="AA67" s="4411"/>
      <c r="AB67" s="4411"/>
      <c r="AC67" s="4411"/>
      <c r="AD67" s="4411"/>
      <c r="AE67" s="4411"/>
      <c r="AF67" s="4411"/>
      <c r="AG67" s="4411"/>
      <c r="AH67" s="4411"/>
      <c r="AI67" s="4411"/>
      <c r="AJ67" s="4411"/>
      <c r="AK67" s="4411"/>
      <c r="AL67" s="4411"/>
      <c r="AM67" s="4411"/>
      <c r="AN67" s="4411"/>
      <c r="AO67" s="4411"/>
      <c r="AP67" s="4411"/>
      <c r="AQ67" s="4411"/>
      <c r="AR67" s="4411"/>
      <c r="AS67" s="4411"/>
      <c r="AT67" s="4411"/>
      <c r="AU67" s="4411"/>
      <c r="AV67" s="4411"/>
      <c r="AW67" s="4411"/>
      <c r="AX67" s="4411"/>
      <c r="AY67" s="4411"/>
      <c r="AZ67" s="4411"/>
      <c r="BA67" s="4411"/>
      <c r="BB67" s="4411"/>
      <c r="BC67" s="4411"/>
      <c r="BI67" s="1073">
        <v>19</v>
      </c>
    </row>
    <row r="68" spans="1:61" ht="14.65" customHeight="1">
      <c r="O68" s="472"/>
      <c r="BI68" s="1073">
        <v>14</v>
      </c>
    </row>
    <row r="69" spans="1:61" ht="14.25" hidden="1" customHeight="1">
      <c r="A69" s="1078" t="s">
        <v>86</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4202" hidden="1" customWidth="1"/>
    <col min="2" max="2" width="16.85546875" style="4139" hidden="1" customWidth="1"/>
    <col min="3" max="3" width="5.5703125" style="4140" hidden="1" customWidth="1"/>
    <col min="4" max="4" width="3" style="4133" customWidth="1"/>
    <col min="5" max="5" width="7" style="4133" customWidth="1"/>
    <col min="6" max="6" width="54" style="4133" customWidth="1"/>
    <col min="7" max="7" width="10" style="4133" customWidth="1"/>
    <col min="8" max="8" width="40.7109375" style="4133" hidden="1" customWidth="1"/>
    <col min="9" max="9" width="40.7109375" style="4133" customWidth="1"/>
    <col min="10" max="10" width="102" style="4133" customWidth="1"/>
    <col min="11" max="11" width="9" style="4139" customWidth="1"/>
    <col min="12" max="12" width="5" style="4140" customWidth="1"/>
    <col min="13" max="13" width="3" style="4140" customWidth="1"/>
    <col min="14" max="17" width="3" style="4139" customWidth="1"/>
    <col min="18" max="18" width="10" style="4140" customWidth="1"/>
    <col min="19" max="19" width="34" style="4139" customWidth="1"/>
    <col min="20" max="20" width="9" style="4139" customWidth="1"/>
    <col min="21" max="21" width="8" style="4203" customWidth="1"/>
    <col min="22" max="26" width="8" style="4139" customWidth="1"/>
    <col min="27" max="31" width="8" style="4131" customWidth="1"/>
    <col min="32" max="32" width="9.140625" style="4133" hidden="1"/>
  </cols>
  <sheetData>
    <row r="1" spans="1:32" ht="22.5" hidden="1" customHeight="1">
      <c r="AF1" s="1549" t="s">
        <v>14</v>
      </c>
    </row>
    <row r="2" spans="1:32" ht="23.25" hidden="1" customHeight="1">
      <c r="B2" s="4259"/>
      <c r="C2" s="1085" t="s">
        <v>566</v>
      </c>
      <c r="D2" s="1556"/>
      <c r="E2" s="481">
        <f>B2</f>
        <v>0</v>
      </c>
      <c r="F2" s="482"/>
      <c r="G2" s="1564" t="s">
        <v>567</v>
      </c>
      <c r="H2" s="1564" t="s">
        <v>567</v>
      </c>
      <c r="I2" s="1564" t="s">
        <v>567</v>
      </c>
      <c r="J2" s="225" t="s">
        <v>568</v>
      </c>
      <c r="K2" s="478"/>
      <c r="AF2" s="1549">
        <v>0</v>
      </c>
    </row>
    <row r="3" spans="1:32" s="4140" customFormat="1" ht="0.75" hidden="1" customHeight="1">
      <c r="B3" s="4259"/>
      <c r="C3" s="1085"/>
      <c r="D3" s="483"/>
      <c r="E3" s="484"/>
      <c r="F3" s="485" t="s">
        <v>569</v>
      </c>
      <c r="G3" s="486"/>
      <c r="H3" s="486">
        <f>H4*H5+H7</f>
        <v>0</v>
      </c>
      <c r="I3" s="486">
        <f>I4*I5+I6</f>
        <v>0</v>
      </c>
      <c r="J3" s="487"/>
      <c r="AF3" s="1554">
        <v>0</v>
      </c>
    </row>
    <row r="4" spans="1:32" ht="23.25" hidden="1" customHeight="1">
      <c r="B4" s="4259"/>
      <c r="C4" s="1085"/>
      <c r="D4" s="1556"/>
      <c r="E4" s="481" t="str">
        <f>B2&amp;".1"</f>
        <v>.1</v>
      </c>
      <c r="F4" s="488" t="s">
        <v>570</v>
      </c>
      <c r="G4" s="489"/>
      <c r="H4" s="476"/>
      <c r="I4" s="476"/>
      <c r="J4" s="225" t="s">
        <v>571</v>
      </c>
      <c r="K4" s="478"/>
      <c r="AF4" s="1549">
        <v>0</v>
      </c>
    </row>
    <row r="5" spans="1:32" ht="18.75" hidden="1" customHeight="1">
      <c r="B5" s="4259"/>
      <c r="C5" s="1085"/>
      <c r="D5" s="1556"/>
      <c r="E5" s="481" t="str">
        <f>B2&amp;".2"</f>
        <v>.2</v>
      </c>
      <c r="F5" s="488" t="s">
        <v>572</v>
      </c>
      <c r="G5" s="1564" t="s">
        <v>573</v>
      </c>
      <c r="H5" s="476"/>
      <c r="I5" s="476"/>
      <c r="J5" s="225"/>
      <c r="K5" s="478"/>
      <c r="AF5" s="1549">
        <v>0</v>
      </c>
    </row>
    <row r="6" spans="1:32" ht="18.75" hidden="1" customHeight="1">
      <c r="B6" s="4259"/>
      <c r="C6" s="1085"/>
      <c r="D6" s="1556"/>
      <c r="E6" s="481" t="str">
        <f>B2&amp;".3"</f>
        <v>.3</v>
      </c>
      <c r="F6" s="488" t="s">
        <v>574</v>
      </c>
      <c r="G6" s="1564" t="s">
        <v>573</v>
      </c>
      <c r="H6" s="476"/>
      <c r="I6" s="476"/>
      <c r="J6" s="225"/>
      <c r="K6" s="478"/>
      <c r="AF6" s="1549">
        <v>0</v>
      </c>
    </row>
    <row r="7" spans="1:32" ht="18.75" hidden="1" customHeight="1">
      <c r="B7" s="4259"/>
      <c r="C7" s="1085"/>
      <c r="D7" s="1556"/>
      <c r="E7" s="481" t="str">
        <f>B2&amp;".4"</f>
        <v>.4</v>
      </c>
      <c r="F7" s="488" t="s">
        <v>575</v>
      </c>
      <c r="G7" s="1564" t="s">
        <v>567</v>
      </c>
      <c r="H7" s="490"/>
      <c r="I7" s="490"/>
      <c r="J7" s="225"/>
      <c r="K7" s="478"/>
      <c r="AF7" s="1549">
        <v>0</v>
      </c>
    </row>
    <row r="8" spans="1:32" s="4139" customFormat="1" ht="11.25" hidden="1" customHeight="1">
      <c r="A8" s="910"/>
      <c r="C8" s="1554"/>
      <c r="D8" s="472"/>
      <c r="H8" s="1078">
        <v>4</v>
      </c>
      <c r="I8" s="1078">
        <v>4</v>
      </c>
      <c r="L8" s="1554"/>
      <c r="M8" s="1554"/>
      <c r="R8" s="1554"/>
      <c r="AF8" s="1078">
        <v>0</v>
      </c>
    </row>
    <row r="9" spans="1:32" s="4139" customFormat="1" ht="22.5" hidden="1" customHeight="1">
      <c r="A9" s="910"/>
      <c r="C9" s="1554"/>
      <c r="D9" s="473"/>
      <c r="E9" s="1566"/>
      <c r="F9" s="475"/>
      <c r="G9" s="1564" t="s">
        <v>573</v>
      </c>
      <c r="H9" s="476"/>
      <c r="I9" s="476"/>
      <c r="J9" s="477" t="s">
        <v>576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577</v>
      </c>
      <c r="H11" s="476"/>
      <c r="I11" s="476"/>
      <c r="J11" s="225" t="s">
        <v>578</v>
      </c>
      <c r="K11" s="478"/>
      <c r="AF11" s="1549">
        <v>0</v>
      </c>
    </row>
    <row r="12" spans="1:32" ht="11.25" hidden="1" customHeight="1">
      <c r="AF12" s="1549">
        <v>0</v>
      </c>
    </row>
    <row r="13" spans="1:32" ht="22.5" hidden="1" customHeight="1">
      <c r="D13" s="1556"/>
      <c r="E13" s="481"/>
      <c r="F13" s="475"/>
      <c r="G13" s="893" t="s">
        <v>579</v>
      </c>
      <c r="H13" s="480"/>
      <c r="I13" s="480"/>
      <c r="J13" s="680" t="s">
        <v>580</v>
      </c>
      <c r="K13" s="478"/>
      <c r="AF13" s="1549">
        <v>0</v>
      </c>
    </row>
    <row r="14" spans="1:32" ht="11.25" hidden="1" customHeight="1">
      <c r="AF14" s="1549">
        <v>0</v>
      </c>
    </row>
    <row r="15" spans="1:32" ht="22.5" hidden="1" customHeight="1">
      <c r="D15" s="1556"/>
      <c r="E15" s="481"/>
      <c r="F15" s="475"/>
      <c r="G15" s="1564" t="s">
        <v>581</v>
      </c>
      <c r="H15" s="480"/>
      <c r="I15" s="480"/>
      <c r="J15" s="225" t="s">
        <v>582</v>
      </c>
      <c r="K15" s="478"/>
      <c r="AF15" s="1549">
        <v>0</v>
      </c>
    </row>
    <row r="16" spans="1:32" ht="11.25" hidden="1" customHeight="1">
      <c r="AF16" s="1549">
        <v>0</v>
      </c>
    </row>
    <row r="17" spans="1:32" ht="22.5" hidden="1" customHeight="1">
      <c r="D17" s="1556"/>
      <c r="E17" s="481"/>
      <c r="F17" s="475"/>
      <c r="G17" s="1564" t="s">
        <v>583</v>
      </c>
      <c r="H17" s="480"/>
      <c r="I17" s="480"/>
      <c r="J17" s="225" t="s">
        <v>584</v>
      </c>
      <c r="K17" s="478"/>
      <c r="AF17" s="1549">
        <v>0</v>
      </c>
    </row>
    <row r="18" spans="1:32" ht="11.25" hidden="1" customHeight="1">
      <c r="AF18" s="1549">
        <v>0</v>
      </c>
    </row>
    <row r="19" spans="1:32" s="4131"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439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4393"/>
      <c r="G21" s="4393"/>
      <c r="H21" s="4393"/>
      <c r="I21" s="4393"/>
      <c r="J21" s="491"/>
      <c r="AF21" s="1549">
        <v>24</v>
      </c>
    </row>
    <row r="22" spans="1:32" ht="25.15" customHeight="1">
      <c r="E22" s="4365" t="str">
        <f>IF(org=0,"Не определено",org)</f>
        <v>АО "Мурманэнергосбыт"</v>
      </c>
      <c r="F22" s="4365"/>
      <c r="G22" s="4365"/>
      <c r="H22" s="4365"/>
      <c r="I22" s="4365"/>
      <c r="AF22" s="1549">
        <v>24</v>
      </c>
    </row>
    <row r="23" spans="1:32" ht="11.45" customHeight="1">
      <c r="E23" s="1053"/>
      <c r="F23" s="1053"/>
      <c r="G23" s="1053"/>
      <c r="H23" s="1053"/>
      <c r="I23" s="1053"/>
      <c r="AF23" s="1549">
        <v>11</v>
      </c>
    </row>
    <row r="24" spans="1:32" s="4140" customFormat="1" ht="1.1499999999999999" customHeight="1">
      <c r="A24" s="1085"/>
      <c r="D24" s="1560"/>
      <c r="H24" s="813"/>
      <c r="I24" s="813" t="s">
        <v>120</v>
      </c>
      <c r="AF24" s="1554">
        <v>1</v>
      </c>
    </row>
    <row r="25" spans="1:32" ht="11.45" customHeight="1">
      <c r="E25" s="646"/>
      <c r="F25" s="4499" t="s">
        <v>109</v>
      </c>
      <c r="G25" s="4500"/>
      <c r="H25" s="1570" t="str">
        <f>IF(H24="","",INDEX(DIFFERENTIATION_UNMERGE_VD,MATCH(H24,DIFFERENTIATION_ID_DIFF,0)))</f>
        <v/>
      </c>
      <c r="I25" s="1570">
        <f>IF(I24="","",INDEX(DIFFERENTIATION_UNMERGE_VD,MATCH(I24,DIFFERENTIATION_ID_DIFF,0)))</f>
        <v>0</v>
      </c>
      <c r="J25" s="4274"/>
      <c r="AF25" s="1549">
        <v>11</v>
      </c>
    </row>
    <row r="26" spans="1:32" ht="11.45" customHeight="1">
      <c r="E26" s="646"/>
      <c r="F26" s="4499" t="s">
        <v>585</v>
      </c>
      <c r="G26" s="4500"/>
      <c r="H26" s="1570" t="str">
        <f>IF(H24="","",INDEX(DIFFERENTIATION_UNMERGE_AREA,MATCH(H24,DIFFERENTIATION_ID_DIFF,0)))</f>
        <v/>
      </c>
      <c r="I26" s="1570" t="str">
        <f>IF(I24="","",INDEX(DIFFERENTIATION_UNMERGE_AREA,MATCH(I24,DIFFERENTIATION_ID_DIFF,0)))</f>
        <v/>
      </c>
      <c r="J26" s="4274"/>
      <c r="AF26" s="1549">
        <v>11</v>
      </c>
    </row>
    <row r="27" spans="1:32" ht="11.45" customHeight="1">
      <c r="E27" s="646"/>
      <c r="F27" s="4499" t="s">
        <v>586</v>
      </c>
      <c r="G27" s="4500"/>
      <c r="H27" s="1570" t="str">
        <f>IF(H24="","",INDEX(DIFFERENTIATION_UNMERGE_SYSTEM,MATCH(H24,DIFFERENTIATION_ID_DIFF,0)))</f>
        <v/>
      </c>
      <c r="I27" s="1570" t="str">
        <f>IF(I24="","",INDEX(DIFFERENTIATION_UNMERGE_SYSTEM,MATCH(I24,DIFFERENTIATION_ID_DIFF,0)))</f>
        <v>без дифференциации</v>
      </c>
      <c r="J27" s="4274"/>
      <c r="AF27" s="1549">
        <v>11</v>
      </c>
    </row>
    <row r="28" spans="1:32" ht="11.45" customHeight="1">
      <c r="E28" s="4501" t="s">
        <v>321</v>
      </c>
      <c r="F28" s="4502"/>
      <c r="G28" s="4502"/>
      <c r="H28" s="1563"/>
      <c r="I28" s="1563"/>
      <c r="J28" s="4274"/>
      <c r="AF28" s="1549">
        <v>11</v>
      </c>
    </row>
    <row r="29" spans="1:32" ht="24" customHeight="1">
      <c r="E29" s="1564" t="s">
        <v>92</v>
      </c>
      <c r="F29" s="1571" t="s">
        <v>323</v>
      </c>
      <c r="G29" s="1571" t="s">
        <v>587</v>
      </c>
      <c r="H29" s="1571" t="s">
        <v>324</v>
      </c>
      <c r="I29" s="1571" t="s">
        <v>324</v>
      </c>
      <c r="J29" s="4274"/>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573</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573</v>
      </c>
      <c r="H31" s="493">
        <f>SUMIF($K33:$K71,$K31,H33:H71)</f>
        <v>0</v>
      </c>
      <c r="I31" s="493">
        <f>SUMIF($K33:$K71,$K31,I33:I71)</f>
        <v>0</v>
      </c>
      <c r="J31" s="225" t="str">
        <f>FHD_NOTE_P_2</f>
        <v>Указывается суммарная себестоимость производимых товаров.</v>
      </c>
      <c r="K31" s="1554" t="s">
        <v>588</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573</v>
      </c>
      <c r="H32" s="492"/>
      <c r="I32" s="492"/>
      <c r="J32" s="225" t="str">
        <f>FHD_NOTE_P_3</f>
        <v/>
      </c>
      <c r="K32" s="1554" t="str">
        <f t="shared" ref="K32:K70" si="0">IF((LEN(E32)-LEN(SUBSTITUTE(E32,".","")))/LEN(".")=1,"p","")</f>
        <v>p</v>
      </c>
      <c r="AF32" s="1549">
        <v>11</v>
      </c>
    </row>
    <row r="33" spans="1:32" ht="11.25" customHeight="1">
      <c r="A33" s="4497" t="s">
        <v>589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573</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4164" customFormat="1" ht="0.75" customHeight="1">
      <c r="A34" s="4497"/>
      <c r="B34" s="449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4164" customFormat="1" ht="0.75" customHeight="1">
      <c r="A35" s="4497"/>
      <c r="B35" s="449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4164" customFormat="1" ht="0.75" customHeight="1">
      <c r="A36" s="4497"/>
      <c r="B36" s="449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4164" customFormat="1" ht="0.75" customHeight="1">
      <c r="A37" s="4497"/>
      <c r="B37" s="449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4164" customFormat="1" ht="0.75" customHeight="1">
      <c r="A38" s="4497"/>
      <c r="B38" s="449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4164" customFormat="1" ht="0.75" customHeight="1">
      <c r="A39" s="4497"/>
      <c r="B39" s="449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4139" customFormat="1" ht="15" customHeight="1">
      <c r="A40" s="4497"/>
      <c r="C40" s="1554"/>
      <c r="D40" s="1551"/>
      <c r="E40" s="505"/>
      <c r="F40" s="506" t="s">
        <v>590</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4497" t="s">
        <v>591</v>
      </c>
      <c r="D41" s="1556"/>
      <c r="E41" s="481" t="str">
        <f>FHD_NUM_P_5</f>
        <v/>
      </c>
      <c r="F41" s="1442" t="str">
        <f>FHD_P_5</f>
        <v/>
      </c>
      <c r="G41" s="1793" t="s">
        <v>573</v>
      </c>
      <c r="H41" s="492"/>
      <c r="I41" s="492"/>
      <c r="J41" s="225" t="str">
        <f>FHD_NOTE_P_5</f>
        <v/>
      </c>
      <c r="K41" s="1554" t="str">
        <f t="shared" si="0"/>
        <v/>
      </c>
      <c r="AF41" s="1549">
        <v>0</v>
      </c>
    </row>
    <row r="42" spans="1:32" ht="11.25" hidden="1" customHeight="1">
      <c r="A42" s="4497"/>
      <c r="D42" s="1556"/>
      <c r="E42" s="481" t="str">
        <f>FHD_NUM_P_6</f>
        <v/>
      </c>
      <c r="F42" s="1442" t="str">
        <f>FHD_P_6</f>
        <v/>
      </c>
      <c r="G42" s="1793" t="s">
        <v>573</v>
      </c>
      <c r="H42" s="492"/>
      <c r="I42" s="492"/>
      <c r="J42" s="225" t="str">
        <f>FHD_NOTE_P_6</f>
        <v/>
      </c>
      <c r="K42" s="1554" t="str">
        <f t="shared" si="0"/>
        <v/>
      </c>
      <c r="AF42" s="1549">
        <v>0</v>
      </c>
    </row>
    <row r="43" spans="1:32" ht="11.25" hidden="1" customHeight="1">
      <c r="A43" s="4497"/>
      <c r="D43" s="1556"/>
      <c r="E43" s="481" t="str">
        <f>FHD_NUM_P_7</f>
        <v/>
      </c>
      <c r="F43" s="1442" t="str">
        <f>FHD_P_7</f>
        <v/>
      </c>
      <c r="G43" s="1793" t="s">
        <v>573</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573</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592</v>
      </c>
      <c r="H45" s="492"/>
      <c r="I45" s="492"/>
      <c r="J45" s="225" t="str">
        <f>FHD_NOTE_P_9</f>
        <v/>
      </c>
      <c r="K45" s="1554" t="str">
        <f t="shared" si="0"/>
        <v/>
      </c>
      <c r="AF45" s="1549">
        <v>11</v>
      </c>
    </row>
    <row r="46" spans="1:32" s="4139" customFormat="1" ht="11.45" customHeight="1">
      <c r="A46" s="910"/>
      <c r="C46" s="1554"/>
      <c r="D46" s="509"/>
      <c r="E46" s="481" t="str">
        <f>FHD_NUM_P_10</f>
        <v>2.3.2</v>
      </c>
      <c r="F46" s="1568" t="str">
        <f>FHD_P_10</f>
        <v>Объём приобретения электрической энергии</v>
      </c>
      <c r="G46" s="1793" t="s">
        <v>593</v>
      </c>
      <c r="H46" s="492"/>
      <c r="I46" s="492"/>
      <c r="J46" s="225" t="str">
        <f>FHD_NOTE_P_10</f>
        <v/>
      </c>
      <c r="K46" s="1554" t="str">
        <f t="shared" si="0"/>
        <v/>
      </c>
      <c r="L46" s="1554"/>
      <c r="M46" s="1554"/>
      <c r="R46" s="1554"/>
      <c r="U46" s="479"/>
      <c r="AA46" s="1550"/>
      <c r="AB46" s="1550"/>
      <c r="AC46" s="1550"/>
      <c r="AD46" s="1550"/>
      <c r="AE46" s="1550"/>
      <c r="AF46" s="1078">
        <v>11</v>
      </c>
    </row>
    <row r="47" spans="1:32" s="4139" customFormat="1" ht="11.25" customHeight="1">
      <c r="A47" s="912" t="s">
        <v>594</v>
      </c>
      <c r="C47" s="1554"/>
      <c r="D47" s="510"/>
      <c r="E47" s="481" t="str">
        <f>FHD_NUM_P_11</f>
        <v>2.4</v>
      </c>
      <c r="F47" s="1442" t="str">
        <f>FHD_P_11</f>
        <v>Расходы на приобретение холодной воды, используемой в технологическом процессе</v>
      </c>
      <c r="G47" s="1793" t="s">
        <v>573</v>
      </c>
      <c r="H47" s="492"/>
      <c r="I47" s="492"/>
      <c r="J47" s="225" t="str">
        <f>FHD_NOTE_P_11</f>
        <v/>
      </c>
      <c r="K47" s="1554" t="str">
        <f t="shared" si="0"/>
        <v>p</v>
      </c>
      <c r="L47" s="1554"/>
      <c r="M47" s="1554"/>
      <c r="R47" s="1554"/>
      <c r="U47" s="479"/>
      <c r="AA47" s="1550"/>
      <c r="AB47" s="1550"/>
      <c r="AC47" s="1550"/>
      <c r="AD47" s="1550"/>
      <c r="AE47" s="1550"/>
      <c r="AF47" s="1078">
        <v>0</v>
      </c>
    </row>
    <row r="48" spans="1:32" s="4139" customFormat="1" ht="18.75" customHeight="1">
      <c r="A48" s="912" t="s">
        <v>595</v>
      </c>
      <c r="C48" s="1554"/>
      <c r="D48" s="1556"/>
      <c r="E48" s="481" t="str">
        <f>FHD_NUM_P_12</f>
        <v>2.5</v>
      </c>
      <c r="F48" s="1442" t="str">
        <f>FHD_P_12</f>
        <v>Расходы на  химические реагенты, используемые в технологическом процессе</v>
      </c>
      <c r="G48" s="1793" t="s">
        <v>573</v>
      </c>
      <c r="H48" s="512"/>
      <c r="I48" s="512"/>
      <c r="J48" s="225" t="str">
        <f>FHD_NOTE_P_12</f>
        <v/>
      </c>
      <c r="K48" s="1554" t="str">
        <f t="shared" si="0"/>
        <v>p</v>
      </c>
      <c r="L48" s="1554"/>
      <c r="M48" s="1554"/>
      <c r="R48" s="1554"/>
      <c r="U48" s="479"/>
      <c r="AA48" s="1550"/>
      <c r="AB48" s="1550"/>
      <c r="AC48" s="1550"/>
      <c r="AD48" s="1550"/>
      <c r="AE48" s="1550"/>
      <c r="AF48" s="1078">
        <v>18</v>
      </c>
    </row>
    <row r="49" spans="1:32" s="4201"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573</v>
      </c>
      <c r="H49" s="492"/>
      <c r="I49" s="492"/>
      <c r="J49" s="225" t="str">
        <f>FHD_NOTE_P_13</f>
        <v/>
      </c>
      <c r="K49" s="1554" t="str">
        <f t="shared" si="0"/>
        <v>p</v>
      </c>
      <c r="L49" s="665"/>
      <c r="M49" s="665"/>
      <c r="R49" s="665"/>
      <c r="U49" s="666"/>
      <c r="AA49" s="667"/>
      <c r="AB49" s="667"/>
      <c r="AC49" s="667"/>
      <c r="AD49" s="667"/>
      <c r="AE49" s="667"/>
      <c r="AF49" s="664">
        <v>11</v>
      </c>
    </row>
    <row r="50" spans="1:32" s="4201"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573</v>
      </c>
      <c r="H50" s="492"/>
      <c r="I50" s="492"/>
      <c r="J50" s="225" t="str">
        <f>FHD_NOTE_P_14</f>
        <v/>
      </c>
      <c r="K50" s="1554" t="str">
        <f t="shared" si="0"/>
        <v/>
      </c>
      <c r="L50" s="665"/>
      <c r="M50" s="665"/>
      <c r="R50" s="665"/>
      <c r="U50" s="666"/>
      <c r="AA50" s="667"/>
      <c r="AB50" s="667"/>
      <c r="AC50" s="667"/>
      <c r="AD50" s="667"/>
      <c r="AE50" s="667"/>
      <c r="AF50" s="664">
        <v>11</v>
      </c>
    </row>
    <row r="51" spans="1:32" s="4201"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573</v>
      </c>
      <c r="H51" s="492"/>
      <c r="I51" s="492"/>
      <c r="J51" s="225" t="str">
        <f>FHD_NOTE_P_15</f>
        <v/>
      </c>
      <c r="K51" s="1554" t="str">
        <f t="shared" si="0"/>
        <v/>
      </c>
      <c r="L51" s="665"/>
      <c r="M51" s="665"/>
      <c r="R51" s="665"/>
      <c r="U51" s="666"/>
      <c r="AA51" s="667"/>
      <c r="AB51" s="667"/>
      <c r="AC51" s="667"/>
      <c r="AD51" s="667"/>
      <c r="AE51" s="667"/>
      <c r="AF51" s="664">
        <v>11</v>
      </c>
    </row>
    <row r="52" spans="1:32" s="4139"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573</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4139"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573</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4139"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573</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4139"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573</v>
      </c>
      <c r="H55" s="492"/>
      <c r="I55" s="492"/>
      <c r="J55" s="225" t="str">
        <f>FHD_NOTE_P_19</f>
        <v/>
      </c>
      <c r="K55" s="1554" t="str">
        <f t="shared" si="0"/>
        <v>p</v>
      </c>
      <c r="L55" s="1554"/>
      <c r="M55" s="1554"/>
      <c r="R55" s="1554"/>
      <c r="U55" s="479"/>
      <c r="AA55" s="1550"/>
      <c r="AB55" s="1550"/>
      <c r="AC55" s="1550"/>
      <c r="AD55" s="1550"/>
      <c r="AE55" s="1550"/>
      <c r="AF55" s="1078">
        <v>11</v>
      </c>
    </row>
    <row r="56" spans="1:32" s="4139" customFormat="1" ht="11.45" customHeight="1">
      <c r="A56" s="910"/>
      <c r="C56" s="1554"/>
      <c r="D56" s="510"/>
      <c r="E56" s="481" t="str">
        <f>FHD_NUM_P_20</f>
        <v>2.8.1</v>
      </c>
      <c r="F56" s="1568" t="str">
        <f>FHD_P_20</f>
        <v>Расходы на амортизацию основных средств</v>
      </c>
      <c r="G56" s="1793" t="s">
        <v>573</v>
      </c>
      <c r="H56" s="492"/>
      <c r="I56" s="492"/>
      <c r="J56" s="225" t="str">
        <f>FHD_NOTE_P_20</f>
        <v/>
      </c>
      <c r="K56" s="1554" t="str">
        <f t="shared" si="0"/>
        <v/>
      </c>
      <c r="L56" s="1554"/>
      <c r="M56" s="1554"/>
      <c r="R56" s="1554"/>
      <c r="U56" s="479"/>
      <c r="AA56" s="1550"/>
      <c r="AB56" s="1550"/>
      <c r="AC56" s="1550"/>
      <c r="AD56" s="1550"/>
      <c r="AE56" s="1550"/>
      <c r="AF56" s="1078">
        <v>11</v>
      </c>
    </row>
    <row r="57" spans="1:32" s="4139" customFormat="1" ht="11.45" customHeight="1">
      <c r="A57" s="910"/>
      <c r="C57" s="1554"/>
      <c r="D57" s="510"/>
      <c r="E57" s="481" t="str">
        <f>FHD_NUM_P_21</f>
        <v>2.8.2</v>
      </c>
      <c r="F57" s="1568" t="str">
        <f>FHD_P_21</f>
        <v>Расходы на амортизацию нематериальных активов</v>
      </c>
      <c r="G57" s="1793" t="s">
        <v>573</v>
      </c>
      <c r="H57" s="492"/>
      <c r="I57" s="492"/>
      <c r="J57" s="225" t="str">
        <f>FHD_NOTE_P_21</f>
        <v/>
      </c>
      <c r="K57" s="1554" t="str">
        <f t="shared" si="0"/>
        <v/>
      </c>
      <c r="L57" s="1554"/>
      <c r="M57" s="1554"/>
      <c r="R57" s="1554"/>
      <c r="U57" s="479"/>
      <c r="AA57" s="1550"/>
      <c r="AB57" s="1550"/>
      <c r="AC57" s="1550"/>
      <c r="AD57" s="1550"/>
      <c r="AE57" s="1550"/>
      <c r="AF57" s="1078">
        <v>11</v>
      </c>
    </row>
    <row r="58" spans="1:32" s="4139"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573</v>
      </c>
      <c r="H58" s="492"/>
      <c r="I58" s="492"/>
      <c r="J58" s="225" t="str">
        <f>FHD_NOTE_P_22</f>
        <v/>
      </c>
      <c r="K58" s="1554" t="str">
        <f t="shared" si="0"/>
        <v>p</v>
      </c>
      <c r="L58" s="1554"/>
      <c r="M58" s="1554"/>
      <c r="R58" s="1554"/>
      <c r="U58" s="479"/>
      <c r="AA58" s="1550"/>
      <c r="AB58" s="1550"/>
      <c r="AC58" s="1550"/>
      <c r="AD58" s="1550"/>
      <c r="AE58" s="1550"/>
      <c r="AF58" s="1078">
        <v>11</v>
      </c>
    </row>
    <row r="59" spans="1:32" s="4139" customFormat="1" ht="11.45" customHeight="1">
      <c r="A59" s="910"/>
      <c r="C59" s="1554"/>
      <c r="D59" s="510"/>
      <c r="E59" s="481" t="str">
        <f>FHD_NUM_P_23</f>
        <v>2.10</v>
      </c>
      <c r="F59" s="1442" t="str">
        <f>FHD_P_23</f>
        <v>Общепроизводственные расходы, в том числе:</v>
      </c>
      <c r="G59" s="1793" t="s">
        <v>573</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4139" customFormat="1" ht="11.45" customHeight="1">
      <c r="A60" s="910"/>
      <c r="C60" s="1554"/>
      <c r="D60" s="510"/>
      <c r="E60" s="481" t="str">
        <f>FHD_NUM_P_24</f>
        <v>2.10.1</v>
      </c>
      <c r="F60" s="1568" t="str">
        <f>FHD_P_24</f>
        <v>Расходы на текущий ремонт</v>
      </c>
      <c r="G60" s="1793" t="s">
        <v>573</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4139" customFormat="1" ht="11.45" customHeight="1">
      <c r="A61" s="910"/>
      <c r="C61" s="1554"/>
      <c r="D61" s="510"/>
      <c r="E61" s="481" t="str">
        <f>FHD_NUM_P_25</f>
        <v>2.10.2</v>
      </c>
      <c r="F61" s="1568" t="str">
        <f>FHD_P_25</f>
        <v>Расходы на капитальный ремонт</v>
      </c>
      <c r="G61" s="1793" t="s">
        <v>573</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4139" customFormat="1" ht="11.45" customHeight="1">
      <c r="A62" s="910"/>
      <c r="C62" s="1554"/>
      <c r="D62" s="1556"/>
      <c r="E62" s="481" t="str">
        <f>FHD_NUM_P_26</f>
        <v>2.11</v>
      </c>
      <c r="F62" s="1442" t="str">
        <f>FHD_P_26</f>
        <v>Общехозяйственные расходы, в том числе:</v>
      </c>
      <c r="G62" s="1793" t="s">
        <v>573</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4139" customFormat="1" ht="11.45" customHeight="1">
      <c r="A63" s="910"/>
      <c r="C63" s="1554"/>
      <c r="D63" s="1556"/>
      <c r="E63" s="481" t="str">
        <f>FHD_NUM_P_27</f>
        <v>2.11.1</v>
      </c>
      <c r="F63" s="1568" t="str">
        <f>FHD_P_27</f>
        <v>Расходы на текущий ремонт</v>
      </c>
      <c r="G63" s="1793" t="s">
        <v>573</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4139" customFormat="1" ht="11.45" customHeight="1">
      <c r="A64" s="910"/>
      <c r="C64" s="1554"/>
      <c r="D64" s="1556"/>
      <c r="E64" s="481" t="str">
        <f>FHD_NUM_P_28</f>
        <v>2.11.2</v>
      </c>
      <c r="F64" s="1568" t="str">
        <f>FHD_P_28</f>
        <v>Расходы на капитальный ремонт</v>
      </c>
      <c r="G64" s="1793" t="s">
        <v>573</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4139" customFormat="1" ht="11.45" customHeight="1">
      <c r="A65" s="910"/>
      <c r="C65" s="1554"/>
      <c r="D65" s="1556"/>
      <c r="E65" s="481" t="str">
        <f>FHD_NUM_P_29</f>
        <v>2.12</v>
      </c>
      <c r="F65" s="1442" t="str">
        <f>FHD_P_29</f>
        <v>Расходы на капитальный и текущий ремонт основных средств</v>
      </c>
      <c r="G65" s="1793" t="s">
        <v>573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4139"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327</v>
      </c>
      <c r="H66" s="1567" t="s">
        <v>596</v>
      </c>
      <c r="I66" s="1567" t="s">
        <v>596</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4139" customFormat="1" ht="23.25" hidden="1" customHeight="1">
      <c r="A67" s="4497" t="s">
        <v>597</v>
      </c>
      <c r="C67" s="1554"/>
      <c r="D67" s="1556"/>
      <c r="E67" s="481" t="str">
        <f>FHD_NUM_P_31</f>
        <v/>
      </c>
      <c r="F67" s="1442" t="str">
        <f>FHD_P_31</f>
        <v/>
      </c>
      <c r="G67" s="1793" t="s">
        <v>573</v>
      </c>
      <c r="H67" s="492"/>
      <c r="I67" s="492"/>
      <c r="J67" s="225" t="str">
        <f>FHD_NOTE_P_31</f>
        <v/>
      </c>
      <c r="K67" s="1554" t="str">
        <f t="shared" si="0"/>
        <v/>
      </c>
      <c r="L67" s="1554"/>
      <c r="M67" s="1554"/>
      <c r="R67" s="1554"/>
      <c r="U67" s="479"/>
      <c r="AA67" s="1550"/>
      <c r="AB67" s="1550"/>
      <c r="AC67" s="1550"/>
      <c r="AD67" s="1550"/>
      <c r="AE67" s="1550"/>
      <c r="AF67" s="1078">
        <v>22</v>
      </c>
    </row>
    <row r="68" spans="1:32" s="4139" customFormat="1" ht="47.25" hidden="1" customHeight="1">
      <c r="A68" s="4497"/>
      <c r="C68" s="1554"/>
      <c r="D68" s="1556"/>
      <c r="E68" s="481" t="str">
        <f>FHD_NUM_P_32</f>
        <v/>
      </c>
      <c r="F68" s="1568" t="str">
        <f>FHD_P_32</f>
        <v/>
      </c>
      <c r="G68" s="1793" t="s">
        <v>327</v>
      </c>
      <c r="H68" s="1567" t="s">
        <v>596</v>
      </c>
      <c r="I68" s="1567" t="s">
        <v>596</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4139"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573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4140" customFormat="1" ht="1.1499999999999999" customHeight="1">
      <c r="A70" s="1085"/>
      <c r="D70" s="483"/>
      <c r="E70" s="935" t="str">
        <f>E69&amp;".0"</f>
        <v>2.13.0</v>
      </c>
      <c r="F70" s="914"/>
      <c r="G70" s="935"/>
      <c r="H70" s="915"/>
      <c r="I70" s="915"/>
      <c r="J70" s="916"/>
      <c r="K70" s="1554" t="str">
        <f t="shared" si="0"/>
        <v/>
      </c>
      <c r="AF70" s="1554">
        <v>1</v>
      </c>
    </row>
    <row r="71" spans="1:32" s="4139" customFormat="1" ht="14.65" customHeight="1">
      <c r="A71" s="910"/>
      <c r="C71" s="1554"/>
      <c r="D71" s="1551"/>
      <c r="E71" s="505"/>
      <c r="F71" s="506" t="s">
        <v>598</v>
      </c>
      <c r="G71" s="507"/>
      <c r="H71" s="508"/>
      <c r="I71" s="508"/>
      <c r="J71" s="237"/>
      <c r="K71" s="1554"/>
      <c r="L71" s="1554"/>
      <c r="M71" s="1554"/>
      <c r="R71" s="1554"/>
      <c r="U71" s="479"/>
      <c r="AA71" s="1550"/>
      <c r="AB71" s="1550"/>
      <c r="AC71" s="1550"/>
      <c r="AD71" s="1550"/>
      <c r="AE71" s="1550"/>
      <c r="AF71" s="1078">
        <v>14</v>
      </c>
    </row>
    <row r="72" spans="1:32" s="4139" customFormat="1" ht="18.75" customHeight="1">
      <c r="A72" s="912" t="s">
        <v>599</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573</v>
      </c>
      <c r="H72" s="492"/>
      <c r="I72" s="492"/>
      <c r="J72" s="225" t="str">
        <f>FHD_NOTE_P_34</f>
        <v/>
      </c>
      <c r="K72" s="478"/>
      <c r="L72" s="1554"/>
      <c r="M72" s="1554"/>
      <c r="R72" s="1554"/>
      <c r="U72" s="479"/>
      <c r="AA72" s="1550"/>
      <c r="AB72" s="1550"/>
      <c r="AC72" s="1550"/>
      <c r="AD72" s="1550"/>
      <c r="AE72" s="1550"/>
      <c r="AF72" s="1078">
        <v>0</v>
      </c>
    </row>
    <row r="73" spans="1:32" s="4139"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573</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4139"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573</v>
      </c>
      <c r="H74" s="492"/>
      <c r="I74" s="492"/>
      <c r="J74" s="225" t="str">
        <f>FHD_NOTE_P_36</f>
        <v/>
      </c>
      <c r="K74" s="478"/>
      <c r="L74" s="1554"/>
      <c r="M74" s="1554"/>
      <c r="R74" s="1554"/>
      <c r="U74" s="479"/>
      <c r="AA74" s="1550"/>
      <c r="AB74" s="1550"/>
      <c r="AC74" s="1550"/>
      <c r="AD74" s="1550"/>
      <c r="AE74" s="1550"/>
      <c r="AF74" s="1078">
        <v>19</v>
      </c>
    </row>
    <row r="75" spans="1:32" s="4139" customFormat="1" ht="19.899999999999999" customHeight="1">
      <c r="A75" s="910"/>
      <c r="C75" s="1554"/>
      <c r="D75" s="1556"/>
      <c r="E75" s="481" t="str">
        <f>FHD_NUM_P_37</f>
        <v>5</v>
      </c>
      <c r="F75" s="1795" t="str">
        <f>FHD_P_37</f>
        <v>Изменение стоимости основных фондов, в том числе:</v>
      </c>
      <c r="G75" s="1793" t="s">
        <v>573</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4139" customFormat="1" ht="19.899999999999999" customHeight="1">
      <c r="A76" s="910"/>
      <c r="C76" s="1554"/>
      <c r="D76" s="1556"/>
      <c r="E76" s="481" t="str">
        <f>FHD_NUM_P_38</f>
        <v>5.1</v>
      </c>
      <c r="F76" s="1442" t="str">
        <f>FHD_P_38</f>
        <v>Изменение стоимости основных фондов за счет:</v>
      </c>
      <c r="G76" s="1793" t="s">
        <v>573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4139"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573</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4139"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573</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4139"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573</v>
      </c>
      <c r="H79" s="900"/>
      <c r="I79" s="492"/>
      <c r="J79" s="225" t="str">
        <f>FHD_NOTE_P_41</f>
        <v/>
      </c>
      <c r="K79" s="478"/>
      <c r="L79" s="1554"/>
      <c r="M79" s="1554"/>
      <c r="R79" s="1554"/>
      <c r="U79" s="479"/>
      <c r="AA79" s="1550"/>
      <c r="AB79" s="1550"/>
      <c r="AC79" s="1550"/>
      <c r="AD79" s="1550"/>
      <c r="AE79" s="1550"/>
      <c r="AF79" s="1078">
        <v>19</v>
      </c>
    </row>
    <row r="80" spans="1:32" s="4139" customFormat="1" ht="20.25" hidden="1" customHeight="1">
      <c r="A80" s="912" t="s">
        <v>600</v>
      </c>
      <c r="C80" s="1554"/>
      <c r="D80" s="1556"/>
      <c r="E80" s="481" t="str">
        <f>FHD_NUM_P_42</f>
        <v/>
      </c>
      <c r="F80" s="1985" t="str">
        <f>FHD_P_42</f>
        <v/>
      </c>
      <c r="G80" s="1983" t="s">
        <v>573</v>
      </c>
      <c r="H80" s="900"/>
      <c r="I80" s="492"/>
      <c r="J80" s="225" t="str">
        <f>FHD_NOTE_P_42</f>
        <v/>
      </c>
      <c r="K80" s="478"/>
      <c r="L80" s="1554"/>
      <c r="M80" s="1554"/>
      <c r="R80" s="1554"/>
      <c r="U80" s="479"/>
      <c r="AA80" s="1550"/>
      <c r="AB80" s="1550"/>
      <c r="AC80" s="1550"/>
      <c r="AD80" s="1550"/>
      <c r="AE80" s="1550"/>
      <c r="AF80" s="1078">
        <v>19</v>
      </c>
    </row>
    <row r="81" spans="1:32" s="4139"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327</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4139" customFormat="1" ht="18.75" hidden="1" customHeight="1">
      <c r="A82" s="4497" t="s">
        <v>601</v>
      </c>
      <c r="C82" s="670"/>
      <c r="D82" s="668"/>
      <c r="E82" s="481" t="str">
        <f>FHD_NUM_P_44</f>
        <v/>
      </c>
      <c r="F82" s="1795" t="str">
        <f>FHD_P_44</f>
        <v/>
      </c>
      <c r="G82" s="1796" t="s">
        <v>602</v>
      </c>
      <c r="H82" s="901"/>
      <c r="I82" s="512"/>
      <c r="J82" s="225" t="str">
        <f>FHD_NOTE_P_44</f>
        <v/>
      </c>
      <c r="K82" s="669"/>
      <c r="L82" s="670"/>
      <c r="M82" s="670"/>
      <c r="R82" s="670"/>
      <c r="U82" s="671"/>
      <c r="AA82" s="672"/>
      <c r="AB82" s="672"/>
      <c r="AC82" s="672"/>
      <c r="AD82" s="672"/>
      <c r="AE82" s="672"/>
      <c r="AF82" s="834">
        <v>0</v>
      </c>
    </row>
    <row r="83" spans="1:32" s="4139" customFormat="1" ht="18.75" hidden="1" customHeight="1">
      <c r="A83" s="4497"/>
      <c r="C83" s="670"/>
      <c r="D83" s="668"/>
      <c r="E83" s="481" t="str">
        <f>FHD_NUM_P_45</f>
        <v/>
      </c>
      <c r="F83" s="1795" t="str">
        <f>FHD_P_45</f>
        <v/>
      </c>
      <c r="G83" s="1796" t="s">
        <v>602</v>
      </c>
      <c r="H83" s="901"/>
      <c r="I83" s="512"/>
      <c r="J83" s="225" t="str">
        <f>FHD_NOTE_P_45</f>
        <v/>
      </c>
      <c r="K83" s="669"/>
      <c r="L83" s="670"/>
      <c r="M83" s="670"/>
      <c r="R83" s="670"/>
      <c r="U83" s="671"/>
      <c r="AA83" s="672"/>
      <c r="AB83" s="672"/>
      <c r="AC83" s="672"/>
      <c r="AD83" s="672"/>
      <c r="AE83" s="672"/>
      <c r="AF83" s="834">
        <v>0</v>
      </c>
    </row>
    <row r="84" spans="1:32" s="4139" customFormat="1" ht="18.75" hidden="1" customHeight="1">
      <c r="A84" s="4497"/>
      <c r="C84" s="670"/>
      <c r="D84" s="673"/>
      <c r="E84" s="481" t="str">
        <f>FHD_NUM_P_46</f>
        <v/>
      </c>
      <c r="F84" s="1795" t="str">
        <f>FHD_P_46</f>
        <v/>
      </c>
      <c r="G84" s="1796" t="s">
        <v>602</v>
      </c>
      <c r="H84" s="901"/>
      <c r="I84" s="512"/>
      <c r="J84" s="225" t="str">
        <f>FHD_NOTE_P_46</f>
        <v/>
      </c>
      <c r="K84" s="669"/>
      <c r="L84" s="670"/>
      <c r="M84" s="670"/>
      <c r="R84" s="670"/>
      <c r="U84" s="671"/>
      <c r="AA84" s="672"/>
      <c r="AB84" s="672"/>
      <c r="AC84" s="672"/>
      <c r="AD84" s="672"/>
      <c r="AE84" s="672"/>
      <c r="AF84" s="834">
        <v>0</v>
      </c>
    </row>
    <row r="85" spans="1:32" s="4139" customFormat="1" ht="18.75" hidden="1" customHeight="1">
      <c r="A85" s="4497"/>
      <c r="C85" s="670"/>
      <c r="D85" s="668"/>
      <c r="E85" s="481" t="str">
        <f>FHD_NUM_P_47</f>
        <v/>
      </c>
      <c r="F85" s="1795" t="str">
        <f>FHD_P_47</f>
        <v/>
      </c>
      <c r="G85" s="1796" t="s">
        <v>602</v>
      </c>
      <c r="H85" s="901"/>
      <c r="I85" s="512"/>
      <c r="J85" s="225" t="str">
        <f>FHD_NOTE_P_47</f>
        <v/>
      </c>
      <c r="K85" s="669"/>
      <c r="L85" s="670"/>
      <c r="M85" s="670"/>
      <c r="R85" s="670"/>
      <c r="U85" s="671"/>
      <c r="AA85" s="672"/>
      <c r="AB85" s="672"/>
      <c r="AC85" s="672"/>
      <c r="AD85" s="672"/>
      <c r="AE85" s="672"/>
      <c r="AF85" s="834">
        <v>0</v>
      </c>
    </row>
    <row r="86" spans="1:32" s="4133" customFormat="1" ht="18.75" hidden="1" customHeight="1">
      <c r="A86" s="4497"/>
      <c r="B86" s="834"/>
      <c r="C86" s="670"/>
      <c r="D86" s="668"/>
      <c r="E86" s="481" t="str">
        <f>FHD_NUM_P_48</f>
        <v/>
      </c>
      <c r="F86" s="1795" t="str">
        <f>FHD_P_48</f>
        <v/>
      </c>
      <c r="G86" s="1796" t="s">
        <v>602</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4133" customFormat="1" ht="18.75" hidden="1" customHeight="1">
      <c r="A87" s="4497"/>
      <c r="B87" s="834"/>
      <c r="C87" s="670"/>
      <c r="D87" s="668"/>
      <c r="E87" s="481" t="str">
        <f>FHD_NUM_P_49</f>
        <v/>
      </c>
      <c r="F87" s="1795" t="str">
        <f>FHD_P_49</f>
        <v/>
      </c>
      <c r="G87" s="1796" t="s">
        <v>602</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4133" customFormat="1" ht="18.75" hidden="1" customHeight="1">
      <c r="A88" s="4497"/>
      <c r="B88" s="834"/>
      <c r="C88" s="670"/>
      <c r="D88" s="668"/>
      <c r="E88" s="481" t="str">
        <f>FHD_NUM_P_50</f>
        <v/>
      </c>
      <c r="F88" s="1795" t="str">
        <f>FHD_P_50</f>
        <v/>
      </c>
      <c r="G88" s="1796" t="s">
        <v>602</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4133" customFormat="1" ht="18.75" hidden="1" customHeight="1">
      <c r="A89" s="4497"/>
      <c r="B89" s="834"/>
      <c r="C89" s="670"/>
      <c r="D89" s="668"/>
      <c r="E89" s="481" t="str">
        <f>FHD_NUM_P_51</f>
        <v/>
      </c>
      <c r="F89" s="1795" t="str">
        <f>FHD_P_51</f>
        <v/>
      </c>
      <c r="G89" s="1796" t="s">
        <v>602</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4133" customFormat="1" ht="18.75" hidden="1" customHeight="1">
      <c r="A90" s="4497"/>
      <c r="B90" s="834"/>
      <c r="C90" s="670"/>
      <c r="D90" s="668"/>
      <c r="E90" s="481" t="str">
        <f>FHD_NUM_P_52</f>
        <v/>
      </c>
      <c r="F90" s="1795" t="str">
        <f>FHD_P_52</f>
        <v/>
      </c>
      <c r="G90" s="1796" t="s">
        <v>579</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4139" customFormat="1" ht="18.75" hidden="1" customHeight="1">
      <c r="A91" s="4497" t="s">
        <v>603</v>
      </c>
      <c r="C91" s="670"/>
      <c r="D91" s="668"/>
      <c r="E91" s="481" t="str">
        <f>FHD_NUM_P_53</f>
        <v/>
      </c>
      <c r="F91" s="1795" t="str">
        <f>FHD_P_53</f>
        <v/>
      </c>
      <c r="G91" s="1796" t="s">
        <v>602</v>
      </c>
      <c r="H91" s="901"/>
      <c r="I91" s="512"/>
      <c r="J91" s="225" t="str">
        <f>FHD_NOTE_P_53</f>
        <v/>
      </c>
      <c r="K91" s="669"/>
      <c r="L91" s="670"/>
      <c r="M91" s="670"/>
      <c r="R91" s="670"/>
      <c r="U91" s="671"/>
      <c r="AA91" s="672"/>
      <c r="AB91" s="672"/>
      <c r="AC91" s="672"/>
      <c r="AD91" s="672"/>
      <c r="AE91" s="672"/>
      <c r="AF91" s="834">
        <v>0</v>
      </c>
    </row>
    <row r="92" spans="1:32" s="4139" customFormat="1" ht="18.75" hidden="1" customHeight="1">
      <c r="A92" s="4497"/>
      <c r="C92" s="670"/>
      <c r="D92" s="668"/>
      <c r="E92" s="481" t="str">
        <f>FHD_NUM_P_54</f>
        <v/>
      </c>
      <c r="F92" s="1795" t="str">
        <f>FHD_P_54</f>
        <v/>
      </c>
      <c r="G92" s="1796" t="s">
        <v>602</v>
      </c>
      <c r="H92" s="901"/>
      <c r="I92" s="512"/>
      <c r="J92" s="225" t="str">
        <f>FHD_NOTE_P_54</f>
        <v/>
      </c>
      <c r="K92" s="669"/>
      <c r="L92" s="670"/>
      <c r="M92" s="670"/>
      <c r="R92" s="670"/>
      <c r="U92" s="671"/>
      <c r="AA92" s="672"/>
      <c r="AB92" s="672"/>
      <c r="AC92" s="672"/>
      <c r="AD92" s="672"/>
      <c r="AE92" s="672"/>
      <c r="AF92" s="834">
        <v>0</v>
      </c>
    </row>
    <row r="93" spans="1:32" s="4139" customFormat="1" ht="18.75" hidden="1" customHeight="1">
      <c r="A93" s="4497"/>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4139" customFormat="1" ht="18.75" hidden="1" customHeight="1">
      <c r="A94" s="4497"/>
      <c r="C94" s="670"/>
      <c r="D94" s="668"/>
      <c r="E94" s="481" t="str">
        <f>FHD_NUM_P_56</f>
        <v/>
      </c>
      <c r="F94" s="1795" t="str">
        <f>FHD_P_56</f>
        <v/>
      </c>
      <c r="G94" s="1796" t="s">
        <v>604</v>
      </c>
      <c r="H94" s="901"/>
      <c r="I94" s="512"/>
      <c r="J94" s="225" t="str">
        <f>FHD_NOTE_P_56</f>
        <v/>
      </c>
      <c r="K94" s="669"/>
      <c r="L94" s="670"/>
      <c r="M94" s="670"/>
      <c r="R94" s="670"/>
      <c r="U94" s="671"/>
      <c r="AA94" s="672"/>
      <c r="AB94" s="672"/>
      <c r="AC94" s="672"/>
      <c r="AD94" s="672"/>
      <c r="AE94" s="672"/>
      <c r="AF94" s="834">
        <v>0</v>
      </c>
    </row>
    <row r="95" spans="1:32" s="4133" customFormat="1" ht="18.75" hidden="1" customHeight="1">
      <c r="A95" s="4497"/>
      <c r="B95" s="834"/>
      <c r="C95" s="670"/>
      <c r="D95" s="668"/>
      <c r="E95" s="481" t="str">
        <f>FHD_NUM_P_57</f>
        <v/>
      </c>
      <c r="F95" s="1795" t="str">
        <f>FHD_P_57</f>
        <v/>
      </c>
      <c r="G95" s="1796" t="s">
        <v>579</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4497" t="s">
        <v>605</v>
      </c>
      <c r="D96" s="1556"/>
      <c r="E96" s="481" t="str">
        <f>FHD_NUM_P_58</f>
        <v/>
      </c>
      <c r="F96" s="1795" t="str">
        <f>FHD_P_58</f>
        <v/>
      </c>
      <c r="G96" s="1796" t="s">
        <v>602</v>
      </c>
      <c r="H96" s="901"/>
      <c r="I96" s="512"/>
      <c r="J96" s="225" t="str">
        <f>FHD_NOTE_P_58</f>
        <v/>
      </c>
      <c r="K96" s="478"/>
      <c r="AF96" s="1549">
        <v>0</v>
      </c>
    </row>
    <row r="97" spans="1:32" ht="18.75" hidden="1" customHeight="1">
      <c r="A97" s="4497"/>
      <c r="D97" s="1556"/>
      <c r="E97" s="481" t="str">
        <f>FHD_NUM_P_59</f>
        <v/>
      </c>
      <c r="F97" s="1795" t="str">
        <f>FHD_P_59</f>
        <v/>
      </c>
      <c r="G97" s="1796" t="s">
        <v>602</v>
      </c>
      <c r="H97" s="901"/>
      <c r="I97" s="512"/>
      <c r="J97" s="225" t="str">
        <f>FHD_NOTE_P_59</f>
        <v/>
      </c>
      <c r="K97" s="478"/>
      <c r="AF97" s="1549">
        <v>0</v>
      </c>
    </row>
    <row r="98" spans="1:32" ht="18.75" hidden="1" customHeight="1">
      <c r="A98" s="4497"/>
      <c r="D98" s="1556"/>
      <c r="E98" s="481" t="str">
        <f>FHD_NUM_P_60</f>
        <v/>
      </c>
      <c r="F98" s="1795" t="str">
        <f>FHD_P_60</f>
        <v/>
      </c>
      <c r="G98" s="1796" t="s">
        <v>602</v>
      </c>
      <c r="H98" s="901"/>
      <c r="I98" s="512"/>
      <c r="J98" s="225" t="str">
        <f>FHD_NOTE_P_60</f>
        <v/>
      </c>
      <c r="K98" s="478"/>
      <c r="AF98" s="1549">
        <v>0</v>
      </c>
    </row>
    <row r="99" spans="1:32" s="4139" customFormat="1" ht="18.75" customHeight="1">
      <c r="A99" s="4497" t="s">
        <v>606</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577</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4140" customFormat="1" ht="0.75" customHeight="1">
      <c r="A100" s="4497"/>
      <c r="D100" s="483"/>
      <c r="E100" s="935" t="str">
        <f>E99&amp;".0"</f>
        <v>7.0</v>
      </c>
      <c r="F100" s="917"/>
      <c r="G100" s="918"/>
      <c r="H100" s="915"/>
      <c r="I100" s="915"/>
      <c r="J100" s="919"/>
      <c r="AF100" s="1554">
        <v>0</v>
      </c>
    </row>
    <row r="101" spans="1:32" ht="15" customHeight="1">
      <c r="A101" s="4497"/>
      <c r="D101" s="1551"/>
      <c r="E101" s="895"/>
      <c r="F101" s="896" t="s">
        <v>607</v>
      </c>
      <c r="G101" s="507"/>
      <c r="H101" s="508"/>
      <c r="I101" s="508"/>
      <c r="J101" s="926" t="s">
        <v>608</v>
      </c>
      <c r="K101" s="478"/>
      <c r="AF101" s="1549">
        <v>0</v>
      </c>
    </row>
    <row r="102" spans="1:32" s="4139" customFormat="1" ht="18.75" customHeight="1">
      <c r="A102" s="4497"/>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577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4139" customFormat="1" ht="18.75" customHeight="1">
      <c r="A103" s="4497"/>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604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4139" customFormat="1" ht="18.75" customHeight="1">
      <c r="A104" s="4497"/>
      <c r="C104" s="1554" t="s">
        <v>609</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604</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4139" customFormat="1" ht="18.75" customHeight="1">
      <c r="A105" s="4497"/>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604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4139" customFormat="1" ht="18.75" customHeight="1">
      <c r="A106" s="4497"/>
      <c r="C106" s="1554"/>
      <c r="D106" s="1556"/>
      <c r="E106" s="481" t="str">
        <f>FHD_NUM_P_66</f>
        <v>10.1</v>
      </c>
      <c r="F106" s="1442" t="str">
        <f>FHD_P_66</f>
        <v xml:space="preserve">По приборам учёта </v>
      </c>
      <c r="G106" s="1792" t="s">
        <v>604</v>
      </c>
      <c r="H106" s="512"/>
      <c r="I106" s="512"/>
      <c r="J106" s="225" t="str">
        <f>FHD_NOTE_P_66</f>
        <v/>
      </c>
      <c r="K106" s="478"/>
      <c r="L106" s="1554"/>
      <c r="M106" s="1554"/>
      <c r="R106" s="1554"/>
      <c r="U106" s="479"/>
      <c r="AA106" s="1550"/>
      <c r="AB106" s="1550"/>
      <c r="AC106" s="1550"/>
      <c r="AD106" s="1550"/>
      <c r="AE106" s="1550"/>
      <c r="AF106" s="1078">
        <v>0</v>
      </c>
    </row>
    <row r="107" spans="1:32" s="4139" customFormat="1" ht="18.75" customHeight="1">
      <c r="A107" s="449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604</v>
      </c>
      <c r="H107" s="512"/>
      <c r="I107" s="512"/>
      <c r="J107" s="225" t="str">
        <f>FHD_NOTE_P_67</f>
        <v/>
      </c>
      <c r="K107" s="478"/>
      <c r="L107" s="1554"/>
      <c r="M107" s="1554"/>
      <c r="R107" s="1554"/>
      <c r="U107" s="479"/>
      <c r="AA107" s="1550"/>
      <c r="AB107" s="1550"/>
      <c r="AC107" s="1550"/>
      <c r="AD107" s="1550"/>
      <c r="AE107" s="1550"/>
      <c r="AF107" s="1078">
        <v>0</v>
      </c>
    </row>
    <row r="108" spans="1:32" s="4139" customFormat="1" ht="18.75" customHeight="1">
      <c r="A108" s="4497"/>
      <c r="C108" s="1554"/>
      <c r="D108" s="1556"/>
      <c r="E108" s="481" t="str">
        <f>FHD_NUM_P_68</f>
        <v>10.2</v>
      </c>
      <c r="F108" s="1442" t="str">
        <f>FHD_P_68</f>
        <v>Расчётным путём</v>
      </c>
      <c r="G108" s="1792" t="s">
        <v>604</v>
      </c>
      <c r="H108" s="512"/>
      <c r="I108" s="512"/>
      <c r="J108" s="225" t="str">
        <f>FHD_NOTE_P_68</f>
        <v/>
      </c>
      <c r="K108" s="478"/>
      <c r="L108" s="1554"/>
      <c r="M108" s="1554"/>
      <c r="R108" s="1554"/>
      <c r="U108" s="479"/>
      <c r="AA108" s="1550"/>
      <c r="AB108" s="1550"/>
      <c r="AC108" s="1550"/>
      <c r="AD108" s="1550"/>
      <c r="AE108" s="1550"/>
      <c r="AF108" s="1078">
        <v>0</v>
      </c>
    </row>
    <row r="109" spans="1:32" s="4139" customFormat="1" ht="18.75" customHeight="1">
      <c r="A109" s="449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604</v>
      </c>
      <c r="H109" s="512"/>
      <c r="I109" s="512"/>
      <c r="J109" s="225" t="str">
        <f>FHD_NOTE_P_69</f>
        <v/>
      </c>
      <c r="K109" s="478"/>
      <c r="L109" s="1554"/>
      <c r="M109" s="1554"/>
      <c r="R109" s="1554"/>
      <c r="U109" s="479"/>
      <c r="AA109" s="1550"/>
      <c r="AB109" s="1550"/>
      <c r="AC109" s="1550"/>
      <c r="AD109" s="1550"/>
      <c r="AE109" s="1550"/>
      <c r="AF109" s="1078">
        <v>0</v>
      </c>
    </row>
    <row r="110" spans="1:32" s="4139" customFormat="1" ht="22.5" customHeight="1">
      <c r="A110" s="4497"/>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610</v>
      </c>
      <c r="H110" s="492"/>
      <c r="I110" s="492"/>
      <c r="J110" s="225" t="str">
        <f>FHD_NOTE_P_70</f>
        <v/>
      </c>
      <c r="K110" s="478"/>
      <c r="L110" s="1554"/>
      <c r="M110" s="1554"/>
      <c r="R110" s="1554"/>
      <c r="U110" s="479"/>
      <c r="AA110" s="1550"/>
      <c r="AB110" s="1550"/>
      <c r="AC110" s="1550"/>
      <c r="AD110" s="1550"/>
      <c r="AE110" s="1550"/>
      <c r="AF110" s="1078">
        <v>0</v>
      </c>
    </row>
    <row r="111" spans="1:32" s="4139" customFormat="1" ht="22.5" customHeight="1">
      <c r="A111" s="4497"/>
      <c r="C111" s="1554"/>
      <c r="D111" s="1556"/>
      <c r="E111" s="481" t="str">
        <f>FHD_NUM_P_71</f>
        <v>12</v>
      </c>
      <c r="F111" s="1795" t="str">
        <f>FHD_P_71</f>
        <v>Фактический объем потерь при передаче тепловой энергии</v>
      </c>
      <c r="G111" s="1792" t="s">
        <v>610</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611</v>
      </c>
      <c r="H112" s="512"/>
      <c r="I112" s="512"/>
      <c r="J112" s="225" t="str">
        <f>FHD_NOTE_P_72</f>
        <v/>
      </c>
      <c r="K112" s="478"/>
      <c r="AF112" s="1549">
        <v>19</v>
      </c>
    </row>
    <row r="113" spans="1:32" ht="18.75" customHeight="1">
      <c r="A113" s="912" t="s">
        <v>612</v>
      </c>
      <c r="D113" s="1556"/>
      <c r="E113" s="481" t="str">
        <f>FHD_NUM_P_73</f>
        <v>14</v>
      </c>
      <c r="F113" s="1795" t="str">
        <f>FHD_P_73</f>
        <v>Среднесписочная численность административно-управленческого персонала</v>
      </c>
      <c r="G113" s="894" t="s">
        <v>611</v>
      </c>
      <c r="H113" s="892"/>
      <c r="I113" s="892"/>
      <c r="J113" s="225" t="str">
        <f>FHD_NOTE_P_73</f>
        <v/>
      </c>
      <c r="K113" s="478"/>
      <c r="AF113" s="1549">
        <v>0</v>
      </c>
    </row>
    <row r="114" spans="1:32" ht="33.75" hidden="1" customHeight="1">
      <c r="A114" s="912" t="s">
        <v>613</v>
      </c>
      <c r="D114" s="1556"/>
      <c r="E114" s="481" t="str">
        <f>FHD_NUM_P_74</f>
        <v/>
      </c>
      <c r="F114" s="1795" t="str">
        <f>FHD_P_74</f>
        <v/>
      </c>
      <c r="G114" s="1791" t="s">
        <v>614</v>
      </c>
      <c r="H114" s="512"/>
      <c r="I114" s="512"/>
      <c r="J114" s="225" t="str">
        <f>FHD_NOTE_P_74</f>
        <v/>
      </c>
      <c r="K114" s="478"/>
      <c r="AF114" s="1549">
        <v>0</v>
      </c>
    </row>
    <row r="115" spans="1:32" s="4133" customFormat="1" ht="18.75" hidden="1" customHeight="1">
      <c r="A115" s="4497" t="s">
        <v>615</v>
      </c>
      <c r="B115" s="834"/>
      <c r="C115" s="670"/>
      <c r="D115" s="668"/>
      <c r="E115" s="481" t="str">
        <f>FHD_NUM_P_75</f>
        <v/>
      </c>
      <c r="F115" s="1795" t="str">
        <f>FHD_P_75</f>
        <v/>
      </c>
      <c r="G115" s="1791" t="s">
        <v>579</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4133" customFormat="1" ht="18.75" hidden="1" customHeight="1">
      <c r="A116" s="4497"/>
      <c r="B116" s="834"/>
      <c r="C116" s="670"/>
      <c r="D116" s="668"/>
      <c r="E116" s="481" t="str">
        <f>FHD_NUM_P_76</f>
        <v/>
      </c>
      <c r="F116" s="1795" t="str">
        <f>FHD_P_76</f>
        <v/>
      </c>
      <c r="G116" s="1791" t="s">
        <v>579</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4133" customFormat="1" ht="18.75" hidden="1" customHeight="1">
      <c r="A117" s="4497"/>
      <c r="B117" s="834"/>
      <c r="C117" s="670"/>
      <c r="D117" s="668"/>
      <c r="E117" s="481" t="str">
        <f>FHD_NUM_P_77</f>
        <v/>
      </c>
      <c r="F117" s="1795" t="str">
        <f>FHD_P_77</f>
        <v/>
      </c>
      <c r="G117" s="1791" t="s">
        <v>579</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4140" customFormat="1" ht="0.75" hidden="1" customHeight="1">
      <c r="A118" s="4497"/>
      <c r="D118" s="483"/>
      <c r="E118" s="935" t="str">
        <f>E117&amp;".0"</f>
        <v>.0</v>
      </c>
      <c r="F118" s="920"/>
      <c r="G118" s="1569"/>
      <c r="H118" s="915"/>
      <c r="I118" s="915"/>
      <c r="J118" s="919"/>
      <c r="AF118" s="1554">
        <v>0</v>
      </c>
    </row>
    <row r="119" spans="1:32" s="4133" customFormat="1" ht="15" hidden="1" customHeight="1">
      <c r="A119" s="4497"/>
      <c r="B119" s="834"/>
      <c r="C119" s="670"/>
      <c r="D119" s="681"/>
      <c r="E119" s="897"/>
      <c r="F119" s="898" t="s">
        <v>616</v>
      </c>
      <c r="G119" s="682"/>
      <c r="H119" s="683"/>
      <c r="I119" s="683"/>
      <c r="J119" s="925" t="s">
        <v>617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4497" t="s">
        <v>618</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581</v>
      </c>
      <c r="H120" s="512"/>
      <c r="I120" s="512"/>
      <c r="J120" s="225" t="str">
        <f>FHD_NOTE_P_78</f>
        <v/>
      </c>
      <c r="K120" s="478"/>
      <c r="AF120" s="1549">
        <v>0</v>
      </c>
    </row>
    <row r="121" spans="1:32" s="4140" customFormat="1" ht="0.75" customHeight="1">
      <c r="A121" s="4497"/>
      <c r="D121" s="483"/>
      <c r="E121" s="935" t="str">
        <f>E120&amp;".0"</f>
        <v>15.0</v>
      </c>
      <c r="F121" s="920"/>
      <c r="G121" s="1569"/>
      <c r="H121" s="915"/>
      <c r="I121" s="915"/>
      <c r="J121" s="919"/>
      <c r="AF121" s="1554">
        <v>0</v>
      </c>
    </row>
    <row r="122" spans="1:32" ht="15" customHeight="1">
      <c r="A122" s="4497"/>
      <c r="D122" s="1551"/>
      <c r="E122" s="505"/>
      <c r="F122" s="1086" t="s">
        <v>607</v>
      </c>
      <c r="G122" s="507"/>
      <c r="H122" s="508"/>
      <c r="I122" s="508"/>
      <c r="J122" s="926" t="s">
        <v>619</v>
      </c>
      <c r="K122" s="478"/>
      <c r="AF122" s="1549">
        <v>0</v>
      </c>
    </row>
    <row r="123" spans="1:32" ht="22.5" customHeight="1">
      <c r="A123" s="4497"/>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583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4140" customFormat="1" ht="0.75" customHeight="1">
      <c r="A124" s="4497"/>
      <c r="D124" s="483"/>
      <c r="E124" s="935" t="str">
        <f>E123&amp;".0"</f>
        <v>16.0</v>
      </c>
      <c r="F124" s="921"/>
      <c r="G124" s="1569"/>
      <c r="H124" s="915"/>
      <c r="I124" s="915"/>
      <c r="J124" s="919"/>
      <c r="AF124" s="1554">
        <v>0</v>
      </c>
    </row>
    <row r="125" spans="1:32" ht="15" customHeight="1">
      <c r="A125" s="4497"/>
      <c r="D125" s="1551"/>
      <c r="E125" s="505"/>
      <c r="F125" s="1086" t="s">
        <v>607</v>
      </c>
      <c r="G125" s="507"/>
      <c r="H125" s="508"/>
      <c r="I125" s="508"/>
      <c r="J125" s="926" t="s">
        <v>620</v>
      </c>
      <c r="K125" s="478"/>
      <c r="AF125" s="1549">
        <v>0</v>
      </c>
    </row>
    <row r="126" spans="1:32" ht="22.5" customHeight="1">
      <c r="A126" s="4497"/>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621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4497"/>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622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4497"/>
      <c r="C128" s="1554" t="s">
        <v>609</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327</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4497"/>
      <c r="C129" s="1554" t="s">
        <v>609</v>
      </c>
      <c r="D129" s="1556"/>
      <c r="E129" s="481" t="str">
        <f>FHD_NUM_P_83</f>
        <v>19.1</v>
      </c>
      <c r="F129" s="1442" t="str">
        <f>FHD_P_83</f>
        <v>Информация о показателях физического износа объектов теплоснабжения</v>
      </c>
      <c r="G129" s="1793" t="s">
        <v>327</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4497"/>
      <c r="C130" s="1554" t="s">
        <v>609</v>
      </c>
      <c r="D130" s="1556"/>
      <c r="E130" s="481" t="str">
        <f>FHD_NUM_P_84</f>
        <v>19.2</v>
      </c>
      <c r="F130" s="1442" t="str">
        <f>FHD_P_84</f>
        <v>Информация о показателях энергетической эффективности объектов теплоснабжения</v>
      </c>
      <c r="G130" s="1793" t="s">
        <v>327</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4164"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16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16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164"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16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16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16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16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16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16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16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16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16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16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16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16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16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16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16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16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16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16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16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16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16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16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16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16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16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16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16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16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16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16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16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16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16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16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16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16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16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16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16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16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16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16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16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16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16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16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16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16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16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16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16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16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16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16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16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16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16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16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16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164"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164"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164"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164"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164"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164"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164"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4164"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4164"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4164"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4164"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4164"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4164"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4164"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4164"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4164"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4164"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4164"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4164"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4164"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4164"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4164"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4164"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4164"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4164"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4164"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4164"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4164"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4164"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4164"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4164"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4164"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4164"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4164"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4164"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4164"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4164"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4164"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4164"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4164"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4164"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4164"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4164"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4164"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4164"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4164"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4164"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4164"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4164"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4164"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4164"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4164"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4164"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4164"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4164"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4164"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4164"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4164"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4164"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4164"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4164"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4164"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4164"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4164"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4164"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4164"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4164"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4164"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4164"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4164"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4164"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4164"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4164"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4164"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4164"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4164"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4164"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4164"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4164"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4164"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4164"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4164"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4164"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4164"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4164"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4164"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4164"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4164"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4164"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4164"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4164"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4164"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4164"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86</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4204" hidden="1" customWidth="1"/>
    <col min="2" max="2" width="17" style="4131" hidden="1" customWidth="1"/>
    <col min="3" max="3" width="3" style="4133" customWidth="1"/>
    <col min="4" max="4" width="1.85546875" style="4133" hidden="1" customWidth="1"/>
    <col min="5" max="6" width="7" style="4133" customWidth="1"/>
    <col min="7" max="7" width="29" style="4133" customWidth="1"/>
    <col min="8" max="8" width="3.7109375" style="4133" customWidth="1"/>
    <col min="9" max="9" width="5" style="4133" customWidth="1"/>
    <col min="10" max="11" width="24" style="4133" customWidth="1"/>
    <col min="12" max="12" width="3" style="4133" customWidth="1"/>
    <col min="13" max="13" width="6" style="4133" customWidth="1"/>
    <col min="14" max="14" width="25" style="4133" customWidth="1"/>
    <col min="15" max="18" width="18" style="4133" customWidth="1"/>
    <col min="19" max="19" width="93" style="4133" customWidth="1"/>
    <col min="20" max="20" width="10" style="4133" customWidth="1"/>
    <col min="21" max="21" width="10" style="4140" customWidth="1"/>
    <col min="22" max="22" width="11" style="4140" customWidth="1"/>
    <col min="23" max="27" width="10" style="4131" customWidth="1"/>
    <col min="28" max="83" width="8" style="4133" customWidth="1"/>
    <col min="84" max="84" width="9.140625" style="4133"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79"/>
      <c r="E5" s="4393" t="str">
        <f>FHD20_NAME_FORM</f>
        <v>Форма 11. Информация о расходах на капитальный и текущий ремонт основных средств</v>
      </c>
      <c r="F5" s="4393"/>
      <c r="G5" s="4393"/>
      <c r="H5" s="4393"/>
      <c r="I5" s="4393"/>
      <c r="J5" s="4393"/>
      <c r="K5" s="4393"/>
      <c r="L5" s="548"/>
      <c r="M5" s="548"/>
      <c r="CF5" s="440">
        <v>28</v>
      </c>
    </row>
    <row r="6" spans="1:84" s="4133" customFormat="1" ht="16.899999999999999" customHeight="1">
      <c r="A6" s="545"/>
      <c r="B6" s="692"/>
      <c r="C6" s="444"/>
      <c r="D6" s="980"/>
      <c r="E6" s="4365" t="str">
        <f>IF(org=0,"Не определено",org)</f>
        <v>АО "Мурманэнергосбыт"</v>
      </c>
      <c r="F6" s="4365"/>
      <c r="G6" s="4365"/>
      <c r="H6" s="4365"/>
      <c r="I6" s="4365"/>
      <c r="J6" s="4365"/>
      <c r="K6" s="436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4164"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4256" t="s">
        <v>321</v>
      </c>
      <c r="F9" s="4261"/>
      <c r="G9" s="4261"/>
      <c r="H9" s="4261"/>
      <c r="I9" s="4261"/>
      <c r="J9" s="4261"/>
      <c r="K9" s="4261"/>
      <c r="L9" s="4261"/>
      <c r="M9" s="4261"/>
      <c r="N9" s="4261"/>
      <c r="O9" s="4261"/>
      <c r="P9" s="4261"/>
      <c r="Q9" s="4261"/>
      <c r="R9" s="4255"/>
      <c r="S9" s="4274" t="s">
        <v>322</v>
      </c>
      <c r="T9" s="270"/>
      <c r="CF9" s="440">
        <v>19</v>
      </c>
    </row>
    <row r="10" spans="1:84" ht="48.2" customHeight="1">
      <c r="D10" s="486" t="s">
        <v>92</v>
      </c>
      <c r="E10" s="4274" t="s">
        <v>92</v>
      </c>
      <c r="F10" s="4274"/>
      <c r="G10" s="456" t="s">
        <v>323</v>
      </c>
      <c r="H10" s="4274" t="s">
        <v>92</v>
      </c>
      <c r="I10" s="4274"/>
      <c r="J10" s="456" t="s">
        <v>623</v>
      </c>
      <c r="K10" s="456" t="s">
        <v>624</v>
      </c>
      <c r="L10" s="4274" t="s">
        <v>92</v>
      </c>
      <c r="M10" s="4274"/>
      <c r="N10" s="456" t="s">
        <v>625</v>
      </c>
      <c r="O10" s="456" t="s">
        <v>626</v>
      </c>
      <c r="P10" s="456" t="s">
        <v>627</v>
      </c>
      <c r="Q10" s="456" t="s">
        <v>628</v>
      </c>
      <c r="R10" s="456" t="s">
        <v>629</v>
      </c>
      <c r="S10" s="4274"/>
      <c r="T10" s="270"/>
      <c r="CF10" s="440">
        <v>46</v>
      </c>
    </row>
    <row r="11" spans="1:84" s="4140" customFormat="1" ht="15" hidden="1" customHeight="1">
      <c r="A11" s="974"/>
      <c r="D11" s="947" t="s">
        <v>113</v>
      </c>
      <c r="E11" s="947"/>
      <c r="F11" s="947" t="s">
        <v>114</v>
      </c>
      <c r="G11" s="947" t="s">
        <v>94</v>
      </c>
      <c r="H11" s="947"/>
      <c r="I11" s="947" t="s">
        <v>95</v>
      </c>
      <c r="J11" s="947" t="s">
        <v>103</v>
      </c>
      <c r="K11" s="947" t="s">
        <v>96</v>
      </c>
      <c r="L11" s="947"/>
      <c r="M11" s="947" t="s">
        <v>97</v>
      </c>
      <c r="N11" s="947" t="s">
        <v>115</v>
      </c>
      <c r="O11" s="947" t="s">
        <v>151</v>
      </c>
      <c r="P11" s="947" t="s">
        <v>152</v>
      </c>
      <c r="Q11" s="947" t="s">
        <v>153</v>
      </c>
      <c r="R11" s="947" t="s">
        <v>154</v>
      </c>
      <c r="S11" s="947" t="s">
        <v>155</v>
      </c>
      <c r="U11" s="546"/>
      <c r="V11" s="546"/>
      <c r="W11" s="546"/>
      <c r="CF11" s="446">
        <v>0</v>
      </c>
    </row>
    <row r="12" spans="1:84" s="4133" customFormat="1" ht="1.1499999999999999" customHeight="1">
      <c r="A12" s="550"/>
      <c r="B12" s="297"/>
      <c r="D12" s="483"/>
      <c r="E12" s="282"/>
      <c r="F12" s="282"/>
      <c r="Q12" s="551"/>
      <c r="R12" s="552"/>
      <c r="T12" s="553"/>
      <c r="U12" s="554"/>
      <c r="V12" s="554"/>
      <c r="W12" s="555"/>
      <c r="X12" s="297"/>
      <c r="Y12" s="297"/>
      <c r="Z12" s="297"/>
      <c r="AA12" s="297"/>
      <c r="CF12" s="444">
        <v>1</v>
      </c>
    </row>
    <row r="13" spans="1:84" s="4164" customFormat="1" ht="1.1499999999999999" customHeight="1">
      <c r="A13" s="556"/>
      <c r="B13" s="501"/>
      <c r="D13" s="483" t="s">
        <v>397</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4143" customFormat="1" ht="15" hidden="1" customHeight="1">
      <c r="A14" s="558" t="s">
        <v>120</v>
      </c>
      <c r="B14" s="559"/>
      <c r="C14" s="559"/>
      <c r="D14" s="4503" t="s">
        <v>113</v>
      </c>
      <c r="E14" s="4510" t="s">
        <v>109</v>
      </c>
      <c r="F14" s="4511"/>
      <c r="G14" s="4512"/>
      <c r="H14" s="4506">
        <f>IF(A14="","",INDEX(DIFFERENTIATION_UNMERGE_VD,MATCH(A14,DIFFERENTIATION_ID_DIFF,0)))</f>
        <v>0</v>
      </c>
      <c r="I14" s="4506"/>
      <c r="J14" s="4506"/>
      <c r="K14" s="4506"/>
      <c r="L14" s="4506"/>
      <c r="M14" s="4506"/>
      <c r="N14" s="4506"/>
      <c r="O14" s="4506"/>
      <c r="P14" s="4506"/>
      <c r="Q14" s="4506"/>
      <c r="R14" s="4506"/>
      <c r="S14" s="654"/>
      <c r="T14" s="651"/>
      <c r="U14" s="560"/>
      <c r="V14" s="560"/>
      <c r="W14" s="561"/>
      <c r="X14" s="561"/>
      <c r="Y14" s="561"/>
      <c r="Z14" s="561"/>
      <c r="AA14" s="562"/>
      <c r="AB14" s="563"/>
      <c r="AC14" s="4509"/>
      <c r="AD14" s="564"/>
      <c r="AE14" s="565" t="s">
        <v>28</v>
      </c>
      <c r="AF14" s="565"/>
      <c r="AG14" s="566" t="s">
        <v>630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4143" customFormat="1" ht="15" hidden="1" customHeight="1">
      <c r="A15" s="558"/>
      <c r="B15" s="559"/>
      <c r="C15" s="559"/>
      <c r="D15" s="4504"/>
      <c r="E15" s="4510" t="s">
        <v>585</v>
      </c>
      <c r="F15" s="4511"/>
      <c r="G15" s="4512"/>
      <c r="H15" s="4506" t="str">
        <f>IF(A14="","",INDEX(DIFFERENTIATION_UNMERGE_AREA,MATCH(A14,DIFFERENTIATION_ID_DIFF,0)))</f>
        <v/>
      </c>
      <c r="I15" s="4506"/>
      <c r="J15" s="4506"/>
      <c r="K15" s="4506"/>
      <c r="L15" s="4506"/>
      <c r="M15" s="4506"/>
      <c r="N15" s="4506"/>
      <c r="O15" s="4506"/>
      <c r="P15" s="4506"/>
      <c r="Q15" s="4506"/>
      <c r="R15" s="4506"/>
      <c r="S15" s="654"/>
      <c r="T15" s="651"/>
      <c r="U15" s="560"/>
      <c r="V15" s="560"/>
      <c r="W15" s="561"/>
      <c r="X15" s="561"/>
      <c r="Y15" s="561"/>
      <c r="Z15" s="561"/>
      <c r="AA15" s="562"/>
      <c r="AB15" s="563"/>
      <c r="AC15" s="450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4143" customFormat="1" ht="15" hidden="1" customHeight="1">
      <c r="A16" s="558"/>
      <c r="B16" s="559"/>
      <c r="C16" s="559"/>
      <c r="D16" s="4504"/>
      <c r="E16" s="4510" t="s">
        <v>586</v>
      </c>
      <c r="F16" s="4511"/>
      <c r="G16" s="4512"/>
      <c r="H16" s="4506" t="str">
        <f>IF(A14="","",INDEX(DIFFERENTIATION_UNMERGE_SYSTEM,MATCH(A14,DIFFERENTIATION_ID_DIFF,0)))</f>
        <v>без дифференциации</v>
      </c>
      <c r="I16" s="4506"/>
      <c r="J16" s="4506"/>
      <c r="K16" s="4506"/>
      <c r="L16" s="4506"/>
      <c r="M16" s="4506"/>
      <c r="N16" s="4506"/>
      <c r="O16" s="4506"/>
      <c r="P16" s="4506"/>
      <c r="Q16" s="4506"/>
      <c r="R16" s="4506"/>
      <c r="S16" s="654"/>
      <c r="T16" s="651"/>
      <c r="U16" s="560"/>
      <c r="V16" s="560"/>
      <c r="W16" s="561"/>
      <c r="X16" s="561"/>
      <c r="Y16" s="561"/>
      <c r="Z16" s="561"/>
      <c r="AA16" s="562"/>
      <c r="AB16" s="563"/>
      <c r="AC16" s="450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4143" customFormat="1" ht="22.5" hidden="1" customHeight="1">
      <c r="A17" s="568"/>
      <c r="B17" s="352"/>
      <c r="C17" s="347"/>
      <c r="D17" s="4504"/>
      <c r="E17" s="4508" t="s">
        <v>631</v>
      </c>
      <c r="F17" s="4508"/>
      <c r="G17" s="4508"/>
      <c r="H17" s="4508"/>
      <c r="I17" s="4508"/>
      <c r="J17" s="4508"/>
      <c r="K17" s="4508"/>
      <c r="L17" s="4508"/>
      <c r="M17" s="4508"/>
      <c r="N17" s="4508"/>
      <c r="O17" s="4508"/>
      <c r="P17" s="4508"/>
      <c r="Q17" s="493">
        <f>SUMIF(T18:T19,"i",Q18:Q19)</f>
        <v>0</v>
      </c>
      <c r="R17" s="939"/>
      <c r="S17" s="821" t="s">
        <v>632</v>
      </c>
      <c r="T17" s="652" t="s">
        <v>633</v>
      </c>
      <c r="U17" s="4416">
        <v>1</v>
      </c>
      <c r="V17" s="4416" t="str">
        <f>INDEX(B_FHD_FLAG_INDEX_1,1,MATCH(A14,B_FHD_FLAG_DIFFERENTIATION,0))</f>
        <v>отсутствует</v>
      </c>
      <c r="W17" s="352"/>
      <c r="X17" s="352"/>
      <c r="Y17" s="352"/>
      <c r="Z17" s="352"/>
      <c r="AA17" s="446"/>
      <c r="AB17" s="352"/>
      <c r="AC17" s="450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4143" customFormat="1" ht="11.25" hidden="1" customHeight="1">
      <c r="A18" s="569"/>
      <c r="B18" s="446"/>
      <c r="C18" s="446"/>
      <c r="D18" s="4504"/>
      <c r="E18" s="570"/>
      <c r="F18" s="570">
        <v>0</v>
      </c>
      <c r="G18" s="570"/>
      <c r="H18" s="570"/>
      <c r="I18" s="570"/>
      <c r="J18" s="570"/>
      <c r="K18" s="570"/>
      <c r="L18" s="570"/>
      <c r="M18" s="570"/>
      <c r="N18" s="570"/>
      <c r="O18" s="570"/>
      <c r="P18" s="570"/>
      <c r="Q18" s="570"/>
      <c r="R18" s="570"/>
      <c r="S18" s="571"/>
      <c r="T18" s="653"/>
      <c r="U18" s="4416"/>
      <c r="V18" s="4416"/>
      <c r="W18" s="446"/>
      <c r="X18" s="446"/>
      <c r="Y18" s="446"/>
      <c r="Z18" s="446"/>
      <c r="AA18" s="446"/>
      <c r="AB18" s="352"/>
      <c r="AC18" s="450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4143" customFormat="1" ht="11.25" hidden="1" customHeight="1">
      <c r="A19" s="568"/>
      <c r="B19" s="352"/>
      <c r="C19" s="347"/>
      <c r="D19" s="4504"/>
      <c r="E19" s="584" t="s">
        <v>28</v>
      </c>
      <c r="F19" s="585" t="s">
        <v>28</v>
      </c>
      <c r="G19" s="585" t="s">
        <v>28</v>
      </c>
      <c r="H19" s="586" t="s">
        <v>28</v>
      </c>
      <c r="I19" s="586"/>
      <c r="J19" s="586"/>
      <c r="K19" s="586"/>
      <c r="L19" s="586"/>
      <c r="M19" s="586"/>
      <c r="N19" s="586"/>
      <c r="O19" s="586"/>
      <c r="P19" s="586"/>
      <c r="Q19" s="586"/>
      <c r="R19" s="587"/>
      <c r="S19" s="942"/>
      <c r="T19" s="653"/>
      <c r="U19" s="4416"/>
      <c r="V19" s="4416"/>
      <c r="W19" s="352"/>
      <c r="X19" s="352"/>
      <c r="Y19" s="352"/>
      <c r="Z19" s="352"/>
      <c r="AA19" s="446"/>
      <c r="AB19" s="352"/>
      <c r="AC19" s="450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4143" customFormat="1" ht="22.5" hidden="1" customHeight="1">
      <c r="A20" s="568"/>
      <c r="B20" s="352"/>
      <c r="C20" s="347"/>
      <c r="D20" s="4504"/>
      <c r="E20" s="4508" t="s">
        <v>634</v>
      </c>
      <c r="F20" s="4508"/>
      <c r="G20" s="4508"/>
      <c r="H20" s="4508"/>
      <c r="I20" s="4508"/>
      <c r="J20" s="4508"/>
      <c r="K20" s="4508"/>
      <c r="L20" s="4508"/>
      <c r="M20" s="4508"/>
      <c r="N20" s="4508"/>
      <c r="O20" s="4508"/>
      <c r="P20" s="4508"/>
      <c r="Q20" s="493">
        <f>SUMIF(T21:T22,"i",Q21:Q22)</f>
        <v>0</v>
      </c>
      <c r="R20" s="939"/>
      <c r="S20" s="644" t="s">
        <v>635</v>
      </c>
      <c r="T20" s="652" t="s">
        <v>633</v>
      </c>
      <c r="U20" s="4416">
        <v>2</v>
      </c>
      <c r="V20" s="441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4143" customFormat="1" ht="11.25" hidden="1" customHeight="1">
      <c r="A21" s="643"/>
      <c r="B21" s="446"/>
      <c r="C21" s="446"/>
      <c r="D21" s="4504"/>
      <c r="E21" s="570"/>
      <c r="F21" s="570">
        <v>0</v>
      </c>
      <c r="G21" s="570"/>
      <c r="H21" s="570"/>
      <c r="I21" s="570"/>
      <c r="J21" s="570"/>
      <c r="K21" s="570"/>
      <c r="L21" s="570"/>
      <c r="M21" s="570"/>
      <c r="N21" s="570"/>
      <c r="O21" s="570"/>
      <c r="P21" s="570"/>
      <c r="Q21" s="570"/>
      <c r="R21" s="570"/>
      <c r="S21" s="571"/>
      <c r="T21" s="653"/>
      <c r="U21" s="4416"/>
      <c r="V21" s="441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4143" customFormat="1" ht="11.25" hidden="1" customHeight="1">
      <c r="A22" s="568"/>
      <c r="B22" s="352"/>
      <c r="C22" s="347"/>
      <c r="D22" s="4505"/>
      <c r="E22" s="584" t="s">
        <v>28</v>
      </c>
      <c r="F22" s="585" t="s">
        <v>28</v>
      </c>
      <c r="G22" s="585" t="s">
        <v>28</v>
      </c>
      <c r="H22" s="586" t="s">
        <v>28</v>
      </c>
      <c r="I22" s="586"/>
      <c r="J22" s="586"/>
      <c r="K22" s="586"/>
      <c r="L22" s="586"/>
      <c r="M22" s="586"/>
      <c r="N22" s="586"/>
      <c r="O22" s="586"/>
      <c r="P22" s="586"/>
      <c r="Q22" s="586"/>
      <c r="R22" s="587"/>
      <c r="S22" s="942"/>
      <c r="T22" s="653"/>
      <c r="U22" s="4416"/>
      <c r="V22" s="441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4507"/>
      <c r="F27" s="4507"/>
      <c r="G27" s="4507"/>
      <c r="H27" s="4507"/>
      <c r="I27" s="4507"/>
      <c r="J27" s="4507"/>
      <c r="K27" s="4507"/>
      <c r="L27" s="4507"/>
      <c r="M27" s="4507"/>
      <c r="N27" s="4507"/>
      <c r="O27" s="4507"/>
      <c r="P27" s="4507"/>
      <c r="Q27" s="4507"/>
      <c r="R27" s="4507"/>
      <c r="CF27" s="440">
        <v>11</v>
      </c>
    </row>
    <row r="28" spans="1:84" ht="11.45" customHeight="1">
      <c r="F28" s="691"/>
      <c r="G28" s="691"/>
      <c r="CF28" s="440">
        <v>11</v>
      </c>
    </row>
    <row r="29" spans="1:84" ht="11.25" hidden="1" customHeight="1">
      <c r="A29" s="545" t="s">
        <v>86</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4202" hidden="1" customWidth="1"/>
    <col min="6" max="6" width="16.85546875" style="4139" hidden="1" customWidth="1"/>
    <col min="7" max="7" width="5.5703125" style="4140" hidden="1" customWidth="1"/>
    <col min="8" max="8" width="3" style="4133" customWidth="1"/>
    <col min="9" max="9" width="7" style="4133" customWidth="1"/>
    <col min="10" max="10" width="56" style="4133" customWidth="1"/>
    <col min="11" max="11" width="10" style="4133" customWidth="1"/>
    <col min="12" max="12" width="40.5703125" style="4133" hidden="1" customWidth="1"/>
    <col min="13" max="13" width="40.7109375" style="4133" customWidth="1"/>
    <col min="14" max="14" width="9.7109375" style="4139" hidden="1" customWidth="1"/>
    <col min="15" max="15" width="102" style="4133" customWidth="1"/>
    <col min="16" max="16" width="9" style="4139" customWidth="1"/>
    <col min="17" max="17" width="5" style="4140" customWidth="1"/>
    <col min="18" max="18" width="3" style="4140" customWidth="1"/>
    <col min="19" max="22" width="3" style="4139" customWidth="1"/>
    <col min="23" max="23" width="10" style="4140" customWidth="1"/>
    <col min="24" max="24" width="34" style="4139" customWidth="1"/>
    <col min="25" max="25" width="9" style="4139" customWidth="1"/>
    <col min="26" max="26" width="8" style="4203" customWidth="1"/>
    <col min="27" max="31" width="8" style="4139" customWidth="1"/>
    <col min="32" max="36" width="8" style="4131" customWidth="1"/>
    <col min="37" max="37" width="5.42578125" style="4133" hidden="1" customWidth="1"/>
  </cols>
  <sheetData>
    <row r="1" spans="1:37" s="4139" customFormat="1" ht="33.75" hidden="1" customHeight="1">
      <c r="A1" s="910"/>
      <c r="B1" s="910"/>
      <c r="C1" s="910"/>
      <c r="D1" s="910"/>
      <c r="E1" s="910"/>
      <c r="G1" s="1554"/>
      <c r="H1" s="803"/>
      <c r="L1" s="1284">
        <v>4</v>
      </c>
      <c r="M1" s="1284">
        <v>4</v>
      </c>
      <c r="Q1" s="1554"/>
      <c r="R1" s="1554"/>
      <c r="W1" s="1554"/>
      <c r="AK1" s="1284" t="s">
        <v>14</v>
      </c>
    </row>
    <row r="2" spans="1:37" s="4139" customFormat="1" ht="78.75" hidden="1" customHeight="1">
      <c r="A2" s="910"/>
      <c r="B2" s="1965" t="s">
        <v>636</v>
      </c>
      <c r="C2" s="1965" t="s">
        <v>637</v>
      </c>
      <c r="D2" s="1964" t="s">
        <v>638</v>
      </c>
      <c r="E2" s="1968" t="e">
        <f>RIGHT(I2,LEN(I2)-SEARCH("#",SUBSTITUTE(I2,".","#",LEN(I2)-LEN(SUBSTITUTE(I2,".","")))))</f>
        <v>#VALUE!</v>
      </c>
      <c r="F2" s="1970">
        <f>J2</f>
        <v>0</v>
      </c>
      <c r="G2" s="1554"/>
      <c r="H2" s="1971"/>
      <c r="I2" s="1961"/>
      <c r="J2" s="475"/>
      <c r="K2" s="1931" t="s">
        <v>577</v>
      </c>
      <c r="L2" s="686"/>
      <c r="M2" s="686"/>
      <c r="N2" s="478"/>
      <c r="O2" s="1443" t="s">
        <v>578</v>
      </c>
      <c r="P2" s="478"/>
      <c r="Q2" s="1554"/>
      <c r="R2" s="1554"/>
      <c r="W2" s="1554"/>
      <c r="Z2" s="479"/>
      <c r="AF2" s="1550"/>
      <c r="AG2" s="1550"/>
      <c r="AH2" s="1550"/>
      <c r="AI2" s="1550"/>
      <c r="AJ2" s="1550"/>
      <c r="AK2" s="1284">
        <v>0</v>
      </c>
    </row>
    <row r="3" spans="1:37" ht="11.25" hidden="1" customHeight="1">
      <c r="E3" s="1963" t="s">
        <v>639</v>
      </c>
      <c r="L3" s="1549">
        <f>0</f>
        <v>0</v>
      </c>
      <c r="M3" s="1549">
        <v>1</v>
      </c>
      <c r="AK3" s="1549">
        <v>0</v>
      </c>
    </row>
    <row r="4" spans="1:37" s="4131"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4344" t="s">
        <v>640</v>
      </c>
      <c r="J6" s="4344"/>
      <c r="K6" s="4344"/>
      <c r="L6" s="4344"/>
      <c r="M6" s="4344"/>
      <c r="O6" s="491"/>
      <c r="AK6" s="1549">
        <v>55</v>
      </c>
    </row>
    <row r="7" spans="1:37" ht="25.15" customHeight="1">
      <c r="I7" s="4365" t="str">
        <f>IF(org=0,"Не определено",org)</f>
        <v>АО "Мурманэнергосбыт"</v>
      </c>
      <c r="J7" s="4365"/>
      <c r="K7" s="4365"/>
      <c r="L7" s="4365"/>
      <c r="M7" s="4365"/>
      <c r="AK7" s="1549">
        <v>24</v>
      </c>
    </row>
    <row r="8" spans="1:37" ht="11.45" customHeight="1">
      <c r="I8" s="1053"/>
      <c r="J8" s="1053"/>
      <c r="K8" s="1053"/>
      <c r="L8" s="1053"/>
      <c r="M8" s="1053"/>
      <c r="AK8" s="1549">
        <v>11</v>
      </c>
    </row>
    <row r="9" spans="1:37" s="4140" customFormat="1" ht="30" hidden="1" customHeight="1">
      <c r="A9" s="1085"/>
      <c r="B9" s="1085"/>
      <c r="C9" s="1085"/>
      <c r="E9" s="1085"/>
      <c r="H9" s="1560"/>
      <c r="L9" s="813"/>
      <c r="M9" s="813" t="s">
        <v>120</v>
      </c>
      <c r="AK9" s="1554">
        <v>1</v>
      </c>
    </row>
    <row r="10" spans="1:37" ht="11.45" customHeight="1">
      <c r="E10" s="1962" t="s">
        <v>641</v>
      </c>
      <c r="I10" s="646"/>
      <c r="J10" s="4499" t="s">
        <v>109</v>
      </c>
      <c r="K10" s="4500"/>
      <c r="L10" s="1941" t="str">
        <f>IF(L9="","",INDEX(DIFFERENTIATION_UNMERGE_VD,MATCH(L9,DIFFERENTIATION_ID_DIFF,0)))</f>
        <v/>
      </c>
      <c r="M10" s="1941">
        <f>IF(M9="","",INDEX(DIFFERENTIATION_UNMERGE_VD,MATCH(M9,DIFFERENTIATION_ID_DIFF,0)))</f>
        <v>0</v>
      </c>
      <c r="O10" s="4274" t="s">
        <v>322</v>
      </c>
      <c r="AK10" s="1549">
        <v>11</v>
      </c>
    </row>
    <row r="11" spans="1:37" ht="11.45" customHeight="1">
      <c r="E11" s="1962" t="s">
        <v>642</v>
      </c>
      <c r="I11" s="646"/>
      <c r="J11" s="4499" t="s">
        <v>585</v>
      </c>
      <c r="K11" s="4500"/>
      <c r="L11" s="1941" t="str">
        <f>IF(L9="","",INDEX(DIFFERENTIATION_UNMERGE_AREA,MATCH(L9,DIFFERENTIATION_ID_DIFF,0)))</f>
        <v/>
      </c>
      <c r="M11" s="1941" t="str">
        <f>IF(M9="","",INDEX(DIFFERENTIATION_UNMERGE_AREA,MATCH(M9,DIFFERENTIATION_ID_DIFF,0)))</f>
        <v/>
      </c>
      <c r="O11" s="4274"/>
      <c r="AK11" s="1549">
        <v>11</v>
      </c>
    </row>
    <row r="12" spans="1:37" ht="11.45" customHeight="1">
      <c r="E12" s="1962" t="s">
        <v>643</v>
      </c>
      <c r="I12" s="1580"/>
      <c r="J12" s="4499" t="s">
        <v>586</v>
      </c>
      <c r="K12" s="4500"/>
      <c r="L12" s="1941" t="str">
        <f>IF(L9="","",INDEX(DIFFERENTIATION_UNMERGE_SYSTEM,MATCH(L9,DIFFERENTIATION_ID_DIFF,0)))</f>
        <v/>
      </c>
      <c r="M12" s="1941" t="str">
        <f>IF(M9="","",INDEX(DIFFERENTIATION_UNMERGE_SYSTEM,MATCH(M9,DIFFERENTIATION_ID_DIFF,0)))</f>
        <v>без дифференциации</v>
      </c>
      <c r="O12" s="4274"/>
      <c r="AK12" s="1549">
        <v>11</v>
      </c>
    </row>
    <row r="13" spans="1:37" ht="11.45" customHeight="1">
      <c r="E13" s="1962" t="s">
        <v>644</v>
      </c>
      <c r="F13" s="1962" t="s">
        <v>645</v>
      </c>
      <c r="I13" s="4501" t="s">
        <v>321</v>
      </c>
      <c r="J13" s="4502"/>
      <c r="K13" s="4502"/>
      <c r="L13" s="1939"/>
      <c r="M13" s="1979"/>
      <c r="O13" s="4274"/>
      <c r="AK13" s="1549">
        <v>11</v>
      </c>
    </row>
    <row r="14" spans="1:37" ht="24" customHeight="1">
      <c r="I14" s="1932" t="s">
        <v>92</v>
      </c>
      <c r="J14" s="1932" t="s">
        <v>323</v>
      </c>
      <c r="K14" s="1932" t="s">
        <v>587</v>
      </c>
      <c r="L14" s="1972" t="s">
        <v>324</v>
      </c>
      <c r="M14" s="1973" t="s">
        <v>324</v>
      </c>
      <c r="O14" s="4274"/>
      <c r="AK14" s="1549">
        <v>23</v>
      </c>
    </row>
    <row r="15" spans="1:37" ht="24" customHeight="1">
      <c r="A15" s="1966"/>
      <c r="B15" s="1965" t="s">
        <v>646</v>
      </c>
      <c r="C15" s="1965" t="s">
        <v>647</v>
      </c>
      <c r="D15" s="1964" t="s">
        <v>648</v>
      </c>
      <c r="E15" s="1968" t="s">
        <v>649</v>
      </c>
      <c r="F15" s="1968" t="s">
        <v>649</v>
      </c>
      <c r="G15" s="1554" t="s">
        <v>609</v>
      </c>
      <c r="H15" s="1933"/>
      <c r="I15" s="1548">
        <v>1</v>
      </c>
      <c r="J15" s="1934" t="s">
        <v>650</v>
      </c>
      <c r="K15" s="1932" t="s">
        <v>327</v>
      </c>
      <c r="L15" s="597"/>
      <c r="M15" s="747"/>
      <c r="N15" s="478" t="s">
        <v>651</v>
      </c>
      <c r="O15" s="1443" t="s">
        <v>652</v>
      </c>
      <c r="P15" s="478" t="s">
        <v>651</v>
      </c>
      <c r="AK15" s="1549">
        <v>23</v>
      </c>
    </row>
    <row r="16" spans="1:37" ht="35.65" customHeight="1">
      <c r="A16" s="1966"/>
      <c r="B16" s="1965" t="s">
        <v>653</v>
      </c>
      <c r="C16" s="1965" t="s">
        <v>654</v>
      </c>
      <c r="D16" s="1964" t="s">
        <v>638</v>
      </c>
      <c r="E16" s="1968" t="s">
        <v>649</v>
      </c>
      <c r="F16" s="1968" t="s">
        <v>649</v>
      </c>
      <c r="H16" s="1933"/>
      <c r="I16" s="1547">
        <v>2</v>
      </c>
      <c r="J16" s="1975" t="s">
        <v>655</v>
      </c>
      <c r="K16" s="1974" t="s">
        <v>577</v>
      </c>
      <c r="L16" s="1980"/>
      <c r="M16" s="1594"/>
      <c r="N16" s="478" t="s">
        <v>651</v>
      </c>
      <c r="O16" s="1443" t="s">
        <v>656</v>
      </c>
      <c r="P16" s="478" t="s">
        <v>651</v>
      </c>
      <c r="AK16" s="1549">
        <v>34</v>
      </c>
    </row>
    <row r="17" spans="1:37" s="4140" customFormat="1" ht="17.25" hidden="1" customHeight="1">
      <c r="A17" s="1085"/>
      <c r="B17" s="1085"/>
      <c r="C17" s="1085"/>
      <c r="D17" s="1085"/>
      <c r="E17" s="1085"/>
      <c r="H17" s="1242"/>
      <c r="I17" s="935" t="s">
        <v>657</v>
      </c>
      <c r="J17" s="914"/>
      <c r="K17" s="935"/>
      <c r="L17" s="915"/>
      <c r="M17" s="915"/>
      <c r="O17" s="1303"/>
      <c r="AK17" s="1554">
        <v>1</v>
      </c>
    </row>
    <row r="18" spans="1:37" s="4139" customFormat="1" ht="24" customHeight="1">
      <c r="A18" s="910"/>
      <c r="B18" s="910"/>
      <c r="C18" s="910"/>
      <c r="D18" s="910"/>
      <c r="E18" s="910"/>
      <c r="G18" s="1554"/>
      <c r="H18" s="1551"/>
      <c r="I18" s="505"/>
      <c r="J18" s="506" t="s">
        <v>607</v>
      </c>
      <c r="K18" s="507"/>
      <c r="L18" s="1982"/>
      <c r="M18" s="508"/>
      <c r="N18" s="478"/>
      <c r="O18" s="1443" t="s">
        <v>608</v>
      </c>
      <c r="P18" s="478"/>
      <c r="Q18" s="1554"/>
      <c r="R18" s="1554"/>
      <c r="W18" s="1554"/>
      <c r="Z18" s="479"/>
      <c r="AF18" s="1550"/>
      <c r="AG18" s="1550"/>
      <c r="AH18" s="1550"/>
      <c r="AI18" s="1550"/>
      <c r="AJ18" s="1550"/>
      <c r="AK18" s="1284">
        <v>23</v>
      </c>
    </row>
    <row r="19" spans="1:37" ht="19.899999999999999" customHeight="1">
      <c r="A19" s="1966"/>
      <c r="B19" s="1965" t="s">
        <v>658</v>
      </c>
      <c r="C19" s="1965" t="s">
        <v>659</v>
      </c>
      <c r="D19" s="1964" t="s">
        <v>638</v>
      </c>
      <c r="E19" s="1968" t="s">
        <v>649</v>
      </c>
      <c r="F19" s="1968" t="s">
        <v>649</v>
      </c>
      <c r="H19" s="1933"/>
      <c r="I19" s="1582">
        <v>3</v>
      </c>
      <c r="J19" s="1934" t="s">
        <v>659</v>
      </c>
      <c r="K19" s="1930" t="s">
        <v>577</v>
      </c>
      <c r="L19" s="662"/>
      <c r="M19" s="492"/>
      <c r="N19" s="478"/>
      <c r="O19" s="1443" t="s">
        <v>660</v>
      </c>
      <c r="P19" s="478"/>
      <c r="AK19" s="1549">
        <v>19</v>
      </c>
    </row>
    <row r="20" spans="1:37" ht="77.650000000000006" customHeight="1">
      <c r="A20" s="1966"/>
      <c r="B20" s="1965" t="s">
        <v>661</v>
      </c>
      <c r="C20" s="1965" t="s">
        <v>662</v>
      </c>
      <c r="D20" s="1964" t="s">
        <v>638</v>
      </c>
      <c r="E20" s="1968" t="s">
        <v>649</v>
      </c>
      <c r="F20" s="1968" t="s">
        <v>649</v>
      </c>
      <c r="H20" s="1933"/>
      <c r="I20" s="1582">
        <v>4</v>
      </c>
      <c r="J20" s="1934" t="s">
        <v>663</v>
      </c>
      <c r="K20" s="1930" t="s">
        <v>604</v>
      </c>
      <c r="L20" s="662"/>
      <c r="M20" s="492"/>
      <c r="N20" s="478"/>
      <c r="O20" s="1443"/>
      <c r="P20" s="478"/>
      <c r="AK20" s="1549">
        <v>74</v>
      </c>
    </row>
    <row r="21" spans="1:37" ht="35.65" customHeight="1">
      <c r="A21" s="1966"/>
      <c r="B21" s="1965" t="s">
        <v>664</v>
      </c>
      <c r="C21" s="1965" t="s">
        <v>665</v>
      </c>
      <c r="D21" s="1964" t="s">
        <v>638</v>
      </c>
      <c r="E21" s="1968" t="s">
        <v>649</v>
      </c>
      <c r="F21" s="1968" t="s">
        <v>649</v>
      </c>
      <c r="H21" s="1933"/>
      <c r="I21" s="1582">
        <v>5</v>
      </c>
      <c r="J21" s="1934" t="s">
        <v>666</v>
      </c>
      <c r="K21" s="1930" t="s">
        <v>604</v>
      </c>
      <c r="L21" s="662"/>
      <c r="M21" s="492"/>
      <c r="N21" s="478"/>
      <c r="O21" s="1443" t="s">
        <v>660</v>
      </c>
      <c r="P21" s="478"/>
      <c r="AK21" s="1549">
        <v>34</v>
      </c>
    </row>
    <row r="22" spans="1:37" ht="48.2" customHeight="1">
      <c r="A22" s="1966"/>
      <c r="B22" s="1965" t="s">
        <v>667</v>
      </c>
      <c r="C22" s="1965" t="s">
        <v>668</v>
      </c>
      <c r="D22" s="1964" t="s">
        <v>638</v>
      </c>
      <c r="E22" s="1968" t="s">
        <v>649</v>
      </c>
      <c r="F22" s="1968" t="s">
        <v>649</v>
      </c>
      <c r="H22" s="1933"/>
      <c r="I22" s="1582">
        <v>6</v>
      </c>
      <c r="J22" s="1934" t="s">
        <v>669</v>
      </c>
      <c r="K22" s="1930" t="s">
        <v>604</v>
      </c>
      <c r="L22" s="662"/>
      <c r="M22" s="492"/>
      <c r="N22" s="478"/>
      <c r="O22" s="1443" t="s">
        <v>670</v>
      </c>
      <c r="P22" s="478"/>
      <c r="AK22" s="1549">
        <v>46</v>
      </c>
    </row>
    <row r="23" spans="1:37" ht="19.899999999999999" customHeight="1">
      <c r="A23" s="1966"/>
      <c r="B23" s="1965" t="s">
        <v>671</v>
      </c>
      <c r="C23" s="1965" t="s">
        <v>672</v>
      </c>
      <c r="D23" s="1964" t="s">
        <v>638</v>
      </c>
      <c r="E23" s="1968" t="s">
        <v>649</v>
      </c>
      <c r="F23" s="1968" t="s">
        <v>649</v>
      </c>
      <c r="H23" s="1933"/>
      <c r="I23" s="1582" t="s">
        <v>673</v>
      </c>
      <c r="J23" s="1442" t="s">
        <v>674</v>
      </c>
      <c r="K23" s="1930" t="s">
        <v>604</v>
      </c>
      <c r="L23" s="662"/>
      <c r="M23" s="492"/>
      <c r="N23" s="478"/>
      <c r="O23" s="1443" t="s">
        <v>660</v>
      </c>
      <c r="P23" s="478"/>
      <c r="AK23" s="1549">
        <v>19</v>
      </c>
    </row>
    <row r="24" spans="1:37" ht="19.899999999999999" customHeight="1">
      <c r="A24" s="1966"/>
      <c r="B24" s="1965" t="s">
        <v>675</v>
      </c>
      <c r="C24" s="1965" t="s">
        <v>676</v>
      </c>
      <c r="D24" s="1964" t="s">
        <v>638</v>
      </c>
      <c r="E24" s="1968" t="s">
        <v>649</v>
      </c>
      <c r="F24" s="1968" t="s">
        <v>649</v>
      </c>
      <c r="H24" s="1933"/>
      <c r="I24" s="1582" t="s">
        <v>677</v>
      </c>
      <c r="J24" s="1442" t="s">
        <v>678</v>
      </c>
      <c r="K24" s="1930" t="s">
        <v>604</v>
      </c>
      <c r="L24" s="662"/>
      <c r="M24" s="492"/>
      <c r="N24" s="478"/>
      <c r="O24" s="1443"/>
      <c r="P24" s="478"/>
      <c r="AK24" s="1549">
        <v>19</v>
      </c>
    </row>
    <row r="25" spans="1:37" ht="24" customHeight="1">
      <c r="A25" s="1966"/>
      <c r="B25" s="1965" t="s">
        <v>679</v>
      </c>
      <c r="C25" s="1965" t="s">
        <v>680</v>
      </c>
      <c r="D25" s="1964" t="s">
        <v>638</v>
      </c>
      <c r="E25" s="1968" t="s">
        <v>649</v>
      </c>
      <c r="F25" s="1968" t="s">
        <v>649</v>
      </c>
      <c r="H25" s="1933"/>
      <c r="I25" s="1582" t="s">
        <v>681</v>
      </c>
      <c r="J25" s="1442" t="s">
        <v>682</v>
      </c>
      <c r="K25" s="1930" t="s">
        <v>604</v>
      </c>
      <c r="L25" s="662"/>
      <c r="M25" s="492"/>
      <c r="N25" s="478"/>
      <c r="O25" s="1443"/>
      <c r="P25" s="478"/>
      <c r="AK25" s="1549">
        <v>23</v>
      </c>
    </row>
    <row r="26" spans="1:37" ht="24" customHeight="1">
      <c r="A26" s="1966"/>
      <c r="B26" s="1965" t="s">
        <v>683</v>
      </c>
      <c r="C26" s="1965" t="s">
        <v>684</v>
      </c>
      <c r="D26" s="1964" t="s">
        <v>638</v>
      </c>
      <c r="E26" s="1968" t="s">
        <v>649</v>
      </c>
      <c r="F26" s="1968" t="s">
        <v>649</v>
      </c>
      <c r="H26" s="1933"/>
      <c r="I26" s="1582">
        <v>7</v>
      </c>
      <c r="J26" s="1934" t="s">
        <v>684</v>
      </c>
      <c r="K26" s="1930" t="s">
        <v>685</v>
      </c>
      <c r="L26" s="662"/>
      <c r="M26" s="492"/>
      <c r="N26" s="478"/>
      <c r="O26" s="1443"/>
      <c r="P26" s="478"/>
      <c r="AK26" s="1549">
        <v>23</v>
      </c>
    </row>
    <row r="27" spans="1:37" ht="24" customHeight="1">
      <c r="A27" s="1966"/>
      <c r="B27" s="1965" t="s">
        <v>686</v>
      </c>
      <c r="C27" s="1965" t="s">
        <v>687</v>
      </c>
      <c r="D27" s="1964" t="s">
        <v>638</v>
      </c>
      <c r="E27" s="1968" t="s">
        <v>649</v>
      </c>
      <c r="F27" s="1968" t="s">
        <v>649</v>
      </c>
      <c r="H27" s="1933"/>
      <c r="I27" s="1582">
        <v>8</v>
      </c>
      <c r="J27" s="1934" t="s">
        <v>687</v>
      </c>
      <c r="K27" s="1930" t="s">
        <v>610</v>
      </c>
      <c r="L27" s="662"/>
      <c r="M27" s="492"/>
      <c r="N27" s="478"/>
      <c r="O27" s="1443"/>
      <c r="P27" s="478"/>
      <c r="AK27" s="1549">
        <v>23</v>
      </c>
    </row>
    <row r="28" spans="1:37" ht="35.65" customHeight="1">
      <c r="A28" s="1966"/>
      <c r="B28" s="1965" t="s">
        <v>688</v>
      </c>
      <c r="C28" s="1965" t="s">
        <v>689</v>
      </c>
      <c r="D28" s="1964" t="s">
        <v>638</v>
      </c>
      <c r="E28" s="1968" t="s">
        <v>649</v>
      </c>
      <c r="F28" s="1968" t="s">
        <v>649</v>
      </c>
      <c r="H28" s="1933"/>
      <c r="I28" s="1593">
        <v>9</v>
      </c>
      <c r="J28" s="1934" t="s">
        <v>690</v>
      </c>
      <c r="K28" s="1930" t="s">
        <v>581</v>
      </c>
      <c r="L28" s="662"/>
      <c r="M28" s="492"/>
      <c r="N28" s="478"/>
      <c r="O28" s="1443"/>
      <c r="P28" s="478"/>
      <c r="AK28" s="1549">
        <v>34</v>
      </c>
    </row>
    <row r="29" spans="1:37" ht="35.65" customHeight="1">
      <c r="A29" s="1966"/>
      <c r="B29" s="1965" t="s">
        <v>691</v>
      </c>
      <c r="C29" s="1965" t="s">
        <v>692</v>
      </c>
      <c r="D29" s="1964" t="s">
        <v>638</v>
      </c>
      <c r="E29" s="1968" t="s">
        <v>649</v>
      </c>
      <c r="F29" s="1968" t="s">
        <v>649</v>
      </c>
      <c r="H29" s="1933"/>
      <c r="I29" s="1593">
        <v>10</v>
      </c>
      <c r="J29" s="1934" t="s">
        <v>693</v>
      </c>
      <c r="K29" s="1930" t="s">
        <v>581</v>
      </c>
      <c r="L29" s="662"/>
      <c r="M29" s="492"/>
      <c r="N29" s="478"/>
      <c r="O29" s="1443"/>
      <c r="P29" s="478"/>
      <c r="AK29" s="1549">
        <v>34</v>
      </c>
    </row>
    <row r="30" spans="1:37" ht="24" customHeight="1">
      <c r="A30" s="1966"/>
      <c r="B30" s="1965" t="s">
        <v>694</v>
      </c>
      <c r="C30" s="1965" t="s">
        <v>695</v>
      </c>
      <c r="D30" s="1964" t="s">
        <v>638</v>
      </c>
      <c r="E30" s="1968" t="s">
        <v>649</v>
      </c>
      <c r="F30" s="1968" t="s">
        <v>649</v>
      </c>
      <c r="H30" s="1933"/>
      <c r="I30" s="1593">
        <v>11</v>
      </c>
      <c r="J30" s="1934" t="s">
        <v>695</v>
      </c>
      <c r="K30" s="1930" t="s">
        <v>611</v>
      </c>
      <c r="L30" s="1981"/>
      <c r="M30" s="1539"/>
      <c r="N30" s="478"/>
      <c r="O30" s="1443"/>
      <c r="P30" s="478"/>
      <c r="AK30" s="1549">
        <v>23</v>
      </c>
    </row>
    <row r="31" spans="1:37" ht="24" customHeight="1">
      <c r="A31" s="1966"/>
      <c r="B31" s="1965" t="s">
        <v>696</v>
      </c>
      <c r="C31" s="1965" t="s">
        <v>697</v>
      </c>
      <c r="D31" s="1964" t="s">
        <v>638</v>
      </c>
      <c r="E31" s="1968" t="s">
        <v>649</v>
      </c>
      <c r="F31" s="1968" t="s">
        <v>649</v>
      </c>
      <c r="H31" s="1933"/>
      <c r="I31" s="1593">
        <v>12</v>
      </c>
      <c r="J31" s="1934" t="s">
        <v>697</v>
      </c>
      <c r="K31" s="1930" t="s">
        <v>611</v>
      </c>
      <c r="L31" s="1981"/>
      <c r="M31" s="1539"/>
      <c r="N31" s="478"/>
      <c r="O31" s="1443"/>
      <c r="P31" s="478"/>
      <c r="AK31" s="1549">
        <v>23</v>
      </c>
    </row>
    <row r="32" spans="1:37" ht="48.2" customHeight="1">
      <c r="A32" s="1966"/>
      <c r="B32" s="1965" t="s">
        <v>698</v>
      </c>
      <c r="C32" s="1965" t="s">
        <v>699</v>
      </c>
      <c r="D32" s="1964" t="s">
        <v>638</v>
      </c>
      <c r="E32" s="1968" t="s">
        <v>649</v>
      </c>
      <c r="F32" s="1968" t="s">
        <v>649</v>
      </c>
      <c r="H32" s="1933"/>
      <c r="I32" s="1593">
        <v>13</v>
      </c>
      <c r="J32" s="1934" t="s">
        <v>700</v>
      </c>
      <c r="K32" s="1930" t="s">
        <v>621</v>
      </c>
      <c r="L32" s="662"/>
      <c r="M32" s="492"/>
      <c r="N32" s="478"/>
      <c r="O32" s="1443" t="s">
        <v>660</v>
      </c>
      <c r="P32" s="478"/>
      <c r="AK32" s="1549">
        <v>46</v>
      </c>
    </row>
    <row r="33" spans="1:37" s="4139" customFormat="1" ht="48.2" customHeight="1">
      <c r="A33" s="1966"/>
      <c r="B33" s="1965" t="s">
        <v>701</v>
      </c>
      <c r="C33" s="1965" t="s">
        <v>702</v>
      </c>
      <c r="D33" s="1964" t="s">
        <v>638</v>
      </c>
      <c r="E33" s="1968" t="s">
        <v>649</v>
      </c>
      <c r="F33" s="1968" t="s">
        <v>649</v>
      </c>
      <c r="G33" s="1554"/>
      <c r="H33" s="1933"/>
      <c r="I33" s="1593">
        <v>14</v>
      </c>
      <c r="J33" s="1946" t="s">
        <v>703</v>
      </c>
      <c r="K33" s="1935" t="s">
        <v>704</v>
      </c>
      <c r="L33" s="662"/>
      <c r="M33" s="492"/>
      <c r="N33" s="478"/>
      <c r="O33" s="1443" t="s">
        <v>660</v>
      </c>
      <c r="P33" s="478"/>
      <c r="Q33" s="1554"/>
      <c r="R33" s="1554"/>
      <c r="W33" s="1554"/>
      <c r="Z33" s="479"/>
      <c r="AF33" s="1550"/>
      <c r="AG33" s="1550"/>
      <c r="AH33" s="1550"/>
      <c r="AI33" s="1550"/>
      <c r="AJ33" s="1550"/>
      <c r="AK33" s="1284">
        <v>46</v>
      </c>
    </row>
    <row r="34" spans="1:37" ht="108" customHeight="1">
      <c r="A34" s="1966"/>
      <c r="B34" s="1965" t="s">
        <v>705</v>
      </c>
      <c r="C34" s="1965" t="s">
        <v>706</v>
      </c>
      <c r="D34" s="1964" t="s">
        <v>648</v>
      </c>
      <c r="E34" s="1968" t="s">
        <v>649</v>
      </c>
      <c r="F34" s="1968" t="s">
        <v>649</v>
      </c>
      <c r="G34" s="1554" t="s">
        <v>609</v>
      </c>
      <c r="H34" s="1933"/>
      <c r="I34" s="1944">
        <v>15</v>
      </c>
      <c r="J34" s="1945" t="s">
        <v>707</v>
      </c>
      <c r="K34" s="1930" t="s">
        <v>327</v>
      </c>
      <c r="L34" s="320"/>
      <c r="M34" s="1082"/>
      <c r="N34" s="478"/>
      <c r="O34" s="1443" t="s">
        <v>652</v>
      </c>
      <c r="P34" s="478"/>
      <c r="AK34" s="1549">
        <v>103</v>
      </c>
    </row>
    <row r="35" spans="1:37" s="4164"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4164"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4164"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4164"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4164"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4164"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4164"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4164"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4164"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4164"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4164"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4164"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4164"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4164"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4164"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4164"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4164"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4164"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4164"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4164"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4164"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4164"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4164"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4164"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4164"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4164"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4164"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4164"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4164"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4164"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4164"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4164"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4164"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4164"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4164"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4164"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4164"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4164"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4164"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4164"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4164"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4164"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4164"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4164"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4164"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4164"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4164"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4164"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4164"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4164"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4164"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4164"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4164"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4164"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4164"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4164"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4164"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4164"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4164"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4164"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4164"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4164"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4164"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4164"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4164"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4164"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4164"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4164"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4164"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4164"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4164"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4164"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4164"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4164"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4164"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4164"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4164"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4164"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4164"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4164"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4164"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4164"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4164"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4164"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4164"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4164"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4164"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4164"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4164"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4164"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4164"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4164"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4164"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4164"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4164"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4164"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4164"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4164"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4164"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4164"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4164"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4164"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4164"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4164"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4164"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4164"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4164"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4164"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4164"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4164"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4164"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4164"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4164"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4164"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4164"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4164"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4164"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4164"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4164"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4164"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4164"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4164"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4164"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4164"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4164"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4164"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4164"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4164"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4164"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4164"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4164"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4164"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4164"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4164"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4164"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4164"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4164"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4164"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4164"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4164"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4164"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4164"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4164"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4164"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4164"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4164"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4164"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4164"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4164"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4164"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4164"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4164"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4164"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4164"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4164"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86</v>
      </c>
      <c r="B204" s="910" t="s">
        <v>152</v>
      </c>
      <c r="C204" s="910" t="s">
        <v>152</v>
      </c>
      <c r="D204" s="910" t="s">
        <v>152</v>
      </c>
      <c r="E204" s="910" t="s">
        <v>152</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4133" hidden="1"/>
    <col min="5" max="5" width="9.140625" style="4167" hidden="1" customWidth="1"/>
    <col min="6" max="7" width="9.140625" style="4139" hidden="1" customWidth="1"/>
    <col min="8" max="8" width="3" style="4168" customWidth="1"/>
    <col min="9" max="9" width="6" style="4133" customWidth="1"/>
    <col min="10" max="10" width="63" style="4133" customWidth="1"/>
    <col min="11" max="11" width="9" style="4133" customWidth="1"/>
    <col min="12" max="12" width="39" style="4133" customWidth="1"/>
    <col min="13" max="13" width="89" style="4133" customWidth="1"/>
    <col min="14" max="14" width="10" style="4133" customWidth="1"/>
    <col min="15" max="16" width="10" style="4146" customWidth="1"/>
    <col min="17" max="22" width="10" style="4133" customWidth="1"/>
    <col min="23" max="23" width="10.5703125" style="4133" hidden="1"/>
  </cols>
  <sheetData>
    <row r="1" spans="1:23" ht="22.5" hidden="1" customHeight="1">
      <c r="S1" s="191"/>
      <c r="T1" s="191"/>
      <c r="V1" s="191"/>
      <c r="W1" s="1549" t="s">
        <v>14</v>
      </c>
    </row>
    <row r="2" spans="1:23" ht="22.5" hidden="1" customHeight="1">
      <c r="B2" s="1965" t="s">
        <v>708</v>
      </c>
      <c r="C2" s="1965" t="s">
        <v>709</v>
      </c>
      <c r="D2" s="1964" t="s">
        <v>648</v>
      </c>
      <c r="E2" s="1970">
        <f>I2-3</f>
        <v>-3</v>
      </c>
      <c r="F2" s="1970">
        <f>J2</f>
        <v>0</v>
      </c>
      <c r="H2" s="1647" t="s">
        <v>175</v>
      </c>
      <c r="I2" s="1936"/>
      <c r="J2" s="1600"/>
      <c r="K2" s="1930" t="s">
        <v>327</v>
      </c>
      <c r="L2" s="1082"/>
      <c r="M2" s="233"/>
      <c r="N2" s="1542"/>
      <c r="P2" s="1549"/>
      <c r="W2" s="1549">
        <v>0</v>
      </c>
    </row>
    <row r="3" spans="1:23" ht="14.25" hidden="1" customHeight="1">
      <c r="W3" s="1549">
        <v>0</v>
      </c>
    </row>
    <row r="4" spans="1:23" ht="6.4" customHeight="1">
      <c r="H4" s="311"/>
      <c r="I4" s="392"/>
      <c r="J4" s="392"/>
      <c r="K4" s="392"/>
      <c r="L4" s="25"/>
      <c r="M4" s="25"/>
      <c r="W4" s="1549">
        <v>6</v>
      </c>
    </row>
    <row r="5" spans="1:23" ht="50.25" customHeight="1">
      <c r="H5" s="311"/>
      <c r="I5" s="4393" t="s">
        <v>710</v>
      </c>
      <c r="J5" s="4393"/>
      <c r="K5" s="4393"/>
      <c r="L5" s="4393"/>
      <c r="M5" s="202"/>
      <c r="W5" s="1549">
        <v>48</v>
      </c>
    </row>
    <row r="6" spans="1:23" ht="18" customHeight="1">
      <c r="H6" s="311"/>
      <c r="I6" s="4365" t="str">
        <f>IF(org=0,"Не определено",org)</f>
        <v>АО "Мурманэнергосбыт"</v>
      </c>
      <c r="J6" s="4365"/>
      <c r="K6" s="4365"/>
      <c r="L6" s="4365"/>
      <c r="M6" s="202"/>
      <c r="W6" s="1549">
        <v>17</v>
      </c>
    </row>
    <row r="7" spans="1:23" ht="14.65" customHeight="1">
      <c r="H7" s="311"/>
      <c r="I7" s="392"/>
      <c r="J7" s="398"/>
      <c r="K7" s="398"/>
      <c r="L7" s="687"/>
      <c r="M7" s="130"/>
      <c r="W7" s="1549">
        <v>14</v>
      </c>
    </row>
    <row r="8" spans="1:23" ht="14.65" customHeight="1">
      <c r="H8" s="311"/>
      <c r="I8" s="4513" t="s">
        <v>321</v>
      </c>
      <c r="J8" s="4514"/>
      <c r="K8" s="4514"/>
      <c r="L8" s="4515"/>
      <c r="M8" s="4516" t="s">
        <v>322</v>
      </c>
      <c r="W8" s="1549">
        <v>14</v>
      </c>
    </row>
    <row r="9" spans="1:23" ht="35.65" customHeight="1">
      <c r="E9" s="1963" t="s">
        <v>639</v>
      </c>
      <c r="F9" s="1963" t="s">
        <v>645</v>
      </c>
      <c r="H9" s="311"/>
      <c r="I9" s="1937" t="s">
        <v>92</v>
      </c>
      <c r="J9" s="1938" t="s">
        <v>323</v>
      </c>
      <c r="K9" s="1976" t="s">
        <v>587</v>
      </c>
      <c r="L9" s="1977" t="s">
        <v>324</v>
      </c>
      <c r="M9" s="4516"/>
      <c r="W9" s="1549">
        <v>34</v>
      </c>
    </row>
    <row r="10" spans="1:23" ht="35.65" customHeight="1">
      <c r="B10" s="1965" t="s">
        <v>711</v>
      </c>
      <c r="C10" s="1965" t="s">
        <v>712</v>
      </c>
      <c r="D10" s="1964" t="s">
        <v>648</v>
      </c>
      <c r="E10" s="1968" t="s">
        <v>649</v>
      </c>
      <c r="F10" s="1968" t="s">
        <v>649</v>
      </c>
      <c r="H10" s="311"/>
      <c r="I10" s="1936" t="s">
        <v>113</v>
      </c>
      <c r="J10" s="1801" t="s">
        <v>713</v>
      </c>
      <c r="K10" s="1930" t="s">
        <v>327</v>
      </c>
      <c r="L10" s="747"/>
      <c r="M10" s="233" t="s">
        <v>714</v>
      </c>
      <c r="W10" s="1549">
        <v>34</v>
      </c>
    </row>
    <row r="11" spans="1:23" ht="50.25" customHeight="1">
      <c r="B11" s="1965" t="s">
        <v>715</v>
      </c>
      <c r="C11" s="1965" t="s">
        <v>716</v>
      </c>
      <c r="D11" s="1964" t="s">
        <v>648</v>
      </c>
      <c r="E11" s="1968" t="s">
        <v>649</v>
      </c>
      <c r="F11" s="1968" t="s">
        <v>649</v>
      </c>
      <c r="H11" s="311"/>
      <c r="I11" s="1936" t="s">
        <v>114</v>
      </c>
      <c r="J11" s="1801" t="s">
        <v>717</v>
      </c>
      <c r="K11" s="1930" t="s">
        <v>327</v>
      </c>
      <c r="L11" s="747"/>
      <c r="M11" s="233" t="s">
        <v>714</v>
      </c>
      <c r="W11" s="1549">
        <v>48</v>
      </c>
    </row>
    <row r="12" spans="1:23" ht="48.2" customHeight="1">
      <c r="B12" s="1965" t="s">
        <v>718</v>
      </c>
      <c r="C12" s="1965" t="s">
        <v>719</v>
      </c>
      <c r="D12" s="1964" t="s">
        <v>648</v>
      </c>
      <c r="E12" s="1968" t="s">
        <v>649</v>
      </c>
      <c r="F12" s="1968" t="s">
        <v>649</v>
      </c>
      <c r="H12" s="1606"/>
      <c r="I12" s="1936" t="s">
        <v>94</v>
      </c>
      <c r="J12" s="1943" t="s">
        <v>720</v>
      </c>
      <c r="K12" s="1930" t="s">
        <v>327</v>
      </c>
      <c r="L12" s="747"/>
      <c r="M12" s="233" t="s">
        <v>721</v>
      </c>
      <c r="N12" s="1542"/>
      <c r="P12" s="1549"/>
      <c r="W12" s="1549">
        <v>46</v>
      </c>
    </row>
    <row r="13" spans="1:23" ht="14.65" customHeight="1">
      <c r="E13" s="279"/>
      <c r="H13" s="311"/>
      <c r="I13" s="283"/>
      <c r="J13" s="586" t="s">
        <v>722</v>
      </c>
      <c r="K13" s="506"/>
      <c r="L13" s="151"/>
      <c r="M13" s="233"/>
      <c r="W13" s="1549">
        <v>14</v>
      </c>
    </row>
    <row r="14" spans="1:23" ht="14.65" customHeight="1">
      <c r="E14" s="279"/>
      <c r="H14" s="311"/>
      <c r="I14" s="979"/>
      <c r="J14" s="1595"/>
      <c r="K14" s="1596"/>
      <c r="L14" s="1597"/>
      <c r="M14" s="1940"/>
      <c r="W14" s="1549">
        <v>14</v>
      </c>
    </row>
    <row r="15" spans="1:23" ht="14.65" customHeight="1">
      <c r="I15" s="1599"/>
      <c r="J15" s="4411"/>
      <c r="K15" s="4411"/>
      <c r="L15" s="4411"/>
      <c r="M15" s="4411"/>
      <c r="W15" s="1549">
        <v>14</v>
      </c>
    </row>
    <row r="16" spans="1:23" ht="21" hidden="1" customHeight="1">
      <c r="A16" s="1942" t="s">
        <v>86</v>
      </c>
      <c r="B16" s="1549">
        <v>9</v>
      </c>
      <c r="C16" s="1549">
        <v>9</v>
      </c>
      <c r="D16" s="1549">
        <v>9</v>
      </c>
      <c r="E16" s="1942" t="s">
        <v>151</v>
      </c>
      <c r="F16" s="1967" t="s">
        <v>151</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4202" hidden="1" customWidth="1"/>
    <col min="2" max="2" width="16.85546875" style="4139" hidden="1" customWidth="1"/>
    <col min="3" max="3" width="5.5703125" style="4140" hidden="1" customWidth="1"/>
    <col min="4" max="4" width="3" style="4133" customWidth="1"/>
    <col min="5" max="5" width="7" style="4133" customWidth="1"/>
    <col min="6" max="6" width="56" style="4133" customWidth="1"/>
    <col min="7" max="7" width="10" style="4133" customWidth="1"/>
    <col min="8" max="8" width="40.7109375" style="4133" hidden="1" customWidth="1"/>
    <col min="9" max="9" width="40" style="4133" customWidth="1"/>
    <col min="10" max="10" width="102" style="4133" customWidth="1"/>
    <col min="11" max="11" width="9" style="4139" customWidth="1"/>
    <col min="12" max="12" width="5" style="4140" customWidth="1"/>
    <col min="13" max="13" width="3" style="4140" customWidth="1"/>
    <col min="14" max="17" width="3" style="4139" customWidth="1"/>
    <col min="18" max="18" width="10" style="4140" customWidth="1"/>
    <col min="19" max="19" width="34" style="4139" customWidth="1"/>
    <col min="20" max="20" width="9" style="4139" customWidth="1"/>
    <col min="21" max="21" width="8" style="4203" customWidth="1"/>
    <col min="22" max="26" width="8" style="4139" customWidth="1"/>
    <col min="27" max="31" width="8" style="4131" customWidth="1"/>
    <col min="32" max="32" width="10.42578125" style="4133" hidden="1" customWidth="1"/>
  </cols>
  <sheetData>
    <row r="1" spans="1:32" s="4139" customFormat="1" ht="22.5" hidden="1" customHeight="1">
      <c r="A1" s="910"/>
      <c r="C1" s="1554"/>
      <c r="D1" s="472"/>
      <c r="H1" s="1078">
        <v>4</v>
      </c>
      <c r="I1" s="1078">
        <v>4</v>
      </c>
      <c r="L1" s="1554"/>
      <c r="M1" s="1554"/>
      <c r="R1" s="1554"/>
      <c r="AF1" s="1078" t="s">
        <v>14</v>
      </c>
    </row>
    <row r="2" spans="1:32" s="4139" customFormat="1" ht="22.5" hidden="1" customHeight="1">
      <c r="A2" s="910"/>
      <c r="C2" s="1554"/>
      <c r="D2" s="473"/>
      <c r="E2" s="1555"/>
      <c r="F2" s="475"/>
      <c r="G2" s="1557" t="s">
        <v>573</v>
      </c>
      <c r="H2" s="476"/>
      <c r="I2" s="476"/>
      <c r="J2" s="477" t="s">
        <v>723</v>
      </c>
      <c r="K2" s="478"/>
      <c r="L2" s="1554"/>
      <c r="M2" s="1554"/>
      <c r="R2" s="1554"/>
      <c r="U2" s="479"/>
      <c r="AA2" s="1550"/>
      <c r="AB2" s="1550"/>
      <c r="AC2" s="1550"/>
      <c r="AD2" s="1550"/>
      <c r="AE2" s="1550"/>
      <c r="AF2" s="1078">
        <v>0</v>
      </c>
    </row>
    <row r="3" spans="1:32" ht="11.25" hidden="1" customHeight="1">
      <c r="AF3" s="1549">
        <v>0</v>
      </c>
    </row>
    <row r="4" spans="1:32" s="4131"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4344" t="s">
        <v>724</v>
      </c>
      <c r="F6" s="4344"/>
      <c r="G6" s="4344"/>
      <c r="H6" s="4344"/>
      <c r="I6" s="4344"/>
      <c r="J6" s="491"/>
      <c r="AF6" s="1549">
        <v>30</v>
      </c>
    </row>
    <row r="7" spans="1:32" ht="11.45" customHeight="1">
      <c r="E7" s="4365" t="str">
        <f>IF(org=0,"Не определено",org)</f>
        <v>АО "Мурманэнергосбыт"</v>
      </c>
      <c r="F7" s="4365"/>
      <c r="G7" s="4365"/>
      <c r="H7" s="4365"/>
      <c r="I7" s="4365"/>
      <c r="AF7" s="1549">
        <v>11</v>
      </c>
    </row>
    <row r="8" spans="1:32" ht="11.45" customHeight="1">
      <c r="E8" s="1053"/>
      <c r="F8" s="1053"/>
      <c r="G8" s="1053"/>
      <c r="H8" s="1053"/>
      <c r="I8" s="1053"/>
      <c r="AF8" s="1549">
        <v>11</v>
      </c>
    </row>
    <row r="9" spans="1:32" s="4140" customFormat="1" ht="4.1500000000000004" customHeight="1">
      <c r="A9" s="1085"/>
      <c r="D9" s="1560"/>
      <c r="H9" s="813"/>
      <c r="I9" s="813" t="s">
        <v>120</v>
      </c>
      <c r="AF9" s="1554">
        <v>4</v>
      </c>
    </row>
    <row r="10" spans="1:32" ht="11.45" customHeight="1">
      <c r="E10" s="646"/>
      <c r="F10" s="4499" t="s">
        <v>109</v>
      </c>
      <c r="G10" s="4500"/>
      <c r="H10" s="1470" t="str">
        <f>IF(H9="","",INDEX(DIFFERENTIATION_UNMERGE_VD,MATCH(H9,DIFFERENTIATION_ID_DIFF,0)))</f>
        <v/>
      </c>
      <c r="I10" s="1470">
        <f>IF(I9="","",INDEX(DIFFERENTIATION_UNMERGE_VD,MATCH(I9,DIFFERENTIATION_ID_DIFF,0)))</f>
        <v>0</v>
      </c>
      <c r="J10" s="4274"/>
      <c r="AF10" s="1549">
        <v>11</v>
      </c>
    </row>
    <row r="11" spans="1:32" ht="11.45" customHeight="1">
      <c r="E11" s="646"/>
      <c r="F11" s="4499" t="s">
        <v>585</v>
      </c>
      <c r="G11" s="4500"/>
      <c r="H11" s="1470" t="str">
        <f>IF(H9="","",INDEX(DIFFERENTIATION_UNMERGE_AREA,MATCH(H9,DIFFERENTIATION_ID_DIFF,0)))</f>
        <v/>
      </c>
      <c r="I11" s="1470" t="str">
        <f>IF(I9="","",INDEX(DIFFERENTIATION_UNMERGE_AREA,MATCH(I9,DIFFERENTIATION_ID_DIFF,0)))</f>
        <v/>
      </c>
      <c r="J11" s="4274"/>
      <c r="AF11" s="1549">
        <v>11</v>
      </c>
    </row>
    <row r="12" spans="1:32" ht="1.1499999999999999" customHeight="1">
      <c r="E12" s="1580"/>
      <c r="F12" s="4517" t="s">
        <v>586</v>
      </c>
      <c r="G12" s="4518"/>
      <c r="H12" s="1581" t="str">
        <f>IF(H9="","",INDEX(DIFFERENTIATION_UNMERGE_SYSTEM,MATCH(H9,DIFFERENTIATION_ID_DIFF,0)))</f>
        <v/>
      </c>
      <c r="I12" s="1581" t="str">
        <f>IF(I9="","",INDEX(DIFFERENTIATION_UNMERGE_SYSTEM,MATCH(I9,DIFFERENTIATION_ID_DIFF,0)))</f>
        <v>без дифференциации</v>
      </c>
      <c r="J12" s="4274"/>
      <c r="AF12" s="1549">
        <v>1</v>
      </c>
    </row>
    <row r="13" spans="1:32" ht="11.45" customHeight="1">
      <c r="E13" s="4501" t="s">
        <v>321</v>
      </c>
      <c r="F13" s="4502"/>
      <c r="G13" s="4502"/>
      <c r="H13" s="1469"/>
      <c r="I13" s="1469"/>
      <c r="J13" s="4274"/>
      <c r="AF13" s="1549">
        <v>11</v>
      </c>
    </row>
    <row r="14" spans="1:32" ht="24" customHeight="1">
      <c r="E14" s="1557" t="s">
        <v>92</v>
      </c>
      <c r="F14" s="1552" t="s">
        <v>323</v>
      </c>
      <c r="G14" s="1552" t="s">
        <v>587</v>
      </c>
      <c r="H14" s="1552" t="s">
        <v>324</v>
      </c>
      <c r="I14" s="1552" t="s">
        <v>324</v>
      </c>
      <c r="J14" s="4274"/>
      <c r="AF14" s="1549">
        <v>23</v>
      </c>
    </row>
    <row r="15" spans="1:32" ht="19.899999999999999" customHeight="1">
      <c r="D15" s="1556"/>
      <c r="E15" s="1548" t="s">
        <v>113</v>
      </c>
      <c r="F15" s="642" t="s">
        <v>725</v>
      </c>
      <c r="G15" s="1564" t="s">
        <v>573</v>
      </c>
      <c r="H15" s="492"/>
      <c r="I15" s="492"/>
      <c r="J15" s="225" t="s">
        <v>726</v>
      </c>
      <c r="K15" s="478" t="s">
        <v>651</v>
      </c>
      <c r="AF15" s="1549">
        <v>19</v>
      </c>
    </row>
    <row r="16" spans="1:32" ht="35.65" customHeight="1">
      <c r="D16" s="1556"/>
      <c r="E16" s="1548" t="s">
        <v>114</v>
      </c>
      <c r="F16" s="642" t="s">
        <v>727</v>
      </c>
      <c r="G16" s="1564" t="s">
        <v>573</v>
      </c>
      <c r="H16" s="493">
        <f>SUM(H17,H20:H32)</f>
        <v>0</v>
      </c>
      <c r="I16" s="493">
        <f>SUM(I17,I20,I23,I26,I29:I32)</f>
        <v>0</v>
      </c>
      <c r="J16" s="225" t="s">
        <v>728</v>
      </c>
      <c r="K16" s="478" t="s">
        <v>651</v>
      </c>
      <c r="AF16" s="1549">
        <v>34</v>
      </c>
    </row>
    <row r="17" spans="1:32" ht="19.899999999999999" customHeight="1">
      <c r="D17" s="1556"/>
      <c r="E17" s="1582" t="s">
        <v>729</v>
      </c>
      <c r="F17" s="878" t="s">
        <v>730</v>
      </c>
      <c r="G17" s="1561" t="s">
        <v>573</v>
      </c>
      <c r="H17" s="492"/>
      <c r="I17" s="492"/>
      <c r="J17" s="225" t="s">
        <v>731</v>
      </c>
      <c r="K17" s="478"/>
      <c r="AF17" s="1549">
        <v>19</v>
      </c>
    </row>
    <row r="18" spans="1:32" ht="24" customHeight="1">
      <c r="D18" s="1556"/>
      <c r="E18" s="1582" t="s">
        <v>732</v>
      </c>
      <c r="F18" s="1568" t="s">
        <v>733</v>
      </c>
      <c r="G18" s="1561" t="s">
        <v>573</v>
      </c>
      <c r="H18" s="492"/>
      <c r="I18" s="492"/>
      <c r="J18" s="225" t="s">
        <v>734</v>
      </c>
      <c r="K18" s="478"/>
      <c r="AF18" s="1549">
        <v>23</v>
      </c>
    </row>
    <row r="19" spans="1:32" ht="35.65" customHeight="1">
      <c r="D19" s="1556"/>
      <c r="E19" s="1582" t="s">
        <v>735</v>
      </c>
      <c r="F19" s="1568" t="s">
        <v>736</v>
      </c>
      <c r="G19" s="1561" t="s">
        <v>573</v>
      </c>
      <c r="H19" s="492"/>
      <c r="I19" s="492"/>
      <c r="J19" s="225"/>
      <c r="K19" s="478"/>
      <c r="AF19" s="1549">
        <v>34</v>
      </c>
    </row>
    <row r="20" spans="1:32" ht="19.899999999999999" customHeight="1">
      <c r="D20" s="1556"/>
      <c r="E20" s="1582" t="s">
        <v>328</v>
      </c>
      <c r="F20" s="878" t="s">
        <v>737</v>
      </c>
      <c r="G20" s="1561" t="s">
        <v>573</v>
      </c>
      <c r="H20" s="492"/>
      <c r="I20" s="492"/>
      <c r="J20" s="225" t="s">
        <v>738</v>
      </c>
      <c r="K20" s="478"/>
      <c r="AF20" s="1549">
        <v>19</v>
      </c>
    </row>
    <row r="21" spans="1:32" ht="19.899999999999999" customHeight="1">
      <c r="D21" s="1556"/>
      <c r="E21" s="1582" t="s">
        <v>739</v>
      </c>
      <c r="F21" s="1568" t="s">
        <v>740</v>
      </c>
      <c r="G21" s="1561" t="s">
        <v>573</v>
      </c>
      <c r="H21" s="492"/>
      <c r="I21" s="492"/>
      <c r="J21" s="225"/>
      <c r="K21" s="478"/>
      <c r="AF21" s="1549">
        <v>19</v>
      </c>
    </row>
    <row r="22" spans="1:32" ht="19.899999999999999" customHeight="1">
      <c r="D22" s="1556"/>
      <c r="E22" s="1582" t="s">
        <v>741</v>
      </c>
      <c r="F22" s="1568" t="s">
        <v>742</v>
      </c>
      <c r="G22" s="1561" t="s">
        <v>573</v>
      </c>
      <c r="H22" s="492"/>
      <c r="I22" s="492"/>
      <c r="J22" s="225"/>
      <c r="K22" s="478"/>
      <c r="AF22" s="1549">
        <v>19</v>
      </c>
    </row>
    <row r="23" spans="1:32" ht="24" customHeight="1">
      <c r="D23" s="1556"/>
      <c r="E23" s="1582" t="s">
        <v>331</v>
      </c>
      <c r="F23" s="878" t="s">
        <v>743</v>
      </c>
      <c r="G23" s="1561" t="s">
        <v>573</v>
      </c>
      <c r="H23" s="492"/>
      <c r="I23" s="492"/>
      <c r="J23" s="225" t="s">
        <v>744</v>
      </c>
      <c r="K23" s="478"/>
      <c r="AF23" s="1549">
        <v>23</v>
      </c>
    </row>
    <row r="24" spans="1:32" ht="19.899999999999999" customHeight="1">
      <c r="D24" s="1556"/>
      <c r="E24" s="1582" t="s">
        <v>745</v>
      </c>
      <c r="F24" s="1568" t="s">
        <v>746</v>
      </c>
      <c r="G24" s="1561" t="s">
        <v>573</v>
      </c>
      <c r="H24" s="492"/>
      <c r="I24" s="492"/>
      <c r="J24" s="225"/>
      <c r="K24" s="478"/>
      <c r="AF24" s="1549">
        <v>19</v>
      </c>
    </row>
    <row r="25" spans="1:32" ht="35.65" customHeight="1">
      <c r="D25" s="1556"/>
      <c r="E25" s="1582" t="s">
        <v>747</v>
      </c>
      <c r="F25" s="1568" t="s">
        <v>748</v>
      </c>
      <c r="G25" s="1561" t="s">
        <v>573</v>
      </c>
      <c r="H25" s="492"/>
      <c r="I25" s="492"/>
      <c r="J25" s="225"/>
      <c r="K25" s="478"/>
      <c r="AF25" s="1549">
        <v>34</v>
      </c>
    </row>
    <row r="26" spans="1:32" ht="24" customHeight="1">
      <c r="D26" s="1556"/>
      <c r="E26" s="1582" t="s">
        <v>749</v>
      </c>
      <c r="F26" s="878" t="s">
        <v>750</v>
      </c>
      <c r="G26" s="1561" t="s">
        <v>573</v>
      </c>
      <c r="H26" s="492"/>
      <c r="I26" s="492"/>
      <c r="J26" s="225" t="s">
        <v>751</v>
      </c>
      <c r="K26" s="478"/>
      <c r="AF26" s="1549">
        <v>23</v>
      </c>
    </row>
    <row r="27" spans="1:32" ht="19.899999999999999" customHeight="1">
      <c r="D27" s="1556"/>
      <c r="E27" s="1593" t="s">
        <v>752</v>
      </c>
      <c r="F27" s="1568" t="s">
        <v>753</v>
      </c>
      <c r="G27" s="1572" t="s">
        <v>573</v>
      </c>
      <c r="H27" s="1594"/>
      <c r="I27" s="1594"/>
      <c r="J27" s="225"/>
      <c r="K27" s="478"/>
      <c r="AF27" s="1549">
        <v>19</v>
      </c>
    </row>
    <row r="28" spans="1:32" ht="19.899999999999999" customHeight="1">
      <c r="D28" s="1556"/>
      <c r="E28" s="1593" t="s">
        <v>754</v>
      </c>
      <c r="F28" s="1568" t="s">
        <v>755</v>
      </c>
      <c r="G28" s="1572" t="s">
        <v>573</v>
      </c>
      <c r="H28" s="1594"/>
      <c r="I28" s="1594"/>
      <c r="J28" s="225"/>
      <c r="K28" s="478"/>
      <c r="AF28" s="1549">
        <v>19</v>
      </c>
    </row>
    <row r="29" spans="1:32" ht="19.899999999999999" customHeight="1">
      <c r="D29" s="1556"/>
      <c r="E29" s="1593" t="s">
        <v>756</v>
      </c>
      <c r="F29" s="878" t="s">
        <v>757</v>
      </c>
      <c r="G29" s="1572" t="s">
        <v>573</v>
      </c>
      <c r="H29" s="1594"/>
      <c r="I29" s="1594"/>
      <c r="J29" s="225"/>
      <c r="K29" s="478"/>
      <c r="AF29" s="1549">
        <v>19</v>
      </c>
    </row>
    <row r="30" spans="1:32" ht="19.899999999999999" customHeight="1">
      <c r="D30" s="1556"/>
      <c r="E30" s="1593" t="s">
        <v>758</v>
      </c>
      <c r="F30" s="878" t="s">
        <v>759</v>
      </c>
      <c r="G30" s="1572" t="s">
        <v>573</v>
      </c>
      <c r="H30" s="1594"/>
      <c r="I30" s="1594"/>
      <c r="J30" s="225"/>
      <c r="K30" s="478"/>
      <c r="AF30" s="1549">
        <v>19</v>
      </c>
    </row>
    <row r="31" spans="1:32" ht="19.899999999999999" customHeight="1">
      <c r="D31" s="1556"/>
      <c r="E31" s="1593" t="s">
        <v>760</v>
      </c>
      <c r="F31" s="878" t="s">
        <v>761</v>
      </c>
      <c r="G31" s="1572" t="s">
        <v>573</v>
      </c>
      <c r="H31" s="1594"/>
      <c r="I31" s="1594"/>
      <c r="J31" s="225"/>
      <c r="K31" s="478"/>
      <c r="AF31" s="1549">
        <v>19</v>
      </c>
    </row>
    <row r="32" spans="1:32" s="4139" customFormat="1" ht="35.65" customHeight="1">
      <c r="A32" s="910"/>
      <c r="C32" s="1554"/>
      <c r="D32" s="1556"/>
      <c r="E32" s="1593" t="s">
        <v>762</v>
      </c>
      <c r="F32" s="878" t="s">
        <v>763</v>
      </c>
      <c r="G32" s="1562" t="s">
        <v>573</v>
      </c>
      <c r="H32" s="514">
        <f>SUM(H33:H34)</f>
        <v>0</v>
      </c>
      <c r="I32" s="514">
        <f>SUM(I33:I34)</f>
        <v>0</v>
      </c>
      <c r="J32" s="225" t="s">
        <v>764</v>
      </c>
      <c r="K32" s="478"/>
      <c r="L32" s="1554"/>
      <c r="M32" s="1554"/>
      <c r="R32" s="1554"/>
      <c r="U32" s="479"/>
      <c r="AA32" s="1550"/>
      <c r="AB32" s="1550"/>
      <c r="AC32" s="1550"/>
      <c r="AD32" s="1550"/>
      <c r="AE32" s="1550"/>
      <c r="AF32" s="1078">
        <v>34</v>
      </c>
    </row>
    <row r="33" spans="1:32" s="4140" customFormat="1" ht="1.1499999999999999" customHeight="1">
      <c r="A33" s="1085"/>
      <c r="D33" s="483"/>
      <c r="E33" s="731" t="str">
        <f>E32&amp;".0"</f>
        <v>2.8.0</v>
      </c>
      <c r="F33" s="914"/>
      <c r="G33" s="486"/>
      <c r="H33" s="915"/>
      <c r="I33" s="915"/>
      <c r="J33" s="916"/>
      <c r="AF33" s="1554">
        <v>1</v>
      </c>
    </row>
    <row r="34" spans="1:32" s="4139" customFormat="1" ht="19.899999999999999" customHeight="1">
      <c r="A34" s="910"/>
      <c r="C34" s="1554"/>
      <c r="D34" s="1551"/>
      <c r="E34" s="505"/>
      <c r="F34" s="1584" t="s">
        <v>598</v>
      </c>
      <c r="G34" s="507"/>
      <c r="H34" s="508"/>
      <c r="I34" s="508"/>
      <c r="J34" s="237" t="s">
        <v>765</v>
      </c>
      <c r="K34" s="478"/>
      <c r="L34" s="1554"/>
      <c r="M34" s="1554"/>
      <c r="R34" s="1554"/>
      <c r="U34" s="479"/>
      <c r="AA34" s="1550"/>
      <c r="AB34" s="1550"/>
      <c r="AC34" s="1550"/>
      <c r="AD34" s="1550"/>
      <c r="AE34" s="1550"/>
      <c r="AF34" s="1078">
        <v>19</v>
      </c>
    </row>
    <row r="35" spans="1:32" ht="60" customHeight="1">
      <c r="D35" s="1556"/>
      <c r="E35" s="1593" t="s">
        <v>766</v>
      </c>
      <c r="F35" s="878" t="s">
        <v>767</v>
      </c>
      <c r="G35" s="1572" t="s">
        <v>573</v>
      </c>
      <c r="H35" s="1594"/>
      <c r="I35" s="1594"/>
      <c r="J35" s="225" t="s">
        <v>768</v>
      </c>
      <c r="K35" s="478"/>
      <c r="AF35" s="1549">
        <v>57</v>
      </c>
    </row>
    <row r="36" spans="1:32" s="4139" customFormat="1" ht="24" customHeight="1">
      <c r="A36" s="912" t="s">
        <v>599</v>
      </c>
      <c r="C36" s="1554"/>
      <c r="D36" s="1556"/>
      <c r="E36" s="1582" t="s">
        <v>94</v>
      </c>
      <c r="F36" s="642" t="s">
        <v>769</v>
      </c>
      <c r="G36" s="1561" t="s">
        <v>573</v>
      </c>
      <c r="H36" s="492"/>
      <c r="I36" s="492"/>
      <c r="J36" s="225" t="s">
        <v>770</v>
      </c>
      <c r="K36" s="478"/>
      <c r="L36" s="1554"/>
      <c r="M36" s="1554"/>
      <c r="R36" s="1554"/>
      <c r="U36" s="479"/>
      <c r="AA36" s="1550"/>
      <c r="AB36" s="1550"/>
      <c r="AC36" s="1550"/>
      <c r="AD36" s="1550"/>
      <c r="AE36" s="1550"/>
      <c r="AF36" s="1078">
        <v>23</v>
      </c>
    </row>
    <row r="37" spans="1:32" s="4139" customFormat="1" ht="35.65" customHeight="1">
      <c r="A37" s="912"/>
      <c r="C37" s="1554"/>
      <c r="D37" s="1556"/>
      <c r="E37" s="1582" t="s">
        <v>345</v>
      </c>
      <c r="F37" s="878" t="s">
        <v>771</v>
      </c>
      <c r="G37" s="1572"/>
      <c r="H37" s="492"/>
      <c r="I37" s="492"/>
      <c r="J37" s="225"/>
      <c r="K37" s="478"/>
      <c r="L37" s="1554"/>
      <c r="M37" s="1554"/>
      <c r="R37" s="1554"/>
      <c r="U37" s="479"/>
      <c r="AA37" s="1550"/>
      <c r="AB37" s="1550"/>
      <c r="AC37" s="1550"/>
      <c r="AD37" s="1550"/>
      <c r="AE37" s="1550"/>
      <c r="AF37" s="1078">
        <v>34</v>
      </c>
    </row>
    <row r="38" spans="1:32" s="4139" customFormat="1" ht="19.899999999999999" customHeight="1">
      <c r="A38" s="910"/>
      <c r="C38" s="1554"/>
      <c r="D38" s="510"/>
      <c r="E38" s="1582" t="s">
        <v>95</v>
      </c>
      <c r="F38" s="642" t="s">
        <v>772</v>
      </c>
      <c r="G38" s="1561" t="s">
        <v>573</v>
      </c>
      <c r="H38" s="492"/>
      <c r="I38" s="492"/>
      <c r="J38" s="225" t="s">
        <v>773</v>
      </c>
      <c r="K38" s="478"/>
      <c r="L38" s="1554"/>
      <c r="M38" s="1554"/>
      <c r="R38" s="1554"/>
      <c r="U38" s="479"/>
      <c r="AA38" s="1550"/>
      <c r="AB38" s="1550"/>
      <c r="AC38" s="1550"/>
      <c r="AD38" s="1550"/>
      <c r="AE38" s="1550"/>
      <c r="AF38" s="1078">
        <v>19</v>
      </c>
    </row>
    <row r="39" spans="1:32" s="4139" customFormat="1" ht="24" customHeight="1">
      <c r="A39" s="910"/>
      <c r="C39" s="1554"/>
      <c r="D39" s="510"/>
      <c r="E39" s="1582" t="s">
        <v>774</v>
      </c>
      <c r="F39" s="878" t="s">
        <v>775</v>
      </c>
      <c r="G39" s="1572" t="s">
        <v>573</v>
      </c>
      <c r="H39" s="492"/>
      <c r="I39" s="492"/>
      <c r="J39" s="225" t="s">
        <v>776</v>
      </c>
      <c r="K39" s="478"/>
      <c r="L39" s="1554"/>
      <c r="M39" s="1554"/>
      <c r="R39" s="1554"/>
      <c r="U39" s="479"/>
      <c r="AA39" s="1550"/>
      <c r="AB39" s="1550"/>
      <c r="AC39" s="1550"/>
      <c r="AD39" s="1550"/>
      <c r="AE39" s="1550"/>
      <c r="AF39" s="1078">
        <v>23</v>
      </c>
    </row>
    <row r="40" spans="1:32" s="4139" customFormat="1" ht="24" customHeight="1">
      <c r="A40" s="910"/>
      <c r="C40" s="1554"/>
      <c r="D40" s="1556"/>
      <c r="E40" s="1582" t="s">
        <v>777</v>
      </c>
      <c r="F40" s="1568" t="s">
        <v>778</v>
      </c>
      <c r="G40" s="1561" t="s">
        <v>573</v>
      </c>
      <c r="H40" s="492"/>
      <c r="I40" s="492"/>
      <c r="J40" s="225" t="s">
        <v>779</v>
      </c>
      <c r="K40" s="478"/>
      <c r="L40" s="1554"/>
      <c r="M40" s="1554"/>
      <c r="R40" s="1554"/>
      <c r="U40" s="479"/>
      <c r="AA40" s="1550"/>
      <c r="AB40" s="1550"/>
      <c r="AC40" s="1550"/>
      <c r="AD40" s="1550"/>
      <c r="AE40" s="1550"/>
      <c r="AF40" s="1078">
        <v>23</v>
      </c>
    </row>
    <row r="41" spans="1:32" s="4139" customFormat="1" ht="24" customHeight="1">
      <c r="A41" s="910"/>
      <c r="C41" s="1554"/>
      <c r="D41" s="1556"/>
      <c r="E41" s="1582" t="s">
        <v>780</v>
      </c>
      <c r="F41" s="1568" t="s">
        <v>781</v>
      </c>
      <c r="G41" s="1561" t="s">
        <v>573</v>
      </c>
      <c r="H41" s="492"/>
      <c r="I41" s="492"/>
      <c r="J41" s="225" t="s">
        <v>782</v>
      </c>
      <c r="K41" s="478"/>
      <c r="L41" s="1554"/>
      <c r="M41" s="1554"/>
      <c r="R41" s="1554"/>
      <c r="U41" s="479"/>
      <c r="AA41" s="1550"/>
      <c r="AB41" s="1550"/>
      <c r="AC41" s="1550"/>
      <c r="AD41" s="1550"/>
      <c r="AE41" s="1550"/>
      <c r="AF41" s="1078">
        <v>23</v>
      </c>
    </row>
    <row r="42" spans="1:32" s="4139" customFormat="1" ht="24" customHeight="1">
      <c r="A42" s="910"/>
      <c r="C42" s="1554"/>
      <c r="D42" s="1556"/>
      <c r="E42" s="1582" t="s">
        <v>783</v>
      </c>
      <c r="F42" s="1568" t="s">
        <v>784</v>
      </c>
      <c r="G42" s="1561" t="s">
        <v>573</v>
      </c>
      <c r="H42" s="492"/>
      <c r="I42" s="492"/>
      <c r="J42" s="225" t="s">
        <v>785</v>
      </c>
      <c r="K42" s="478"/>
      <c r="L42" s="1554"/>
      <c r="M42" s="1554"/>
      <c r="R42" s="1554"/>
      <c r="U42" s="479"/>
      <c r="AA42" s="1550"/>
      <c r="AB42" s="1550"/>
      <c r="AC42" s="1550"/>
      <c r="AD42" s="1550"/>
      <c r="AE42" s="1550"/>
      <c r="AF42" s="1078">
        <v>23</v>
      </c>
    </row>
    <row r="43" spans="1:32" s="4139" customFormat="1" ht="35.65" customHeight="1">
      <c r="A43" s="910"/>
      <c r="C43" s="1554" t="s">
        <v>609</v>
      </c>
      <c r="D43" s="1556"/>
      <c r="E43" s="1582" t="s">
        <v>103</v>
      </c>
      <c r="F43" s="642" t="s">
        <v>650</v>
      </c>
      <c r="G43" s="1564" t="s">
        <v>786</v>
      </c>
      <c r="H43" s="336"/>
      <c r="I43" s="336"/>
      <c r="J43" s="225" t="s">
        <v>787</v>
      </c>
      <c r="K43" s="478"/>
      <c r="L43" s="1554"/>
      <c r="M43" s="1554"/>
      <c r="R43" s="1554"/>
      <c r="U43" s="479"/>
      <c r="AA43" s="1550"/>
      <c r="AB43" s="1550"/>
      <c r="AC43" s="1550"/>
      <c r="AD43" s="1550"/>
      <c r="AE43" s="1550"/>
      <c r="AF43" s="1078">
        <v>34</v>
      </c>
    </row>
    <row r="44" spans="1:32" s="4139" customFormat="1" ht="35.65" customHeight="1">
      <c r="A44" s="910"/>
      <c r="C44" s="1554"/>
      <c r="D44" s="1556"/>
      <c r="E44" s="1582" t="s">
        <v>96</v>
      </c>
      <c r="F44" s="642" t="s">
        <v>788</v>
      </c>
      <c r="G44" s="1561" t="s">
        <v>789</v>
      </c>
      <c r="H44" s="480"/>
      <c r="I44" s="480"/>
      <c r="J44" s="225" t="s">
        <v>790</v>
      </c>
      <c r="K44" s="478"/>
      <c r="L44" s="1554"/>
      <c r="M44" s="1554"/>
      <c r="R44" s="1554"/>
      <c r="U44" s="479"/>
      <c r="AA44" s="1550"/>
      <c r="AB44" s="1550"/>
      <c r="AC44" s="1550"/>
      <c r="AD44" s="1550"/>
      <c r="AE44" s="1550"/>
      <c r="AF44" s="1078">
        <v>34</v>
      </c>
    </row>
    <row r="45" spans="1:32" s="4139" customFormat="1" ht="24" customHeight="1">
      <c r="A45" s="910"/>
      <c r="C45" s="1554"/>
      <c r="D45" s="1556"/>
      <c r="E45" s="1582" t="s">
        <v>97</v>
      </c>
      <c r="F45" s="642" t="s">
        <v>791</v>
      </c>
      <c r="G45" s="1572" t="s">
        <v>792</v>
      </c>
      <c r="H45" s="480"/>
      <c r="I45" s="480"/>
      <c r="J45" s="225" t="s">
        <v>793</v>
      </c>
      <c r="K45" s="478"/>
      <c r="L45" s="1554"/>
      <c r="M45" s="1554"/>
      <c r="R45" s="1554"/>
      <c r="U45" s="479"/>
      <c r="AA45" s="1550"/>
      <c r="AB45" s="1550"/>
      <c r="AC45" s="1550"/>
      <c r="AD45" s="1550"/>
      <c r="AE45" s="1550"/>
      <c r="AF45" s="1078">
        <v>23</v>
      </c>
    </row>
    <row r="46" spans="1:32" s="4139" customFormat="1" ht="19.899999999999999" customHeight="1">
      <c r="A46" s="910"/>
      <c r="C46" s="1554"/>
      <c r="D46" s="1556"/>
      <c r="E46" s="1582" t="s">
        <v>115</v>
      </c>
      <c r="F46" s="642" t="s">
        <v>794</v>
      </c>
      <c r="G46" s="1561" t="s">
        <v>611</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4164"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164"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164"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164"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164"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164"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164"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164"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164"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164"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164"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164"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164"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164"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164"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164"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164"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164"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164"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164"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164"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164"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164"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164"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164"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164"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164"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164"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164"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164"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164"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164"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164"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164"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164"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164"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164"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164"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164"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164"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164"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164"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164"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164"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164"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164"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164"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164"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164"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164"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164"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164"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164"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164"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164"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164"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164"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164"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164"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164"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164"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164"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164"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164"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164"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164"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164"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164"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164"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164"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164"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164"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164"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164"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164"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164"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164"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164"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164"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164"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164"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164"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164"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164"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164"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164"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16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16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164"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16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16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16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16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16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16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16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16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16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16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16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16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16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16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16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16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16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16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16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16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16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16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16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16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16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16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16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16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16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16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16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16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16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16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16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16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16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16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16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16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16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16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16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16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16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16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16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16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16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16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16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16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16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16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16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16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16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16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16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4164"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4164"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4164"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4164"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4164"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4164"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4164"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86</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4202" hidden="1" customWidth="1"/>
    <col min="2" max="2" width="16.85546875" style="4139" hidden="1" customWidth="1"/>
    <col min="3" max="3" width="5.5703125" style="4140" hidden="1" customWidth="1"/>
    <col min="4" max="4" width="3" style="4133" customWidth="1"/>
    <col min="5" max="5" width="7" style="4133" customWidth="1"/>
    <col min="6" max="6" width="54" style="4133" customWidth="1"/>
    <col min="7" max="7" width="10" style="4133" customWidth="1"/>
    <col min="8" max="8" width="40.7109375" style="4133" hidden="1" customWidth="1"/>
    <col min="9" max="9" width="40" style="4133" customWidth="1"/>
    <col min="10" max="10" width="102" style="4133" customWidth="1"/>
    <col min="11" max="11" width="9" style="4139" customWidth="1"/>
    <col min="12" max="12" width="5" style="4140" customWidth="1"/>
    <col min="13" max="13" width="3" style="4140" customWidth="1"/>
    <col min="14" max="17" width="3" style="4139" customWidth="1"/>
    <col min="18" max="18" width="10" style="4140" customWidth="1"/>
    <col min="19" max="19" width="34" style="4139" customWidth="1"/>
    <col min="20" max="20" width="9" style="4139" customWidth="1"/>
    <col min="21" max="21" width="8" style="4203" customWidth="1"/>
    <col min="22" max="26" width="8" style="4139" customWidth="1"/>
    <col min="27" max="31" width="8" style="4131" customWidth="1"/>
    <col min="32" max="32" width="9.140625" style="4133" hidden="1"/>
  </cols>
  <sheetData>
    <row r="1" spans="1:32" s="4139" customFormat="1" ht="22.5" hidden="1" customHeight="1">
      <c r="A1" s="910"/>
      <c r="C1" s="1554"/>
      <c r="D1" s="472"/>
      <c r="H1" s="1078">
        <v>4</v>
      </c>
      <c r="I1" s="1078">
        <v>4</v>
      </c>
      <c r="L1" s="1554"/>
      <c r="M1" s="1554"/>
      <c r="R1" s="1554"/>
      <c r="AF1" s="1078" t="s">
        <v>14</v>
      </c>
    </row>
    <row r="2" spans="1:32" s="4139" customFormat="1" ht="22.5" hidden="1" customHeight="1">
      <c r="A2" s="910"/>
      <c r="C2" s="1554"/>
      <c r="D2" s="473"/>
      <c r="E2" s="1576"/>
      <c r="F2" s="475"/>
      <c r="G2" s="1575" t="s">
        <v>573</v>
      </c>
      <c r="H2" s="476"/>
      <c r="I2" s="476"/>
      <c r="J2" s="477" t="s">
        <v>576</v>
      </c>
      <c r="K2" s="478"/>
      <c r="L2" s="1554"/>
      <c r="M2" s="1554"/>
      <c r="R2" s="1554"/>
      <c r="U2" s="479"/>
      <c r="AA2" s="1550"/>
      <c r="AB2" s="1550"/>
      <c r="AC2" s="1550"/>
      <c r="AD2" s="1550"/>
      <c r="AE2" s="1550"/>
      <c r="AF2" s="1078">
        <v>0</v>
      </c>
    </row>
    <row r="3" spans="1:32" ht="11.25" hidden="1" customHeight="1">
      <c r="AF3" s="1549">
        <v>0</v>
      </c>
    </row>
    <row r="4" spans="1:32" s="4131"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4393" t="s">
        <v>795</v>
      </c>
      <c r="F6" s="4393"/>
      <c r="G6" s="4393"/>
      <c r="H6" s="4393"/>
      <c r="I6" s="4393"/>
      <c r="J6" s="491"/>
      <c r="AF6" s="1549">
        <v>32</v>
      </c>
    </row>
    <row r="7" spans="1:32" ht="25.15" customHeight="1">
      <c r="E7" s="4365" t="str">
        <f>IF(org=0,"Не определено",org)</f>
        <v>АО "Мурманэнергосбыт"</v>
      </c>
      <c r="F7" s="4365"/>
      <c r="G7" s="4365"/>
      <c r="H7" s="4365"/>
      <c r="I7" s="4365"/>
      <c r="AF7" s="1549">
        <v>24</v>
      </c>
    </row>
    <row r="8" spans="1:32" ht="11.45" customHeight="1">
      <c r="E8" s="1053"/>
      <c r="F8" s="1053"/>
      <c r="G8" s="1053"/>
      <c r="H8" s="1053"/>
      <c r="I8" s="1053"/>
      <c r="AF8" s="1549">
        <v>11</v>
      </c>
    </row>
    <row r="9" spans="1:32" s="4140" customFormat="1" ht="1.1499999999999999" customHeight="1">
      <c r="A9" s="1085"/>
      <c r="D9" s="1560"/>
      <c r="H9" s="813"/>
      <c r="I9" s="813" t="s">
        <v>120</v>
      </c>
      <c r="AF9" s="1554">
        <v>1</v>
      </c>
    </row>
    <row r="10" spans="1:32" ht="11.45" customHeight="1">
      <c r="E10" s="646"/>
      <c r="F10" s="4499" t="s">
        <v>109</v>
      </c>
      <c r="G10" s="4500"/>
      <c r="H10" s="1577" t="str">
        <f>IF(H9="","",INDEX(DIFFERENTIATION_UNMERGE_VD,MATCH(H9,DIFFERENTIATION_ID_DIFF,0)))</f>
        <v/>
      </c>
      <c r="I10" s="1577">
        <f>IF(I9="","",INDEX(DIFFERENTIATION_UNMERGE_VD,MATCH(I9,DIFFERENTIATION_ID_DIFF,0)))</f>
        <v>0</v>
      </c>
      <c r="J10" s="4274"/>
      <c r="AF10" s="1549">
        <v>11</v>
      </c>
    </row>
    <row r="11" spans="1:32" ht="11.45" customHeight="1">
      <c r="E11" s="646"/>
      <c r="F11" s="4499" t="s">
        <v>585</v>
      </c>
      <c r="G11" s="4500"/>
      <c r="H11" s="1577" t="str">
        <f>IF(H9="","",INDEX(DIFFERENTIATION_UNMERGE_AREA,MATCH(H9,DIFFERENTIATION_ID_DIFF,0)))</f>
        <v/>
      </c>
      <c r="I11" s="1577" t="str">
        <f>IF(I9="","",INDEX(DIFFERENTIATION_UNMERGE_AREA,MATCH(I9,DIFFERENTIATION_ID_DIFF,0)))</f>
        <v/>
      </c>
      <c r="J11" s="4274"/>
      <c r="AF11" s="1549">
        <v>11</v>
      </c>
    </row>
    <row r="12" spans="1:32" ht="11.25" hidden="1" customHeight="1">
      <c r="E12" s="1580"/>
      <c r="F12" s="4517" t="s">
        <v>586</v>
      </c>
      <c r="G12" s="4518"/>
      <c r="H12" s="1581" t="str">
        <f>IF(H9="","",INDEX(DIFFERENTIATION_UNMERGE_SYSTEM,MATCH(H9,DIFFERENTIATION_ID_DIFF,0)))</f>
        <v/>
      </c>
      <c r="I12" s="1581" t="str">
        <f>IF(I9="","",INDEX(DIFFERENTIATION_UNMERGE_SYSTEM,MATCH(I9,DIFFERENTIATION_ID_DIFF,0)))</f>
        <v>без дифференциации</v>
      </c>
      <c r="J12" s="4274"/>
      <c r="AF12" s="1549">
        <v>0</v>
      </c>
    </row>
    <row r="13" spans="1:32" ht="11.45" customHeight="1">
      <c r="E13" s="4501" t="s">
        <v>321</v>
      </c>
      <c r="F13" s="4502"/>
      <c r="G13" s="4502"/>
      <c r="H13" s="1574"/>
      <c r="I13" s="1574"/>
      <c r="J13" s="4274"/>
      <c r="AF13" s="1549">
        <v>11</v>
      </c>
    </row>
    <row r="14" spans="1:32" ht="24" customHeight="1">
      <c r="E14" s="1575" t="s">
        <v>92</v>
      </c>
      <c r="F14" s="1578" t="s">
        <v>323</v>
      </c>
      <c r="G14" s="1578" t="s">
        <v>587</v>
      </c>
      <c r="H14" s="1578" t="s">
        <v>324</v>
      </c>
      <c r="I14" s="1578" t="s">
        <v>324</v>
      </c>
      <c r="J14" s="4274"/>
      <c r="AF14" s="1549">
        <v>23</v>
      </c>
    </row>
    <row r="15" spans="1:32" ht="19.899999999999999" customHeight="1">
      <c r="D15" s="1556"/>
      <c r="E15" s="1548" t="s">
        <v>113</v>
      </c>
      <c r="F15" s="642" t="s">
        <v>796</v>
      </c>
      <c r="G15" s="1575" t="s">
        <v>573</v>
      </c>
      <c r="H15" s="492"/>
      <c r="I15" s="492"/>
      <c r="J15" s="225" t="s">
        <v>797</v>
      </c>
      <c r="K15" s="478" t="s">
        <v>651</v>
      </c>
      <c r="AF15" s="1549">
        <v>19</v>
      </c>
    </row>
    <row r="16" spans="1:32" ht="24" customHeight="1">
      <c r="D16" s="1556"/>
      <c r="E16" s="1548" t="s">
        <v>114</v>
      </c>
      <c r="F16" s="1583" t="s">
        <v>798</v>
      </c>
      <c r="G16" s="1575" t="s">
        <v>573</v>
      </c>
      <c r="H16" s="493">
        <f>SUM(H17,H20:H27)</f>
        <v>0</v>
      </c>
      <c r="I16" s="493">
        <f>SUM(I17,I20:I27)</f>
        <v>0</v>
      </c>
      <c r="J16" s="225" t="s">
        <v>799</v>
      </c>
      <c r="K16" s="478" t="s">
        <v>651</v>
      </c>
      <c r="AF16" s="1549">
        <v>23</v>
      </c>
    </row>
    <row r="17" spans="1:32" ht="35.65" customHeight="1">
      <c r="D17" s="1556"/>
      <c r="E17" s="1582" t="s">
        <v>729</v>
      </c>
      <c r="F17" s="1585" t="s">
        <v>800</v>
      </c>
      <c r="G17" s="1572" t="s">
        <v>573</v>
      </c>
      <c r="H17" s="492"/>
      <c r="I17" s="492"/>
      <c r="J17" s="225" t="s">
        <v>801</v>
      </c>
      <c r="K17" s="478"/>
      <c r="AF17" s="1549">
        <v>34</v>
      </c>
    </row>
    <row r="18" spans="1:32" ht="19.899999999999999" customHeight="1">
      <c r="D18" s="1556"/>
      <c r="E18" s="1582" t="s">
        <v>732</v>
      </c>
      <c r="F18" s="1586" t="s">
        <v>802</v>
      </c>
      <c r="G18" s="1572" t="s">
        <v>573</v>
      </c>
      <c r="H18" s="492"/>
      <c r="I18" s="492"/>
      <c r="J18" s="225"/>
      <c r="K18" s="478"/>
      <c r="AF18" s="1549">
        <v>19</v>
      </c>
    </row>
    <row r="19" spans="1:32" ht="24" customHeight="1">
      <c r="D19" s="1556"/>
      <c r="E19" s="1582" t="s">
        <v>735</v>
      </c>
      <c r="F19" s="1586" t="s">
        <v>803</v>
      </c>
      <c r="G19" s="1572" t="s">
        <v>573</v>
      </c>
      <c r="H19" s="492"/>
      <c r="I19" s="492"/>
      <c r="J19" s="225"/>
      <c r="K19" s="478"/>
      <c r="AF19" s="1549">
        <v>23</v>
      </c>
    </row>
    <row r="20" spans="1:32" ht="35.65" customHeight="1">
      <c r="D20" s="1556"/>
      <c r="E20" s="1582" t="s">
        <v>328</v>
      </c>
      <c r="F20" s="1585" t="s">
        <v>804</v>
      </c>
      <c r="G20" s="1572" t="s">
        <v>573</v>
      </c>
      <c r="H20" s="492"/>
      <c r="I20" s="492"/>
      <c r="J20" s="225"/>
      <c r="K20" s="478"/>
      <c r="AF20" s="1549">
        <v>34</v>
      </c>
    </row>
    <row r="21" spans="1:32" ht="48.2" customHeight="1">
      <c r="D21" s="1556"/>
      <c r="E21" s="1582" t="s">
        <v>331</v>
      </c>
      <c r="F21" s="1585" t="s">
        <v>805</v>
      </c>
      <c r="G21" s="1572" t="s">
        <v>573</v>
      </c>
      <c r="H21" s="492"/>
      <c r="I21" s="492"/>
      <c r="J21" s="225"/>
      <c r="K21" s="478"/>
      <c r="AF21" s="1549">
        <v>46</v>
      </c>
    </row>
    <row r="22" spans="1:32" ht="60" customHeight="1">
      <c r="D22" s="1556"/>
      <c r="E22" s="1582" t="s">
        <v>749</v>
      </c>
      <c r="F22" s="1585" t="s">
        <v>806</v>
      </c>
      <c r="G22" s="1572" t="s">
        <v>573</v>
      </c>
      <c r="H22" s="492"/>
      <c r="I22" s="492"/>
      <c r="J22" s="225"/>
      <c r="K22" s="478"/>
      <c r="AF22" s="1549">
        <v>57</v>
      </c>
    </row>
    <row r="23" spans="1:32" ht="35.65" customHeight="1">
      <c r="D23" s="1556"/>
      <c r="E23" s="1582" t="s">
        <v>756</v>
      </c>
      <c r="F23" s="1585" t="s">
        <v>807</v>
      </c>
      <c r="G23" s="1572" t="s">
        <v>573</v>
      </c>
      <c r="H23" s="492"/>
      <c r="I23" s="492"/>
      <c r="J23" s="225"/>
      <c r="K23" s="478"/>
      <c r="AF23" s="1549">
        <v>34</v>
      </c>
    </row>
    <row r="24" spans="1:32" ht="35.65" customHeight="1">
      <c r="D24" s="1556"/>
      <c r="E24" s="1582" t="s">
        <v>758</v>
      </c>
      <c r="F24" s="1585" t="s">
        <v>808</v>
      </c>
      <c r="G24" s="1572" t="s">
        <v>573</v>
      </c>
      <c r="H24" s="492"/>
      <c r="I24" s="492"/>
      <c r="J24" s="225"/>
      <c r="K24" s="478"/>
      <c r="AF24" s="1549">
        <v>34</v>
      </c>
    </row>
    <row r="25" spans="1:32" ht="24" customHeight="1">
      <c r="D25" s="1556"/>
      <c r="E25" s="1582" t="s">
        <v>760</v>
      </c>
      <c r="F25" s="1585" t="s">
        <v>809</v>
      </c>
      <c r="G25" s="1572" t="s">
        <v>573</v>
      </c>
      <c r="H25" s="492"/>
      <c r="I25" s="492"/>
      <c r="J25" s="225"/>
      <c r="K25" s="478"/>
      <c r="AF25" s="1549">
        <v>23</v>
      </c>
    </row>
    <row r="26" spans="1:32" ht="76.5" customHeight="1">
      <c r="D26" s="1556"/>
      <c r="E26" s="1582" t="s">
        <v>762</v>
      </c>
      <c r="F26" s="1585" t="s">
        <v>810</v>
      </c>
      <c r="G26" s="1572" t="s">
        <v>573</v>
      </c>
      <c r="H26" s="492"/>
      <c r="I26" s="492"/>
      <c r="J26" s="225"/>
      <c r="K26" s="478"/>
      <c r="AF26" s="1549">
        <v>73</v>
      </c>
    </row>
    <row r="27" spans="1:32" s="4139" customFormat="1" ht="35.65" customHeight="1">
      <c r="A27" s="910"/>
      <c r="C27" s="1554"/>
      <c r="D27" s="1556"/>
      <c r="E27" s="1547" t="s">
        <v>766</v>
      </c>
      <c r="F27" s="1546" t="s">
        <v>811</v>
      </c>
      <c r="G27" s="1573" t="s">
        <v>573</v>
      </c>
      <c r="H27" s="514">
        <f>SUM(H28:H29)</f>
        <v>0</v>
      </c>
      <c r="I27" s="514">
        <f>SUM(I28:I29)</f>
        <v>0</v>
      </c>
      <c r="J27" s="225" t="s">
        <v>764</v>
      </c>
      <c r="K27" s="478"/>
      <c r="L27" s="1554"/>
      <c r="M27" s="1554"/>
      <c r="R27" s="1554"/>
      <c r="U27" s="479"/>
      <c r="AA27" s="1550"/>
      <c r="AB27" s="1550"/>
      <c r="AC27" s="1550"/>
      <c r="AD27" s="1550"/>
      <c r="AE27" s="1550"/>
      <c r="AF27" s="1078">
        <v>34</v>
      </c>
    </row>
    <row r="28" spans="1:32" s="4140" customFormat="1" ht="1.1499999999999999" customHeight="1">
      <c r="A28" s="1085"/>
      <c r="D28" s="483"/>
      <c r="E28" s="731" t="str">
        <f>E27&amp;".0"</f>
        <v>2.9.0</v>
      </c>
      <c r="F28" s="914"/>
      <c r="G28" s="486"/>
      <c r="H28" s="915"/>
      <c r="I28" s="915"/>
      <c r="J28" s="916"/>
      <c r="AF28" s="1554">
        <v>1</v>
      </c>
    </row>
    <row r="29" spans="1:32" s="4139" customFormat="1" ht="19.899999999999999" customHeight="1">
      <c r="A29" s="910"/>
      <c r="C29" s="1554"/>
      <c r="D29" s="1551"/>
      <c r="E29" s="505"/>
      <c r="F29" s="1584" t="s">
        <v>598</v>
      </c>
      <c r="G29" s="507"/>
      <c r="H29" s="508"/>
      <c r="I29" s="508"/>
      <c r="J29" s="237" t="s">
        <v>765</v>
      </c>
      <c r="K29" s="478"/>
      <c r="L29" s="1554"/>
      <c r="M29" s="1554"/>
      <c r="R29" s="1554"/>
      <c r="U29" s="479"/>
      <c r="AA29" s="1550"/>
      <c r="AB29" s="1550"/>
      <c r="AC29" s="1550"/>
      <c r="AD29" s="1550"/>
      <c r="AE29" s="1550"/>
      <c r="AF29" s="1078">
        <v>19</v>
      </c>
    </row>
    <row r="30" spans="1:32" s="4139" customFormat="1" ht="24" customHeight="1">
      <c r="A30" s="910"/>
      <c r="C30" s="1554"/>
      <c r="D30" s="1556"/>
      <c r="E30" s="1582" t="s">
        <v>94</v>
      </c>
      <c r="F30" s="1579" t="s">
        <v>812</v>
      </c>
      <c r="G30" s="1572" t="s">
        <v>573</v>
      </c>
      <c r="H30" s="492"/>
      <c r="I30" s="492"/>
      <c r="J30" s="225"/>
      <c r="K30" s="478"/>
      <c r="L30" s="1554"/>
      <c r="M30" s="1554"/>
      <c r="R30" s="1554"/>
      <c r="U30" s="479"/>
      <c r="AA30" s="1550"/>
      <c r="AB30" s="1550"/>
      <c r="AC30" s="1550"/>
      <c r="AD30" s="1550"/>
      <c r="AE30" s="1550"/>
      <c r="AF30" s="1078">
        <v>23</v>
      </c>
    </row>
    <row r="31" spans="1:32" s="4139" customFormat="1" ht="35.65" customHeight="1">
      <c r="A31" s="910"/>
      <c r="C31" s="1554"/>
      <c r="D31" s="510"/>
      <c r="E31" s="1582" t="s">
        <v>95</v>
      </c>
      <c r="F31" s="1579" t="s">
        <v>813</v>
      </c>
      <c r="G31" s="1572" t="s">
        <v>573</v>
      </c>
      <c r="H31" s="492"/>
      <c r="I31" s="492"/>
      <c r="J31" s="225" t="s">
        <v>814</v>
      </c>
      <c r="K31" s="478"/>
      <c r="L31" s="1554"/>
      <c r="M31" s="1554"/>
      <c r="R31" s="1554"/>
      <c r="U31" s="479"/>
      <c r="AA31" s="1550"/>
      <c r="AB31" s="1550"/>
      <c r="AC31" s="1550"/>
      <c r="AD31" s="1550"/>
      <c r="AE31" s="1550"/>
      <c r="AF31" s="1078">
        <v>34</v>
      </c>
    </row>
    <row r="32" spans="1:32" s="4139" customFormat="1" ht="24" customHeight="1">
      <c r="A32" s="910"/>
      <c r="C32" s="1554"/>
      <c r="D32" s="1556"/>
      <c r="E32" s="1582" t="s">
        <v>774</v>
      </c>
      <c r="F32" s="625" t="s">
        <v>778</v>
      </c>
      <c r="G32" s="1572" t="s">
        <v>573</v>
      </c>
      <c r="H32" s="492"/>
      <c r="I32" s="492"/>
      <c r="J32" s="225" t="s">
        <v>815</v>
      </c>
      <c r="K32" s="478"/>
      <c r="L32" s="1554"/>
      <c r="M32" s="1554"/>
      <c r="R32" s="1554"/>
      <c r="U32" s="479"/>
      <c r="AA32" s="1550"/>
      <c r="AB32" s="1550"/>
      <c r="AC32" s="1550"/>
      <c r="AD32" s="1550"/>
      <c r="AE32" s="1550"/>
      <c r="AF32" s="1078">
        <v>23</v>
      </c>
    </row>
    <row r="33" spans="1:32" s="4139" customFormat="1" ht="24" customHeight="1">
      <c r="A33" s="910"/>
      <c r="C33" s="1554"/>
      <c r="D33" s="1556"/>
      <c r="E33" s="1582" t="s">
        <v>816</v>
      </c>
      <c r="F33" s="625" t="s">
        <v>817</v>
      </c>
      <c r="G33" s="1572" t="s">
        <v>573</v>
      </c>
      <c r="H33" s="492"/>
      <c r="I33" s="492"/>
      <c r="J33" s="225" t="s">
        <v>818</v>
      </c>
      <c r="K33" s="478"/>
      <c r="L33" s="1554"/>
      <c r="M33" s="1554"/>
      <c r="R33" s="1554"/>
      <c r="U33" s="479"/>
      <c r="AA33" s="1550"/>
      <c r="AB33" s="1550"/>
      <c r="AC33" s="1550"/>
      <c r="AD33" s="1550"/>
      <c r="AE33" s="1550"/>
      <c r="AF33" s="1078">
        <v>23</v>
      </c>
    </row>
    <row r="34" spans="1:32" s="4139" customFormat="1" ht="24" customHeight="1">
      <c r="A34" s="910"/>
      <c r="C34" s="1554"/>
      <c r="D34" s="1556"/>
      <c r="E34" s="1582" t="s">
        <v>819</v>
      </c>
      <c r="F34" s="625" t="s">
        <v>784</v>
      </c>
      <c r="G34" s="1572" t="s">
        <v>573</v>
      </c>
      <c r="H34" s="492"/>
      <c r="I34" s="492"/>
      <c r="J34" s="225" t="s">
        <v>820</v>
      </c>
      <c r="K34" s="478"/>
      <c r="L34" s="1554"/>
      <c r="M34" s="1554"/>
      <c r="R34" s="1554"/>
      <c r="U34" s="479"/>
      <c r="AA34" s="1550"/>
      <c r="AB34" s="1550"/>
      <c r="AC34" s="1550"/>
      <c r="AD34" s="1550"/>
      <c r="AE34" s="1550"/>
      <c r="AF34" s="1078">
        <v>23</v>
      </c>
    </row>
    <row r="35" spans="1:32" s="4139" customFormat="1" ht="35.65" customHeight="1">
      <c r="A35" s="910"/>
      <c r="C35" s="1554" t="s">
        <v>609</v>
      </c>
      <c r="D35" s="1556"/>
      <c r="E35" s="1582" t="s">
        <v>103</v>
      </c>
      <c r="F35" s="1579" t="s">
        <v>650</v>
      </c>
      <c r="G35" s="1575" t="s">
        <v>327</v>
      </c>
      <c r="H35" s="336"/>
      <c r="I35" s="336"/>
      <c r="J35" s="225" t="s">
        <v>821</v>
      </c>
      <c r="K35" s="478"/>
      <c r="L35" s="1554"/>
      <c r="M35" s="1554"/>
      <c r="R35" s="1554"/>
      <c r="U35" s="479"/>
      <c r="AA35" s="1550"/>
      <c r="AB35" s="1550"/>
      <c r="AC35" s="1550"/>
      <c r="AD35" s="1550"/>
      <c r="AE35" s="1550"/>
      <c r="AF35" s="1078">
        <v>34</v>
      </c>
    </row>
    <row r="36" spans="1:32" s="4139" customFormat="1" ht="35.65" customHeight="1">
      <c r="A36" s="910"/>
      <c r="C36" s="1554"/>
      <c r="D36" s="1556"/>
      <c r="E36" s="1582" t="s">
        <v>96</v>
      </c>
      <c r="F36" s="1579" t="s">
        <v>822</v>
      </c>
      <c r="G36" s="1572" t="s">
        <v>789</v>
      </c>
      <c r="H36" s="480"/>
      <c r="I36" s="480"/>
      <c r="J36" s="225" t="s">
        <v>790</v>
      </c>
      <c r="K36" s="478"/>
      <c r="L36" s="1554"/>
      <c r="M36" s="1554"/>
      <c r="R36" s="1554"/>
      <c r="U36" s="479"/>
      <c r="AA36" s="1550"/>
      <c r="AB36" s="1550"/>
      <c r="AC36" s="1550"/>
      <c r="AD36" s="1550"/>
      <c r="AE36" s="1550"/>
      <c r="AF36" s="1078">
        <v>34</v>
      </c>
    </row>
    <row r="37" spans="1:32" s="4139" customFormat="1" ht="24" customHeight="1">
      <c r="A37" s="910"/>
      <c r="C37" s="1554"/>
      <c r="D37" s="1556"/>
      <c r="E37" s="1582" t="s">
        <v>97</v>
      </c>
      <c r="F37" s="1579" t="s">
        <v>823</v>
      </c>
      <c r="G37" s="1572" t="s">
        <v>792</v>
      </c>
      <c r="H37" s="480"/>
      <c r="I37" s="480"/>
      <c r="J37" s="225" t="s">
        <v>793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824</v>
      </c>
      <c r="F39" s="4411" t="s">
        <v>825</v>
      </c>
      <c r="G39" s="4411"/>
      <c r="H39" s="304"/>
      <c r="I39" s="304"/>
      <c r="J39" s="304"/>
      <c r="AF39" s="1549">
        <v>26</v>
      </c>
    </row>
    <row r="40" spans="1:32" s="4164" customFormat="1" ht="39.75" customHeight="1">
      <c r="A40" s="910"/>
      <c r="B40" s="1554"/>
      <c r="C40" s="1554"/>
      <c r="D40" s="286"/>
      <c r="F40" s="4411" t="s">
        <v>826</v>
      </c>
      <c r="G40" s="441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4164"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4164"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4164"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4164"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4164"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4164"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4164"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4164"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4164"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4164"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4164"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4164"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4164"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4164"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4164"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4164"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4164"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4164"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4164"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4164"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4164"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4164"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4164"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4164"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4164"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4164"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4164"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4164"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4164"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4164"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4164"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4164"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4164"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4164"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4164"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4164"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4164"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4164"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4164"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4164"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4164"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4164"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4164"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4164"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4164"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4164"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4164"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4164"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4164"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4164"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4164"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4164"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4164"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4164"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4164"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4164"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4164"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4164"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4164"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4164"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4164"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4164"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4164"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4164"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4164"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4164"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4164"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4164"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4164"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4164"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4164"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4164"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4164"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4164"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4164"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4164"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4164"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4164"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4164"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4164"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4164"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4164"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4164"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4164"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4164"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4164"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4164"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4164"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4164"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4164"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4164"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4164"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4164"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4164"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4164"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4164"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4164"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4164"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4164"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4164"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4164"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4164"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4164"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4164"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4164"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4164"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4164"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4164"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4164"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4164"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4164"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4164"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4164"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4164"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4164"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4164"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4164"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4164"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4164"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4164"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4164"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4164"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4164"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4164"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4164"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4164"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4164"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4164"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4164"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4164"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4164"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4164"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4164"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4164"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4164"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4164"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4164"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4164"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4164"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4164"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4164"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4164"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4164"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4164"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4164"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4164"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4164"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4164"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4164"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4164"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4164"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4164"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4164"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4164"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4164"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86</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4205" hidden="1" customWidth="1"/>
    <col min="2" max="2" width="3.5703125" style="4140" hidden="1" customWidth="1"/>
    <col min="3" max="3" width="3" style="4133" customWidth="1"/>
    <col min="4" max="4" width="7" style="4133" customWidth="1"/>
    <col min="5" max="5" width="69" style="4133" customWidth="1"/>
    <col min="6" max="6" width="10" style="4133" customWidth="1"/>
    <col min="7" max="8" width="44" style="4133" hidden="1" customWidth="1"/>
    <col min="9" max="9" width="44" style="4133" customWidth="1"/>
    <col min="10" max="10" width="43" style="4133" customWidth="1"/>
    <col min="11" max="11" width="73" style="4133" customWidth="1"/>
    <col min="12" max="12" width="3" style="4133" customWidth="1"/>
    <col min="13" max="23" width="10" style="4133" customWidth="1"/>
    <col min="24" max="24" width="10.5703125" style="4133" hidden="1"/>
  </cols>
  <sheetData>
    <row r="1" spans="1:24" s="4139" customFormat="1" ht="22.5" hidden="1" customHeight="1">
      <c r="A1" s="471"/>
      <c r="B1" s="446"/>
      <c r="G1" s="352">
        <v>4</v>
      </c>
      <c r="I1" s="352">
        <v>4</v>
      </c>
      <c r="K1" s="352">
        <v>5</v>
      </c>
      <c r="X1" s="352" t="s">
        <v>14</v>
      </c>
    </row>
    <row r="2" spans="1:24" ht="3" customHeight="1">
      <c r="X2" s="440">
        <v>3</v>
      </c>
    </row>
    <row r="3" spans="1:24" ht="78.75" customHeight="1">
      <c r="D3" s="42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268"/>
      <c r="F3" s="4269"/>
      <c r="X3" s="440">
        <v>75</v>
      </c>
    </row>
    <row r="4" spans="1:24" s="4133" customFormat="1" ht="21" customHeight="1">
      <c r="A4" s="875"/>
      <c r="B4" s="446"/>
      <c r="D4" s="4387" t="str">
        <f>IF(org=0,"Не определено",org)</f>
        <v>АО "Мурманэнергосбыт"</v>
      </c>
      <c r="E4" s="4388"/>
      <c r="F4" s="438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120</v>
      </c>
      <c r="J6" s="944"/>
      <c r="X6" s="440">
        <v>1</v>
      </c>
    </row>
    <row r="7" spans="1:24" ht="11.45" customHeight="1">
      <c r="D7" s="646"/>
      <c r="E7" s="4499" t="s">
        <v>109</v>
      </c>
      <c r="F7" s="4500"/>
      <c r="G7" s="4519" t="str">
        <f>IF(G6="","",INDEX(DIFFERENTIATION_UNMERGE_VD,MATCH(G6,DIFFERENTIATION_ID_DIFF,0)))</f>
        <v/>
      </c>
      <c r="H7" s="4520"/>
      <c r="I7" s="4519">
        <f>IF(I6="","",INDEX(DIFFERENTIATION_UNMERGE_VD,MATCH(I6,DIFFERENTIATION_ID_DIFF,0)))</f>
        <v>0</v>
      </c>
      <c r="J7" s="4520"/>
      <c r="K7" s="4345"/>
      <c r="L7" s="444"/>
      <c r="X7" s="440">
        <v>11</v>
      </c>
    </row>
    <row r="8" spans="1:24" ht="11.45" customHeight="1">
      <c r="A8" s="639"/>
      <c r="D8" s="646"/>
      <c r="E8" s="4499" t="s">
        <v>585</v>
      </c>
      <c r="F8" s="4500"/>
      <c r="G8" s="4519" t="str">
        <f>IF(G6="","",INDEX(DIFFERENTIATION_UNMERGE_AREA,MATCH(G6,DIFFERENTIATION_ID_DIFF,0)))</f>
        <v/>
      </c>
      <c r="H8" s="4520"/>
      <c r="I8" s="4519" t="str">
        <f>IF(I6="","",INDEX(DIFFERENTIATION_UNMERGE_AREA,MATCH(I6,DIFFERENTIATION_ID_DIFF,0)))</f>
        <v/>
      </c>
      <c r="J8" s="4520"/>
      <c r="K8" s="4350"/>
      <c r="L8" s="444"/>
      <c r="X8" s="440">
        <v>11</v>
      </c>
    </row>
    <row r="9" spans="1:24" ht="11.45" customHeight="1">
      <c r="A9" s="639"/>
      <c r="D9" s="646"/>
      <c r="E9" s="4499" t="s">
        <v>586</v>
      </c>
      <c r="F9" s="4500"/>
      <c r="G9" s="4519" t="str">
        <f>IF(G6="","",INDEX(DIFFERENTIATION_UNMERGE_SYSTEM,MATCH(G6,DIFFERENTIATION_ID_DIFF,0)))</f>
        <v/>
      </c>
      <c r="H9" s="4520"/>
      <c r="I9" s="4519" t="str">
        <f>IF(I6="","",INDEX(DIFFERENTIATION_UNMERGE_SYSTEM,MATCH(I6,DIFFERENTIATION_ID_DIFF,0)))</f>
        <v>без дифференциации</v>
      </c>
      <c r="J9" s="4520"/>
      <c r="K9" s="4350"/>
      <c r="L9" s="444"/>
      <c r="X9" s="440">
        <v>11</v>
      </c>
    </row>
    <row r="10" spans="1:24" s="4133" customFormat="1" ht="11.45" customHeight="1">
      <c r="A10" s="943"/>
      <c r="B10" s="446"/>
      <c r="D10" s="4256" t="s">
        <v>321</v>
      </c>
      <c r="E10" s="4261"/>
      <c r="F10" s="4261"/>
      <c r="G10" s="4261"/>
      <c r="H10" s="4261"/>
      <c r="I10" s="4261"/>
      <c r="J10" s="4255"/>
      <c r="K10" s="4350"/>
      <c r="L10" s="444"/>
      <c r="X10" s="691">
        <v>11</v>
      </c>
    </row>
    <row r="11" spans="1:24" s="4133" customFormat="1" ht="24" customHeight="1">
      <c r="A11" s="4411"/>
      <c r="B11" s="4411"/>
      <c r="C11" s="592"/>
      <c r="D11" s="638" t="s">
        <v>92</v>
      </c>
      <c r="E11" s="640" t="s">
        <v>827</v>
      </c>
      <c r="F11" s="640" t="s">
        <v>587</v>
      </c>
      <c r="G11" s="400" t="s">
        <v>324</v>
      </c>
      <c r="H11" s="400" t="s">
        <v>411</v>
      </c>
      <c r="I11" s="736" t="s">
        <v>324</v>
      </c>
      <c r="J11" s="737" t="s">
        <v>411</v>
      </c>
      <c r="K11" s="4398"/>
      <c r="L11" s="593"/>
      <c r="X11" s="444">
        <v>23</v>
      </c>
    </row>
    <row r="12" spans="1:24" s="4140" customFormat="1" ht="10.5" customHeight="1">
      <c r="A12" s="876"/>
      <c r="D12" s="947" t="s">
        <v>113</v>
      </c>
      <c r="E12" s="947" t="s">
        <v>114</v>
      </c>
      <c r="F12" s="947" t="s">
        <v>94</v>
      </c>
      <c r="G12" s="948" t="str">
        <f>G1&amp;".1"</f>
        <v>4.1</v>
      </c>
      <c r="H12" s="948" t="str">
        <f>G1&amp;".2"</f>
        <v>4.2</v>
      </c>
      <c r="I12" s="948" t="str">
        <f>I1&amp;".1"</f>
        <v>4.1</v>
      </c>
      <c r="J12" s="948" t="str">
        <f>I1&amp;".2"</f>
        <v>4.2</v>
      </c>
      <c r="K12" s="948"/>
      <c r="X12" s="446">
        <v>10</v>
      </c>
    </row>
    <row r="13" spans="1:24" ht="22.5" customHeight="1">
      <c r="A13" s="4521" t="s">
        <v>828</v>
      </c>
      <c r="D13" s="877" t="s">
        <v>113</v>
      </c>
      <c r="E13" s="215" t="s">
        <v>829</v>
      </c>
      <c r="F13" s="595" t="s">
        <v>830</v>
      </c>
      <c r="G13" s="492"/>
      <c r="H13" s="596"/>
      <c r="I13" s="492"/>
      <c r="J13" s="596"/>
      <c r="K13" s="225" t="s">
        <v>831</v>
      </c>
      <c r="L13" s="655"/>
      <c r="X13" s="440">
        <v>0</v>
      </c>
    </row>
    <row r="14" spans="1:24" ht="22.5" customHeight="1">
      <c r="A14" s="4521"/>
      <c r="D14" s="474" t="s">
        <v>114</v>
      </c>
      <c r="E14" s="215" t="s">
        <v>832</v>
      </c>
      <c r="F14" s="595" t="s">
        <v>833</v>
      </c>
      <c r="G14" s="492"/>
      <c r="H14" s="597"/>
      <c r="I14" s="492"/>
      <c r="J14" s="597"/>
      <c r="K14" s="225" t="s">
        <v>834</v>
      </c>
      <c r="L14" s="655"/>
      <c r="X14" s="440">
        <v>0</v>
      </c>
    </row>
    <row r="15" spans="1:24" s="4133" customFormat="1" ht="78.75" customHeight="1">
      <c r="A15" s="4521"/>
      <c r="B15" s="446"/>
      <c r="D15" s="877" t="s">
        <v>94</v>
      </c>
      <c r="E15" s="642" t="s">
        <v>835</v>
      </c>
      <c r="F15" s="874" t="s">
        <v>327</v>
      </c>
      <c r="G15" s="874" t="s">
        <v>327</v>
      </c>
      <c r="H15" s="46"/>
      <c r="I15" s="874" t="s">
        <v>327</v>
      </c>
      <c r="J15" s="46"/>
      <c r="K15" s="225" t="s">
        <v>836</v>
      </c>
      <c r="L15" s="655"/>
      <c r="X15" s="691">
        <v>0</v>
      </c>
    </row>
    <row r="16" spans="1:24" s="4133" customFormat="1" ht="22.5" customHeight="1">
      <c r="A16" s="4521"/>
      <c r="B16" s="446"/>
      <c r="D16" s="877" t="s">
        <v>345</v>
      </c>
      <c r="E16" s="878" t="s">
        <v>837</v>
      </c>
      <c r="F16" s="874" t="s">
        <v>838</v>
      </c>
      <c r="G16" s="746"/>
      <c r="H16" s="46"/>
      <c r="I16" s="746"/>
      <c r="J16" s="46"/>
      <c r="K16" s="225"/>
      <c r="L16" s="655"/>
      <c r="X16" s="691">
        <v>0</v>
      </c>
    </row>
    <row r="17" spans="1:24" s="4133" customFormat="1" ht="22.5" customHeight="1">
      <c r="A17" s="4521"/>
      <c r="B17" s="446"/>
      <c r="D17" s="877" t="s">
        <v>353</v>
      </c>
      <c r="E17" s="878" t="s">
        <v>839</v>
      </c>
      <c r="F17" s="874" t="s">
        <v>840</v>
      </c>
      <c r="G17" s="746"/>
      <c r="H17" s="46"/>
      <c r="I17" s="746"/>
      <c r="J17" s="46"/>
      <c r="K17" s="225"/>
      <c r="L17" s="655"/>
      <c r="X17" s="691">
        <v>0</v>
      </c>
    </row>
    <row r="18" spans="1:24" s="4133" customFormat="1" ht="33.75" customHeight="1">
      <c r="A18" s="4521"/>
      <c r="B18" s="446"/>
      <c r="D18" s="877" t="s">
        <v>355</v>
      </c>
      <c r="E18" s="878" t="s">
        <v>841</v>
      </c>
      <c r="F18" s="874" t="s">
        <v>592</v>
      </c>
      <c r="G18" s="615"/>
      <c r="H18" s="46"/>
      <c r="I18" s="615"/>
      <c r="J18" s="46"/>
      <c r="K18" s="225"/>
      <c r="L18" s="655"/>
      <c r="X18" s="691">
        <v>0</v>
      </c>
    </row>
    <row r="19" spans="1:24" ht="101.25" customHeight="1">
      <c r="A19" s="4521"/>
      <c r="D19" s="877" t="s">
        <v>95</v>
      </c>
      <c r="E19" s="215" t="s">
        <v>842</v>
      </c>
      <c r="F19" s="595" t="s">
        <v>567</v>
      </c>
      <c r="G19" s="598"/>
      <c r="H19" s="597"/>
      <c r="I19" s="879"/>
      <c r="J19" s="597"/>
      <c r="K19" s="225" t="s">
        <v>843</v>
      </c>
      <c r="L19" s="655"/>
      <c r="X19" s="440">
        <v>0</v>
      </c>
    </row>
    <row r="20" spans="1:24" s="4133" customFormat="1" ht="18.75" customHeight="1">
      <c r="A20" s="4521"/>
      <c r="C20" s="880"/>
      <c r="D20" s="877" t="s">
        <v>774</v>
      </c>
      <c r="E20" s="878" t="s">
        <v>844</v>
      </c>
      <c r="F20" s="874" t="s">
        <v>327</v>
      </c>
      <c r="G20" s="874" t="s">
        <v>327</v>
      </c>
      <c r="H20" s="873" t="s">
        <v>327</v>
      </c>
      <c r="I20" s="874" t="s">
        <v>327</v>
      </c>
      <c r="J20" s="873" t="s">
        <v>327</v>
      </c>
      <c r="K20" s="872"/>
      <c r="L20" s="655"/>
      <c r="W20" s="610"/>
      <c r="X20" s="691">
        <v>0</v>
      </c>
    </row>
    <row r="21" spans="1:24" s="4133" customFormat="1" ht="33.75" customHeight="1">
      <c r="A21" s="4521"/>
      <c r="C21" s="880"/>
      <c r="D21" s="877" t="s">
        <v>777</v>
      </c>
      <c r="E21" s="511" t="s">
        <v>845</v>
      </c>
      <c r="F21" s="874" t="s">
        <v>846</v>
      </c>
      <c r="G21" s="615"/>
      <c r="H21" s="46"/>
      <c r="I21" s="615"/>
      <c r="J21" s="46"/>
      <c r="K21" s="872"/>
      <c r="L21" s="655"/>
      <c r="W21" s="610"/>
      <c r="X21" s="691">
        <v>0</v>
      </c>
    </row>
    <row r="22" spans="1:24" s="4133" customFormat="1" ht="33.75" customHeight="1">
      <c r="A22" s="4521"/>
      <c r="C22" s="880"/>
      <c r="D22" s="877" t="s">
        <v>780</v>
      </c>
      <c r="E22" s="511" t="s">
        <v>847</v>
      </c>
      <c r="F22" s="874" t="s">
        <v>848</v>
      </c>
      <c r="G22" s="615"/>
      <c r="H22" s="46"/>
      <c r="I22" s="615"/>
      <c r="J22" s="46"/>
      <c r="K22" s="872"/>
      <c r="L22" s="655"/>
      <c r="W22" s="610"/>
      <c r="X22" s="691">
        <v>0</v>
      </c>
    </row>
    <row r="23" spans="1:24" s="4133" customFormat="1" ht="22.5" customHeight="1">
      <c r="A23" s="4521"/>
      <c r="C23" s="880"/>
      <c r="D23" s="877" t="s">
        <v>816</v>
      </c>
      <c r="E23" s="878" t="s">
        <v>849</v>
      </c>
      <c r="F23" s="874" t="s">
        <v>327</v>
      </c>
      <c r="G23" s="874" t="s">
        <v>327</v>
      </c>
      <c r="H23" s="873" t="s">
        <v>327</v>
      </c>
      <c r="I23" s="874" t="s">
        <v>327</v>
      </c>
      <c r="J23" s="873" t="s">
        <v>327</v>
      </c>
      <c r="K23" s="872"/>
      <c r="L23" s="655"/>
      <c r="W23" s="610"/>
      <c r="X23" s="691">
        <v>0</v>
      </c>
    </row>
    <row r="24" spans="1:24" s="4133" customFormat="1" ht="22.5" customHeight="1">
      <c r="A24" s="4521"/>
      <c r="C24" s="880"/>
      <c r="D24" s="877" t="s">
        <v>850</v>
      </c>
      <c r="E24" s="511" t="s">
        <v>851</v>
      </c>
      <c r="F24" s="874" t="s">
        <v>852</v>
      </c>
      <c r="G24" s="615"/>
      <c r="H24" s="621"/>
      <c r="I24" s="615"/>
      <c r="J24" s="621"/>
      <c r="K24" s="872"/>
      <c r="L24" s="655"/>
      <c r="W24" s="610"/>
      <c r="X24" s="691">
        <v>0</v>
      </c>
    </row>
    <row r="25" spans="1:24" s="4133" customFormat="1" ht="22.5" customHeight="1">
      <c r="A25" s="4521"/>
      <c r="C25" s="880"/>
      <c r="D25" s="877" t="s">
        <v>853</v>
      </c>
      <c r="E25" s="511" t="s">
        <v>854</v>
      </c>
      <c r="F25" s="874" t="s">
        <v>327</v>
      </c>
      <c r="G25" s="874" t="s">
        <v>327</v>
      </c>
      <c r="H25" s="873" t="s">
        <v>327</v>
      </c>
      <c r="I25" s="874" t="s">
        <v>327</v>
      </c>
      <c r="J25" s="873" t="s">
        <v>327</v>
      </c>
      <c r="K25" s="872"/>
      <c r="L25" s="655"/>
      <c r="W25" s="610"/>
      <c r="X25" s="691">
        <v>0</v>
      </c>
    </row>
    <row r="26" spans="1:24" s="4133" customFormat="1" ht="18.75" customHeight="1">
      <c r="A26" s="4521"/>
      <c r="C26" s="880"/>
      <c r="D26" s="877" t="s">
        <v>855</v>
      </c>
      <c r="E26" s="488" t="s">
        <v>856</v>
      </c>
      <c r="F26" s="874" t="s">
        <v>857</v>
      </c>
      <c r="G26" s="615"/>
      <c r="H26" s="621"/>
      <c r="I26" s="615"/>
      <c r="J26" s="621"/>
      <c r="K26" s="872"/>
      <c r="L26" s="655"/>
      <c r="W26" s="610"/>
      <c r="X26" s="691">
        <v>0</v>
      </c>
    </row>
    <row r="27" spans="1:24" s="4133" customFormat="1" ht="18.75" customHeight="1">
      <c r="A27" s="4521"/>
      <c r="C27" s="880"/>
      <c r="D27" s="877" t="s">
        <v>858</v>
      </c>
      <c r="E27" s="488" t="s">
        <v>859</v>
      </c>
      <c r="F27" s="874" t="s">
        <v>860</v>
      </c>
      <c r="G27" s="615"/>
      <c r="H27" s="621"/>
      <c r="I27" s="615"/>
      <c r="J27" s="621"/>
      <c r="K27" s="872"/>
      <c r="L27" s="655"/>
      <c r="W27" s="610"/>
      <c r="X27" s="691">
        <v>0</v>
      </c>
    </row>
    <row r="28" spans="1:24" s="4133" customFormat="1" ht="18.75" customHeight="1">
      <c r="A28" s="4521"/>
      <c r="C28" s="880"/>
      <c r="D28" s="877" t="s">
        <v>861</v>
      </c>
      <c r="E28" s="511" t="s">
        <v>862</v>
      </c>
      <c r="F28" s="874" t="s">
        <v>327</v>
      </c>
      <c r="G28" s="874" t="s">
        <v>327</v>
      </c>
      <c r="H28" s="873" t="s">
        <v>327</v>
      </c>
      <c r="I28" s="874" t="s">
        <v>327</v>
      </c>
      <c r="J28" s="873" t="s">
        <v>327</v>
      </c>
      <c r="K28" s="872"/>
      <c r="L28" s="655"/>
      <c r="W28" s="610"/>
      <c r="X28" s="691">
        <v>0</v>
      </c>
    </row>
    <row r="29" spans="1:24" s="4133" customFormat="1" ht="18.75" customHeight="1">
      <c r="A29" s="4521"/>
      <c r="C29" s="880"/>
      <c r="D29" s="877" t="s">
        <v>863</v>
      </c>
      <c r="E29" s="488" t="s">
        <v>856</v>
      </c>
      <c r="F29" s="874" t="s">
        <v>864</v>
      </c>
      <c r="G29" s="615"/>
      <c r="H29" s="621"/>
      <c r="I29" s="615"/>
      <c r="J29" s="621"/>
      <c r="K29" s="872"/>
      <c r="L29" s="655"/>
      <c r="W29" s="610"/>
      <c r="X29" s="691">
        <v>0</v>
      </c>
    </row>
    <row r="30" spans="1:24" s="4133" customFormat="1" ht="18.75" customHeight="1">
      <c r="A30" s="4521"/>
      <c r="C30" s="880"/>
      <c r="D30" s="877" t="s">
        <v>865</v>
      </c>
      <c r="E30" s="488" t="s">
        <v>866</v>
      </c>
      <c r="F30" s="874" t="s">
        <v>867</v>
      </c>
      <c r="G30" s="615"/>
      <c r="H30" s="621"/>
      <c r="I30" s="615"/>
      <c r="J30" s="621"/>
      <c r="K30" s="872"/>
      <c r="L30" s="655"/>
      <c r="W30" s="610"/>
      <c r="X30" s="691">
        <v>0</v>
      </c>
    </row>
    <row r="31" spans="1:24" ht="126.75" customHeight="1">
      <c r="A31" s="4521"/>
      <c r="D31" s="877" t="s">
        <v>103</v>
      </c>
      <c r="E31" s="215" t="s">
        <v>868</v>
      </c>
      <c r="F31" s="595" t="s">
        <v>579</v>
      </c>
      <c r="G31" s="492"/>
      <c r="H31" s="597"/>
      <c r="I31" s="492"/>
      <c r="J31" s="597"/>
      <c r="K31" s="225" t="s">
        <v>869</v>
      </c>
      <c r="L31" s="655"/>
      <c r="X31" s="440">
        <v>0</v>
      </c>
    </row>
    <row r="32" spans="1:24" ht="56.25" customHeight="1">
      <c r="A32" s="4521"/>
      <c r="D32" s="877" t="s">
        <v>96</v>
      </c>
      <c r="E32" s="215" t="s">
        <v>870</v>
      </c>
      <c r="F32" s="474" t="s">
        <v>840</v>
      </c>
      <c r="G32" s="492"/>
      <c r="H32" s="597"/>
      <c r="I32" s="492"/>
      <c r="J32" s="597"/>
      <c r="K32" s="225" t="s">
        <v>871</v>
      </c>
      <c r="L32" s="655"/>
      <c r="X32" s="440">
        <v>0</v>
      </c>
    </row>
    <row r="33" spans="1:24" ht="11.25" customHeight="1">
      <c r="A33" s="4521"/>
      <c r="E33" s="599"/>
      <c r="F33" s="118"/>
      <c r="G33" s="118"/>
      <c r="H33" s="118"/>
      <c r="I33" s="118"/>
      <c r="J33" s="118"/>
      <c r="K33" s="118"/>
      <c r="X33" s="440">
        <v>0</v>
      </c>
    </row>
    <row r="34" spans="1:24" ht="12.75" customHeight="1">
      <c r="A34" s="4521"/>
      <c r="D34" s="5">
        <v>1</v>
      </c>
      <c r="E34" s="271" t="s">
        <v>872</v>
      </c>
      <c r="X34" s="440">
        <v>0</v>
      </c>
    </row>
    <row r="35" spans="1:24" ht="11.25" customHeight="1">
      <c r="A35" s="4521"/>
      <c r="D35" s="304"/>
      <c r="E35" s="271" t="s">
        <v>873</v>
      </c>
      <c r="X35" s="440">
        <v>0</v>
      </c>
    </row>
    <row r="36" spans="1:24" s="4133" customFormat="1" ht="11.45" customHeight="1">
      <c r="A36" s="955"/>
      <c r="B36" s="453"/>
      <c r="D36" s="956"/>
      <c r="E36" s="957"/>
      <c r="X36" s="444">
        <v>11</v>
      </c>
    </row>
    <row r="37" spans="1:24" s="4133" customFormat="1" ht="22.5" hidden="1" customHeight="1">
      <c r="A37" s="4521" t="s">
        <v>874</v>
      </c>
      <c r="B37" s="446"/>
      <c r="D37" s="877">
        <v>1</v>
      </c>
      <c r="E37" s="642" t="s">
        <v>875</v>
      </c>
      <c r="F37" s="595" t="s">
        <v>830</v>
      </c>
      <c r="G37" s="492"/>
      <c r="H37" s="454"/>
      <c r="I37" s="492"/>
      <c r="J37" s="454"/>
      <c r="K37" s="225" t="s">
        <v>876</v>
      </c>
      <c r="X37" s="691">
        <v>0</v>
      </c>
    </row>
    <row r="38" spans="1:24" s="4133" customFormat="1" ht="22.5" hidden="1" customHeight="1">
      <c r="A38" s="4521"/>
      <c r="B38" s="446"/>
      <c r="D38" s="604" t="s">
        <v>114</v>
      </c>
      <c r="E38" s="954" t="s">
        <v>877</v>
      </c>
      <c r="F38" s="958" t="s">
        <v>567</v>
      </c>
      <c r="G38" s="958" t="s">
        <v>567</v>
      </c>
      <c r="H38" s="952"/>
      <c r="I38" s="958" t="s">
        <v>567</v>
      </c>
      <c r="J38" s="952"/>
      <c r="K38" s="953"/>
      <c r="X38" s="691">
        <v>0</v>
      </c>
    </row>
    <row r="39" spans="1:24" s="4133" customFormat="1" ht="33.75" hidden="1" customHeight="1">
      <c r="A39" s="4521"/>
      <c r="B39" s="446"/>
      <c r="D39" s="600" t="s">
        <v>732</v>
      </c>
      <c r="E39" s="658" t="s">
        <v>878</v>
      </c>
      <c r="F39" s="595" t="s">
        <v>879</v>
      </c>
      <c r="G39" s="603"/>
      <c r="H39" s="945"/>
      <c r="I39" s="603"/>
      <c r="J39" s="945"/>
      <c r="K39" s="225" t="s">
        <v>880</v>
      </c>
      <c r="X39" s="691">
        <v>0</v>
      </c>
    </row>
    <row r="40" spans="1:24" s="4133" customFormat="1" ht="33.75" hidden="1" customHeight="1">
      <c r="A40" s="4521"/>
      <c r="B40" s="446"/>
      <c r="D40" s="600" t="s">
        <v>735</v>
      </c>
      <c r="E40" s="658" t="s">
        <v>881</v>
      </c>
      <c r="F40" s="949" t="s">
        <v>882</v>
      </c>
      <c r="G40" s="676"/>
      <c r="H40" s="945"/>
      <c r="I40" s="676"/>
      <c r="J40" s="945"/>
      <c r="K40" s="225" t="s">
        <v>883</v>
      </c>
      <c r="X40" s="691">
        <v>0</v>
      </c>
    </row>
    <row r="41" spans="1:24" s="4133" customFormat="1" ht="22.5" hidden="1" customHeight="1">
      <c r="A41" s="4521"/>
      <c r="B41" s="446"/>
      <c r="D41" s="600" t="s">
        <v>94</v>
      </c>
      <c r="E41" s="657" t="s">
        <v>884</v>
      </c>
      <c r="F41" s="595" t="s">
        <v>567</v>
      </c>
      <c r="G41" s="595" t="s">
        <v>567</v>
      </c>
      <c r="H41" s="946"/>
      <c r="I41" s="595" t="s">
        <v>567</v>
      </c>
      <c r="J41" s="946"/>
      <c r="K41" s="238"/>
      <c r="X41" s="691">
        <v>0</v>
      </c>
    </row>
    <row r="42" spans="1:24" s="4133" customFormat="1" ht="45" hidden="1" customHeight="1">
      <c r="A42" s="4521"/>
      <c r="B42" s="446"/>
      <c r="D42" s="600" t="s">
        <v>345</v>
      </c>
      <c r="E42" s="658" t="s">
        <v>885</v>
      </c>
      <c r="F42" s="595" t="s">
        <v>579</v>
      </c>
      <c r="G42" s="492"/>
      <c r="H42" s="946"/>
      <c r="I42" s="492"/>
      <c r="J42" s="946"/>
      <c r="K42" s="238" t="s">
        <v>886</v>
      </c>
      <c r="X42" s="691">
        <v>0</v>
      </c>
    </row>
    <row r="43" spans="1:24" s="4133" customFormat="1" ht="45" hidden="1" customHeight="1">
      <c r="A43" s="4521"/>
      <c r="B43" s="446"/>
      <c r="D43" s="600" t="s">
        <v>353</v>
      </c>
      <c r="E43" s="602" t="s">
        <v>887</v>
      </c>
      <c r="F43" s="950" t="s">
        <v>579</v>
      </c>
      <c r="G43" s="677"/>
      <c r="H43" s="945"/>
      <c r="I43" s="677"/>
      <c r="J43" s="945"/>
      <c r="K43" s="238" t="s">
        <v>888</v>
      </c>
      <c r="X43" s="691">
        <v>0</v>
      </c>
    </row>
    <row r="44" spans="1:24" s="4133" customFormat="1" ht="11.25" hidden="1" customHeight="1">
      <c r="A44" s="4521"/>
      <c r="B44" s="446"/>
      <c r="D44" s="600" t="s">
        <v>95</v>
      </c>
      <c r="E44" s="601" t="s">
        <v>889</v>
      </c>
      <c r="F44" s="595" t="s">
        <v>879</v>
      </c>
      <c r="G44" s="603"/>
      <c r="H44" s="945"/>
      <c r="I44" s="603"/>
      <c r="J44" s="945"/>
      <c r="K44" s="225"/>
      <c r="X44" s="691">
        <v>0</v>
      </c>
    </row>
    <row r="45" spans="1:24" s="4133" customFormat="1" ht="11.25" hidden="1" customHeight="1">
      <c r="A45" s="4521"/>
      <c r="B45" s="446"/>
      <c r="D45" s="600" t="s">
        <v>774</v>
      </c>
      <c r="E45" s="602" t="s">
        <v>890</v>
      </c>
      <c r="F45" s="595" t="s">
        <v>879</v>
      </c>
      <c r="G45" s="603"/>
      <c r="H45" s="945"/>
      <c r="I45" s="603"/>
      <c r="J45" s="945"/>
      <c r="K45" s="225"/>
      <c r="X45" s="691">
        <v>0</v>
      </c>
    </row>
    <row r="46" spans="1:24" s="4133" customFormat="1" ht="11.25" hidden="1" customHeight="1">
      <c r="A46" s="4521"/>
      <c r="B46" s="446"/>
      <c r="D46" s="600" t="s">
        <v>816</v>
      </c>
      <c r="E46" s="602" t="s">
        <v>891</v>
      </c>
      <c r="F46" s="595" t="s">
        <v>879</v>
      </c>
      <c r="G46" s="603"/>
      <c r="H46" s="945"/>
      <c r="I46" s="603"/>
      <c r="J46" s="945"/>
      <c r="K46" s="225"/>
      <c r="X46" s="691">
        <v>0</v>
      </c>
    </row>
    <row r="47" spans="1:24" s="4133" customFormat="1" ht="11.25" hidden="1" customHeight="1">
      <c r="A47" s="4521"/>
      <c r="B47" s="446"/>
      <c r="D47" s="600" t="s">
        <v>819</v>
      </c>
      <c r="E47" s="602" t="s">
        <v>892</v>
      </c>
      <c r="F47" s="595" t="s">
        <v>879</v>
      </c>
      <c r="G47" s="603"/>
      <c r="H47" s="945"/>
      <c r="I47" s="603"/>
      <c r="J47" s="945"/>
      <c r="K47" s="225"/>
      <c r="X47" s="691">
        <v>0</v>
      </c>
    </row>
    <row r="48" spans="1:24" s="4133" customFormat="1" ht="11.25" hidden="1" customHeight="1">
      <c r="A48" s="4521"/>
      <c r="B48" s="446"/>
      <c r="D48" s="600" t="s">
        <v>893</v>
      </c>
      <c r="E48" s="606" t="s">
        <v>894</v>
      </c>
      <c r="F48" s="595" t="s">
        <v>879</v>
      </c>
      <c r="G48" s="603"/>
      <c r="H48" s="945"/>
      <c r="I48" s="603"/>
      <c r="J48" s="945"/>
      <c r="K48" s="225"/>
      <c r="X48" s="691">
        <v>0</v>
      </c>
    </row>
    <row r="49" spans="1:24" s="4133" customFormat="1" ht="11.25" hidden="1" customHeight="1">
      <c r="A49" s="4521"/>
      <c r="B49" s="446"/>
      <c r="D49" s="600" t="s">
        <v>895</v>
      </c>
      <c r="E49" s="606" t="s">
        <v>896</v>
      </c>
      <c r="F49" s="595" t="s">
        <v>879</v>
      </c>
      <c r="G49" s="603"/>
      <c r="H49" s="945"/>
      <c r="I49" s="603"/>
      <c r="J49" s="945"/>
      <c r="K49" s="225"/>
      <c r="X49" s="691">
        <v>0</v>
      </c>
    </row>
    <row r="50" spans="1:24" s="4133" customFormat="1" ht="11.25" hidden="1" customHeight="1">
      <c r="A50" s="4521"/>
      <c r="B50" s="446"/>
      <c r="D50" s="600" t="s">
        <v>897</v>
      </c>
      <c r="E50" s="602" t="s">
        <v>898</v>
      </c>
      <c r="F50" s="595" t="s">
        <v>879</v>
      </c>
      <c r="G50" s="603"/>
      <c r="H50" s="945"/>
      <c r="I50" s="603"/>
      <c r="J50" s="945"/>
      <c r="K50" s="225"/>
      <c r="X50" s="691">
        <v>0</v>
      </c>
    </row>
    <row r="51" spans="1:24" s="4133" customFormat="1" ht="11.25" hidden="1" customHeight="1">
      <c r="A51" s="4521"/>
      <c r="B51" s="446"/>
      <c r="D51" s="600" t="s">
        <v>899</v>
      </c>
      <c r="E51" s="602" t="s">
        <v>900</v>
      </c>
      <c r="F51" s="595" t="s">
        <v>879</v>
      </c>
      <c r="G51" s="603"/>
      <c r="H51" s="945"/>
      <c r="I51" s="603"/>
      <c r="J51" s="945"/>
      <c r="K51" s="225"/>
      <c r="X51" s="691">
        <v>0</v>
      </c>
    </row>
    <row r="52" spans="1:24" s="4133" customFormat="1" ht="45" hidden="1" customHeight="1">
      <c r="A52" s="4521"/>
      <c r="B52" s="446"/>
      <c r="D52" s="600" t="s">
        <v>103</v>
      </c>
      <c r="E52" s="601" t="s">
        <v>901</v>
      </c>
      <c r="F52" s="595" t="s">
        <v>879</v>
      </c>
      <c r="G52" s="603"/>
      <c r="H52" s="945"/>
      <c r="I52" s="603"/>
      <c r="J52" s="945"/>
      <c r="K52" s="225"/>
      <c r="X52" s="691">
        <v>0</v>
      </c>
    </row>
    <row r="53" spans="1:24" s="4133" customFormat="1" ht="11.25" hidden="1" customHeight="1">
      <c r="A53" s="4521"/>
      <c r="B53" s="446"/>
      <c r="D53" s="600" t="s">
        <v>334</v>
      </c>
      <c r="E53" s="602" t="s">
        <v>890</v>
      </c>
      <c r="F53" s="595" t="s">
        <v>879</v>
      </c>
      <c r="G53" s="603"/>
      <c r="H53" s="945"/>
      <c r="I53" s="603"/>
      <c r="J53" s="945"/>
      <c r="K53" s="225"/>
      <c r="X53" s="691">
        <v>0</v>
      </c>
    </row>
    <row r="54" spans="1:24" s="4133" customFormat="1" ht="11.25" hidden="1" customHeight="1">
      <c r="A54" s="4521"/>
      <c r="B54" s="446"/>
      <c r="D54" s="600" t="s">
        <v>902</v>
      </c>
      <c r="E54" s="602" t="s">
        <v>891</v>
      </c>
      <c r="F54" s="595" t="s">
        <v>879</v>
      </c>
      <c r="G54" s="603"/>
      <c r="H54" s="945"/>
      <c r="I54" s="603"/>
      <c r="J54" s="945"/>
      <c r="K54" s="225"/>
      <c r="X54" s="691">
        <v>0</v>
      </c>
    </row>
    <row r="55" spans="1:24" s="4133" customFormat="1" ht="11.25" hidden="1" customHeight="1">
      <c r="A55" s="4521"/>
      <c r="B55" s="446"/>
      <c r="D55" s="600" t="s">
        <v>903</v>
      </c>
      <c r="E55" s="602" t="s">
        <v>892</v>
      </c>
      <c r="F55" s="595" t="s">
        <v>879</v>
      </c>
      <c r="G55" s="603"/>
      <c r="H55" s="945"/>
      <c r="I55" s="603"/>
      <c r="J55" s="945"/>
      <c r="K55" s="225"/>
      <c r="X55" s="691">
        <v>0</v>
      </c>
    </row>
    <row r="56" spans="1:24" s="4133" customFormat="1" ht="11.25" hidden="1" customHeight="1">
      <c r="A56" s="4521"/>
      <c r="B56" s="446"/>
      <c r="D56" s="600" t="s">
        <v>904</v>
      </c>
      <c r="E56" s="606" t="s">
        <v>894</v>
      </c>
      <c r="F56" s="595" t="s">
        <v>879</v>
      </c>
      <c r="G56" s="603"/>
      <c r="H56" s="945"/>
      <c r="I56" s="603"/>
      <c r="J56" s="945"/>
      <c r="K56" s="225"/>
      <c r="X56" s="691">
        <v>0</v>
      </c>
    </row>
    <row r="57" spans="1:24" s="4133" customFormat="1" ht="11.25" hidden="1" customHeight="1">
      <c r="A57" s="4521"/>
      <c r="B57" s="446"/>
      <c r="D57" s="600" t="s">
        <v>905</v>
      </c>
      <c r="E57" s="606" t="s">
        <v>896</v>
      </c>
      <c r="F57" s="595" t="s">
        <v>879</v>
      </c>
      <c r="G57" s="603"/>
      <c r="H57" s="945"/>
      <c r="I57" s="603"/>
      <c r="J57" s="945"/>
      <c r="K57" s="225"/>
      <c r="X57" s="691">
        <v>0</v>
      </c>
    </row>
    <row r="58" spans="1:24" s="4133" customFormat="1" ht="11.25" hidden="1" customHeight="1">
      <c r="A58" s="4521"/>
      <c r="B58" s="446"/>
      <c r="D58" s="600" t="s">
        <v>906</v>
      </c>
      <c r="E58" s="602" t="s">
        <v>898</v>
      </c>
      <c r="F58" s="595" t="s">
        <v>879</v>
      </c>
      <c r="G58" s="603"/>
      <c r="H58" s="945"/>
      <c r="I58" s="603"/>
      <c r="J58" s="945"/>
      <c r="K58" s="225"/>
      <c r="X58" s="691">
        <v>0</v>
      </c>
    </row>
    <row r="59" spans="1:24" s="4133" customFormat="1" ht="11.25" hidden="1" customHeight="1">
      <c r="A59" s="4521"/>
      <c r="B59" s="446"/>
      <c r="D59" s="600" t="s">
        <v>907</v>
      </c>
      <c r="E59" s="602" t="s">
        <v>900</v>
      </c>
      <c r="F59" s="595" t="s">
        <v>879</v>
      </c>
      <c r="G59" s="603"/>
      <c r="H59" s="945"/>
      <c r="I59" s="603"/>
      <c r="J59" s="945"/>
      <c r="K59" s="225"/>
      <c r="X59" s="691">
        <v>0</v>
      </c>
    </row>
    <row r="60" spans="1:24" s="4133" customFormat="1" ht="33.75" hidden="1" customHeight="1">
      <c r="A60" s="4521"/>
      <c r="B60" s="446"/>
      <c r="D60" s="600" t="s">
        <v>96</v>
      </c>
      <c r="E60" s="601" t="s">
        <v>908</v>
      </c>
      <c r="F60" s="656" t="s">
        <v>579</v>
      </c>
      <c r="G60" s="677"/>
      <c r="H60" s="945"/>
      <c r="I60" s="677"/>
      <c r="J60" s="945"/>
      <c r="K60" s="238" t="s">
        <v>909</v>
      </c>
      <c r="X60" s="691">
        <v>0</v>
      </c>
    </row>
    <row r="61" spans="1:24" s="4133" customFormat="1" ht="33.75" hidden="1" customHeight="1">
      <c r="A61" s="4521"/>
      <c r="B61" s="446"/>
      <c r="D61" s="600" t="s">
        <v>97</v>
      </c>
      <c r="E61" s="601" t="s">
        <v>910</v>
      </c>
      <c r="F61" s="661" t="s">
        <v>840</v>
      </c>
      <c r="G61" s="603"/>
      <c r="H61" s="945"/>
      <c r="I61" s="603"/>
      <c r="J61" s="945"/>
      <c r="K61" s="225"/>
      <c r="X61" s="691">
        <v>0</v>
      </c>
    </row>
    <row r="62" spans="1:24" s="4133" customFormat="1" ht="22.5" hidden="1" customHeight="1">
      <c r="A62" s="4521"/>
      <c r="B62" s="446" t="s">
        <v>609</v>
      </c>
      <c r="D62" s="600" t="s">
        <v>115</v>
      </c>
      <c r="E62" s="601" t="s">
        <v>911</v>
      </c>
      <c r="F62" s="661" t="s">
        <v>327</v>
      </c>
      <c r="G62" s="317"/>
      <c r="H62" s="945"/>
      <c r="I62" s="317"/>
      <c r="J62" s="945"/>
      <c r="K62" s="225" t="s">
        <v>652</v>
      </c>
      <c r="X62" s="691">
        <v>0</v>
      </c>
    </row>
    <row r="63" spans="1:24" s="4133" customFormat="1" ht="45" hidden="1" customHeight="1">
      <c r="A63" s="4521"/>
      <c r="B63" s="446" t="s">
        <v>609</v>
      </c>
      <c r="D63" s="600" t="s">
        <v>912</v>
      </c>
      <c r="E63" s="602" t="s">
        <v>913</v>
      </c>
      <c r="F63" s="656" t="s">
        <v>327</v>
      </c>
      <c r="G63" s="317"/>
      <c r="H63" s="945"/>
      <c r="I63" s="317"/>
      <c r="J63" s="945"/>
      <c r="K63" s="225" t="s">
        <v>652</v>
      </c>
      <c r="X63" s="691">
        <v>0</v>
      </c>
    </row>
    <row r="64" spans="1:24" s="4133" customFormat="1" ht="11.45" customHeight="1">
      <c r="A64" s="955"/>
      <c r="B64" s="453"/>
      <c r="D64" s="956"/>
      <c r="E64" s="957"/>
      <c r="X64" s="444">
        <v>11</v>
      </c>
    </row>
    <row r="65" spans="1:24" s="4133" customFormat="1" ht="22.5" hidden="1" customHeight="1">
      <c r="A65" s="4521" t="s">
        <v>914</v>
      </c>
      <c r="B65" s="446"/>
      <c r="D65" s="600">
        <v>1</v>
      </c>
      <c r="E65" s="679" t="s">
        <v>915</v>
      </c>
      <c r="F65" s="675" t="s">
        <v>830</v>
      </c>
      <c r="G65" s="676"/>
      <c r="H65" s="951"/>
      <c r="I65" s="676"/>
      <c r="J65" s="951"/>
      <c r="K65" s="237" t="s">
        <v>916</v>
      </c>
      <c r="X65" s="691">
        <v>0</v>
      </c>
    </row>
    <row r="66" spans="1:24" s="4133" customFormat="1" ht="56.25" hidden="1" customHeight="1">
      <c r="A66" s="4521"/>
      <c r="B66" s="446"/>
      <c r="D66" s="678" t="s">
        <v>114</v>
      </c>
      <c r="E66" s="642" t="s">
        <v>917</v>
      </c>
      <c r="F66" s="595" t="s">
        <v>567</v>
      </c>
      <c r="G66" s="595" t="s">
        <v>567</v>
      </c>
      <c r="H66" s="454"/>
      <c r="I66" s="595" t="s">
        <v>567</v>
      </c>
      <c r="J66" s="454"/>
      <c r="K66" s="225"/>
      <c r="X66" s="691">
        <v>0</v>
      </c>
    </row>
    <row r="67" spans="1:24" s="4133" customFormat="1" ht="33.75" hidden="1" customHeight="1">
      <c r="A67" s="4521"/>
      <c r="B67" s="446"/>
      <c r="D67" s="678" t="s">
        <v>729</v>
      </c>
      <c r="E67" s="878" t="s">
        <v>918</v>
      </c>
      <c r="F67" s="595" t="s">
        <v>882</v>
      </c>
      <c r="G67" s="662"/>
      <c r="H67" s="454"/>
      <c r="I67" s="662"/>
      <c r="J67" s="454"/>
      <c r="K67" s="225"/>
      <c r="X67" s="691">
        <v>0</v>
      </c>
    </row>
    <row r="68" spans="1:24" s="4133" customFormat="1" ht="22.5" hidden="1" customHeight="1">
      <c r="A68" s="4521"/>
      <c r="B68" s="446"/>
      <c r="D68" s="678" t="s">
        <v>328</v>
      </c>
      <c r="E68" s="878" t="s">
        <v>919</v>
      </c>
      <c r="F68" s="595" t="s">
        <v>882</v>
      </c>
      <c r="G68" s="662"/>
      <c r="H68" s="454"/>
      <c r="I68" s="662"/>
      <c r="J68" s="454"/>
      <c r="K68" s="225"/>
      <c r="X68" s="691">
        <v>0</v>
      </c>
    </row>
    <row r="69" spans="1:24" s="4133" customFormat="1" ht="22.5" hidden="1" customHeight="1">
      <c r="A69" s="4521"/>
      <c r="B69" s="446"/>
      <c r="D69" s="678" t="s">
        <v>331</v>
      </c>
      <c r="E69" s="878" t="s">
        <v>920</v>
      </c>
      <c r="F69" s="656" t="s">
        <v>579</v>
      </c>
      <c r="G69" s="677"/>
      <c r="H69" s="454"/>
      <c r="I69" s="677"/>
      <c r="J69" s="454"/>
      <c r="K69" s="225"/>
      <c r="X69" s="691">
        <v>0</v>
      </c>
    </row>
    <row r="70" spans="1:24" s="4133" customFormat="1" ht="22.5" hidden="1" customHeight="1">
      <c r="A70" s="4521"/>
      <c r="B70" s="446"/>
      <c r="D70" s="678" t="s">
        <v>749</v>
      </c>
      <c r="E70" s="878" t="s">
        <v>921</v>
      </c>
      <c r="F70" s="656" t="s">
        <v>579</v>
      </c>
      <c r="G70" s="677"/>
      <c r="H70" s="454"/>
      <c r="I70" s="677"/>
      <c r="J70" s="454"/>
      <c r="K70" s="225"/>
      <c r="X70" s="691">
        <v>0</v>
      </c>
    </row>
    <row r="71" spans="1:24" s="4133" customFormat="1" ht="22.5" hidden="1" customHeight="1">
      <c r="A71" s="4521"/>
      <c r="B71" s="446"/>
      <c r="D71" s="600" t="s">
        <v>94</v>
      </c>
      <c r="E71" s="601" t="s">
        <v>922</v>
      </c>
      <c r="F71" s="595" t="s">
        <v>882</v>
      </c>
      <c r="G71" s="492"/>
      <c r="H71" s="952"/>
      <c r="I71" s="492"/>
      <c r="J71" s="952"/>
      <c r="K71" s="238"/>
      <c r="X71" s="691">
        <v>0</v>
      </c>
    </row>
    <row r="72" spans="1:24" s="4133" customFormat="1" ht="56.25" hidden="1" customHeight="1">
      <c r="A72" s="4521"/>
      <c r="B72" s="446"/>
      <c r="D72" s="600" t="s">
        <v>95</v>
      </c>
      <c r="E72" s="601" t="s">
        <v>923</v>
      </c>
      <c r="F72" s="656" t="s">
        <v>579</v>
      </c>
      <c r="G72" s="677"/>
      <c r="H72" s="945"/>
      <c r="I72" s="677"/>
      <c r="J72" s="945"/>
      <c r="K72" s="238"/>
      <c r="X72" s="691">
        <v>0</v>
      </c>
    </row>
    <row r="73" spans="1:24" s="4133" customFormat="1" ht="33.75" hidden="1" customHeight="1">
      <c r="A73" s="4521"/>
      <c r="B73" s="446"/>
      <c r="D73" s="600" t="s">
        <v>103</v>
      </c>
      <c r="E73" s="601" t="s">
        <v>924</v>
      </c>
      <c r="F73" s="661" t="s">
        <v>840</v>
      </c>
      <c r="G73" s="603"/>
      <c r="H73" s="945"/>
      <c r="I73" s="603"/>
      <c r="J73" s="945"/>
      <c r="K73" s="225"/>
      <c r="X73" s="691">
        <v>0</v>
      </c>
    </row>
    <row r="74" spans="1:24" s="4133" customFormat="1" ht="22.5" hidden="1" customHeight="1">
      <c r="A74" s="4521"/>
      <c r="B74" s="446" t="s">
        <v>609</v>
      </c>
      <c r="D74" s="600" t="s">
        <v>96</v>
      </c>
      <c r="E74" s="601" t="s">
        <v>925</v>
      </c>
      <c r="F74" s="661" t="s">
        <v>327</v>
      </c>
      <c r="G74" s="317"/>
      <c r="H74" s="945"/>
      <c r="I74" s="317"/>
      <c r="J74" s="945"/>
      <c r="K74" s="225" t="s">
        <v>652</v>
      </c>
      <c r="X74" s="691">
        <v>0</v>
      </c>
    </row>
    <row r="75" spans="1:24" s="4133" customFormat="1" ht="45" hidden="1" customHeight="1">
      <c r="A75" s="4521"/>
      <c r="B75" s="446" t="s">
        <v>609</v>
      </c>
      <c r="D75" s="600" t="s">
        <v>673</v>
      </c>
      <c r="E75" s="602" t="s">
        <v>926</v>
      </c>
      <c r="F75" s="656" t="s">
        <v>327</v>
      </c>
      <c r="G75" s="317"/>
      <c r="H75" s="945"/>
      <c r="I75" s="317"/>
      <c r="J75" s="945"/>
      <c r="K75" s="225" t="s">
        <v>652</v>
      </c>
      <c r="X75" s="691">
        <v>0</v>
      </c>
    </row>
    <row r="76" spans="1:24" s="4133" customFormat="1" ht="11.45" customHeight="1">
      <c r="A76" s="955"/>
      <c r="B76" s="453"/>
      <c r="D76" s="956"/>
      <c r="E76" s="957"/>
      <c r="X76" s="444">
        <v>11</v>
      </c>
    </row>
    <row r="77" spans="1:24" s="4133" customFormat="1" ht="11.25" hidden="1" customHeight="1">
      <c r="A77" s="4521" t="s">
        <v>927</v>
      </c>
      <c r="B77" s="446"/>
      <c r="D77" s="600">
        <v>1</v>
      </c>
      <c r="E77" s="601" t="s">
        <v>928</v>
      </c>
      <c r="F77" s="656" t="s">
        <v>830</v>
      </c>
      <c r="G77" s="659"/>
      <c r="H77" s="945"/>
      <c r="I77" s="659"/>
      <c r="J77" s="945"/>
      <c r="K77" s="225" t="s">
        <v>929</v>
      </c>
      <c r="X77" s="691">
        <v>0</v>
      </c>
    </row>
    <row r="78" spans="1:24" s="4133" customFormat="1" ht="11.25" hidden="1" customHeight="1">
      <c r="A78" s="4521"/>
      <c r="B78" s="446"/>
      <c r="D78" s="600" t="s">
        <v>114</v>
      </c>
      <c r="E78" s="601" t="s">
        <v>930</v>
      </c>
      <c r="F78" s="656" t="s">
        <v>830</v>
      </c>
      <c r="G78" s="659"/>
      <c r="H78" s="945"/>
      <c r="I78" s="659"/>
      <c r="J78" s="945"/>
      <c r="K78" s="225" t="s">
        <v>931</v>
      </c>
      <c r="X78" s="691">
        <v>0</v>
      </c>
    </row>
    <row r="79" spans="1:24" s="4133" customFormat="1" ht="22.5" hidden="1" customHeight="1">
      <c r="A79" s="4521"/>
      <c r="B79" s="446"/>
      <c r="D79" s="600" t="s">
        <v>94</v>
      </c>
      <c r="E79" s="657" t="s">
        <v>932</v>
      </c>
      <c r="F79" s="595" t="s">
        <v>879</v>
      </c>
      <c r="G79" s="659"/>
      <c r="H79" s="945"/>
      <c r="I79" s="659"/>
      <c r="J79" s="945"/>
      <c r="K79" s="225" t="s">
        <v>933</v>
      </c>
      <c r="X79" s="691">
        <v>0</v>
      </c>
    </row>
    <row r="80" spans="1:24" s="4133" customFormat="1" ht="11.25" hidden="1" customHeight="1">
      <c r="A80" s="4521"/>
      <c r="B80" s="446"/>
      <c r="D80" s="600" t="s">
        <v>345</v>
      </c>
      <c r="E80" s="658" t="s">
        <v>934</v>
      </c>
      <c r="F80" s="595" t="s">
        <v>879</v>
      </c>
      <c r="G80" s="659"/>
      <c r="H80" s="945"/>
      <c r="I80" s="659"/>
      <c r="J80" s="945"/>
      <c r="K80" s="225"/>
      <c r="X80" s="691">
        <v>0</v>
      </c>
    </row>
    <row r="81" spans="1:24" s="4133" customFormat="1" ht="11.25" hidden="1" customHeight="1">
      <c r="A81" s="4521"/>
      <c r="B81" s="446"/>
      <c r="D81" s="600" t="s">
        <v>353</v>
      </c>
      <c r="E81" s="658" t="s">
        <v>935</v>
      </c>
      <c r="F81" s="595" t="s">
        <v>879</v>
      </c>
      <c r="G81" s="659"/>
      <c r="H81" s="945"/>
      <c r="I81" s="659"/>
      <c r="J81" s="945"/>
      <c r="K81" s="225"/>
      <c r="X81" s="691">
        <v>0</v>
      </c>
    </row>
    <row r="82" spans="1:24" s="4133" customFormat="1" ht="11.25" hidden="1" customHeight="1">
      <c r="A82" s="4521"/>
      <c r="B82" s="446"/>
      <c r="D82" s="600" t="s">
        <v>355</v>
      </c>
      <c r="E82" s="658" t="s">
        <v>936</v>
      </c>
      <c r="F82" s="595" t="s">
        <v>879</v>
      </c>
      <c r="G82" s="659"/>
      <c r="H82" s="945"/>
      <c r="I82" s="659"/>
      <c r="J82" s="945"/>
      <c r="K82" s="225"/>
      <c r="X82" s="691">
        <v>0</v>
      </c>
    </row>
    <row r="83" spans="1:24" s="4133" customFormat="1" ht="11.25" hidden="1" customHeight="1">
      <c r="A83" s="4521"/>
      <c r="B83" s="446"/>
      <c r="D83" s="600" t="s">
        <v>357</v>
      </c>
      <c r="E83" s="658" t="s">
        <v>937</v>
      </c>
      <c r="F83" s="595" t="s">
        <v>879</v>
      </c>
      <c r="G83" s="659"/>
      <c r="H83" s="945"/>
      <c r="I83" s="659"/>
      <c r="J83" s="945"/>
      <c r="K83" s="225"/>
      <c r="X83" s="691">
        <v>0</v>
      </c>
    </row>
    <row r="84" spans="1:24" s="4133" customFormat="1" ht="11.25" hidden="1" customHeight="1">
      <c r="A84" s="4521"/>
      <c r="B84" s="446"/>
      <c r="D84" s="600" t="s">
        <v>938</v>
      </c>
      <c r="E84" s="658" t="s">
        <v>939</v>
      </c>
      <c r="F84" s="595" t="s">
        <v>879</v>
      </c>
      <c r="G84" s="659"/>
      <c r="H84" s="945"/>
      <c r="I84" s="659"/>
      <c r="J84" s="945"/>
      <c r="K84" s="225"/>
      <c r="X84" s="691">
        <v>0</v>
      </c>
    </row>
    <row r="85" spans="1:24" s="4133" customFormat="1" ht="11.25" hidden="1" customHeight="1">
      <c r="A85" s="4521"/>
      <c r="B85" s="446"/>
      <c r="D85" s="600" t="s">
        <v>940</v>
      </c>
      <c r="E85" s="658" t="s">
        <v>941</v>
      </c>
      <c r="F85" s="595" t="s">
        <v>879</v>
      </c>
      <c r="G85" s="659"/>
      <c r="H85" s="945"/>
      <c r="I85" s="659"/>
      <c r="J85" s="945"/>
      <c r="K85" s="225"/>
      <c r="X85" s="691">
        <v>0</v>
      </c>
    </row>
    <row r="86" spans="1:24" s="4133" customFormat="1" ht="11.25" hidden="1" customHeight="1">
      <c r="A86" s="4521"/>
      <c r="B86" s="446"/>
      <c r="D86" s="600" t="s">
        <v>942</v>
      </c>
      <c r="E86" s="658" t="s">
        <v>943</v>
      </c>
      <c r="F86" s="595" t="s">
        <v>879</v>
      </c>
      <c r="G86" s="659"/>
      <c r="H86" s="945"/>
      <c r="I86" s="659"/>
      <c r="J86" s="945"/>
      <c r="K86" s="225"/>
      <c r="X86" s="691">
        <v>0</v>
      </c>
    </row>
    <row r="87" spans="1:24" s="4133" customFormat="1" ht="45" hidden="1" customHeight="1">
      <c r="A87" s="4521"/>
      <c r="B87" s="446"/>
      <c r="D87" s="600" t="s">
        <v>95</v>
      </c>
      <c r="E87" s="601" t="s">
        <v>944</v>
      </c>
      <c r="F87" s="595" t="s">
        <v>879</v>
      </c>
      <c r="G87" s="659"/>
      <c r="H87" s="945"/>
      <c r="I87" s="659"/>
      <c r="J87" s="945"/>
      <c r="K87" s="225" t="s">
        <v>945</v>
      </c>
      <c r="X87" s="691">
        <v>0</v>
      </c>
    </row>
    <row r="88" spans="1:24" s="4133" customFormat="1" ht="11.25" hidden="1" customHeight="1">
      <c r="A88" s="4521"/>
      <c r="B88" s="446"/>
      <c r="D88" s="600" t="s">
        <v>774</v>
      </c>
      <c r="E88" s="658" t="s">
        <v>934</v>
      </c>
      <c r="F88" s="595" t="s">
        <v>879</v>
      </c>
      <c r="G88" s="659"/>
      <c r="H88" s="945"/>
      <c r="I88" s="659"/>
      <c r="J88" s="945"/>
      <c r="K88" s="225"/>
      <c r="X88" s="691">
        <v>0</v>
      </c>
    </row>
    <row r="89" spans="1:24" s="4133" customFormat="1" ht="11.25" hidden="1" customHeight="1">
      <c r="A89" s="4521"/>
      <c r="B89" s="446"/>
      <c r="D89" s="600" t="s">
        <v>816</v>
      </c>
      <c r="E89" s="658" t="s">
        <v>935</v>
      </c>
      <c r="F89" s="595" t="s">
        <v>879</v>
      </c>
      <c r="G89" s="659"/>
      <c r="H89" s="945"/>
      <c r="I89" s="659"/>
      <c r="J89" s="945"/>
      <c r="K89" s="225"/>
      <c r="X89" s="691">
        <v>0</v>
      </c>
    </row>
    <row r="90" spans="1:24" s="4133" customFormat="1" ht="11.25" hidden="1" customHeight="1">
      <c r="A90" s="4521"/>
      <c r="B90" s="446"/>
      <c r="D90" s="600" t="s">
        <v>819</v>
      </c>
      <c r="E90" s="658" t="s">
        <v>936</v>
      </c>
      <c r="F90" s="595" t="s">
        <v>879</v>
      </c>
      <c r="G90" s="659"/>
      <c r="H90" s="945"/>
      <c r="I90" s="659"/>
      <c r="J90" s="945"/>
      <c r="K90" s="225"/>
      <c r="X90" s="691">
        <v>0</v>
      </c>
    </row>
    <row r="91" spans="1:24" s="4133" customFormat="1" ht="11.25" hidden="1" customHeight="1">
      <c r="A91" s="4521"/>
      <c r="B91" s="446"/>
      <c r="D91" s="600" t="s">
        <v>897</v>
      </c>
      <c r="E91" s="658" t="s">
        <v>937</v>
      </c>
      <c r="F91" s="595" t="s">
        <v>879</v>
      </c>
      <c r="G91" s="659"/>
      <c r="H91" s="945"/>
      <c r="I91" s="659"/>
      <c r="J91" s="945"/>
      <c r="K91" s="225"/>
      <c r="X91" s="691">
        <v>0</v>
      </c>
    </row>
    <row r="92" spans="1:24" s="4133" customFormat="1" ht="11.25" hidden="1" customHeight="1">
      <c r="A92" s="4521"/>
      <c r="B92" s="446"/>
      <c r="D92" s="600" t="s">
        <v>899</v>
      </c>
      <c r="E92" s="658" t="s">
        <v>939</v>
      </c>
      <c r="F92" s="595" t="s">
        <v>879</v>
      </c>
      <c r="G92" s="659"/>
      <c r="H92" s="945"/>
      <c r="I92" s="659"/>
      <c r="J92" s="945"/>
      <c r="K92" s="225"/>
      <c r="X92" s="691">
        <v>0</v>
      </c>
    </row>
    <row r="93" spans="1:24" s="4133" customFormat="1" ht="11.25" hidden="1" customHeight="1">
      <c r="A93" s="4521"/>
      <c r="B93" s="446"/>
      <c r="D93" s="600" t="s">
        <v>946</v>
      </c>
      <c r="E93" s="658" t="s">
        <v>941</v>
      </c>
      <c r="F93" s="595" t="s">
        <v>879</v>
      </c>
      <c r="G93" s="659"/>
      <c r="H93" s="945"/>
      <c r="I93" s="659"/>
      <c r="J93" s="945"/>
      <c r="K93" s="225"/>
      <c r="X93" s="691">
        <v>0</v>
      </c>
    </row>
    <row r="94" spans="1:24" s="4133" customFormat="1" ht="11.25" hidden="1" customHeight="1">
      <c r="A94" s="4521"/>
      <c r="B94" s="446"/>
      <c r="D94" s="600" t="s">
        <v>947</v>
      </c>
      <c r="E94" s="658" t="s">
        <v>943</v>
      </c>
      <c r="F94" s="595" t="s">
        <v>879</v>
      </c>
      <c r="G94" s="659"/>
      <c r="H94" s="945"/>
      <c r="I94" s="659"/>
      <c r="J94" s="945"/>
      <c r="K94" s="225"/>
      <c r="X94" s="691">
        <v>0</v>
      </c>
    </row>
    <row r="95" spans="1:24" s="4133" customFormat="1" ht="24.75" hidden="1" customHeight="1">
      <c r="A95" s="4521"/>
      <c r="B95" s="446"/>
      <c r="D95" s="600" t="s">
        <v>103</v>
      </c>
      <c r="E95" s="601" t="s">
        <v>948</v>
      </c>
      <c r="F95" s="660" t="s">
        <v>579</v>
      </c>
      <c r="G95" s="662"/>
      <c r="H95" s="945"/>
      <c r="I95" s="662"/>
      <c r="J95" s="945"/>
      <c r="K95" s="225" t="s">
        <v>949</v>
      </c>
      <c r="X95" s="691">
        <v>0</v>
      </c>
    </row>
    <row r="96" spans="1:24" s="4133" customFormat="1" ht="33.75" hidden="1" customHeight="1">
      <c r="A96" s="4521"/>
      <c r="B96" s="446"/>
      <c r="D96" s="600" t="s">
        <v>96</v>
      </c>
      <c r="E96" s="601" t="s">
        <v>950</v>
      </c>
      <c r="F96" s="661" t="s">
        <v>840</v>
      </c>
      <c r="G96" s="663"/>
      <c r="H96" s="945"/>
      <c r="I96" s="663"/>
      <c r="J96" s="945"/>
      <c r="K96" s="225"/>
      <c r="X96" s="691">
        <v>0</v>
      </c>
    </row>
    <row r="97" spans="1:24" s="4133" customFormat="1" ht="22.5" hidden="1" customHeight="1">
      <c r="A97" s="4521"/>
      <c r="B97" s="446" t="s">
        <v>609</v>
      </c>
      <c r="D97" s="600" t="s">
        <v>97</v>
      </c>
      <c r="E97" s="601" t="s">
        <v>951</v>
      </c>
      <c r="F97" s="661" t="s">
        <v>327</v>
      </c>
      <c r="G97" s="320"/>
      <c r="H97" s="945"/>
      <c r="I97" s="320"/>
      <c r="J97" s="945"/>
      <c r="K97" s="225" t="s">
        <v>652</v>
      </c>
      <c r="X97" s="691">
        <v>0</v>
      </c>
    </row>
    <row r="98" spans="1:24" s="4133" customFormat="1" ht="45" hidden="1" customHeight="1">
      <c r="A98" s="4521"/>
      <c r="B98" s="446" t="s">
        <v>609</v>
      </c>
      <c r="D98" s="600" t="s">
        <v>952</v>
      </c>
      <c r="E98" s="602" t="s">
        <v>953</v>
      </c>
      <c r="F98" s="656" t="s">
        <v>327</v>
      </c>
      <c r="G98" s="320"/>
      <c r="H98" s="945"/>
      <c r="I98" s="320"/>
      <c r="J98" s="945"/>
      <c r="K98" s="225" t="s">
        <v>652</v>
      </c>
      <c r="X98" s="691">
        <v>0</v>
      </c>
    </row>
    <row r="99" spans="1:24" s="4133" customFormat="1" ht="95.25" hidden="1" customHeight="1">
      <c r="A99" s="4521"/>
      <c r="B99" s="446" t="s">
        <v>609</v>
      </c>
      <c r="D99" s="600" t="s">
        <v>115</v>
      </c>
      <c r="E99" s="601" t="s">
        <v>954</v>
      </c>
      <c r="F99" s="656" t="s">
        <v>327</v>
      </c>
      <c r="G99" s="320"/>
      <c r="H99" s="945"/>
      <c r="I99" s="320"/>
      <c r="J99" s="945"/>
      <c r="K99" s="225" t="s">
        <v>652</v>
      </c>
      <c r="X99" s="691">
        <v>0</v>
      </c>
    </row>
    <row r="100" spans="1:24" s="4133" customFormat="1" ht="22.5" hidden="1" customHeight="1">
      <c r="A100" s="4521"/>
      <c r="B100" s="446" t="s">
        <v>609</v>
      </c>
      <c r="D100" s="600" t="s">
        <v>151</v>
      </c>
      <c r="E100" s="601" t="s">
        <v>955</v>
      </c>
      <c r="F100" s="656" t="s">
        <v>327</v>
      </c>
      <c r="G100" s="320"/>
      <c r="H100" s="945"/>
      <c r="I100" s="320"/>
      <c r="J100" s="945"/>
      <c r="K100" s="225" t="s">
        <v>652</v>
      </c>
      <c r="X100" s="691">
        <v>0</v>
      </c>
    </row>
    <row r="101" spans="1:24" s="4133" customFormat="1" ht="11.45" customHeight="1">
      <c r="A101" s="955"/>
      <c r="B101" s="453"/>
      <c r="D101" s="956"/>
      <c r="E101" s="957"/>
      <c r="X101" s="444">
        <v>11</v>
      </c>
    </row>
    <row r="102" spans="1:24" ht="22.5" hidden="1" customHeight="1">
      <c r="A102" s="471" t="s">
        <v>86</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4149" hidden="1" customWidth="1"/>
    <col min="2" max="2" width="2" style="4149" hidden="1" customWidth="1"/>
    <col min="3" max="3" width="3" style="4149" customWidth="1"/>
    <col min="4" max="4" width="4" style="4149" customWidth="1"/>
    <col min="5" max="5" width="44" style="4149" customWidth="1"/>
    <col min="6" max="6" width="6.42578125" style="4149" customWidth="1"/>
    <col min="7" max="7" width="4" style="4149" customWidth="1"/>
    <col min="8" max="8" width="5" style="4149" customWidth="1"/>
    <col min="9" max="9" width="52" style="4149" customWidth="1"/>
    <col min="10" max="10" width="7" style="4149" customWidth="1"/>
    <col min="11" max="11" width="3" style="4149" customWidth="1"/>
    <col min="12" max="12" width="6" style="4149" customWidth="1"/>
    <col min="13" max="13" width="56" style="4149" customWidth="1"/>
    <col min="14" max="14" width="8" style="4150" customWidth="1"/>
    <col min="15" max="20" width="9.140625" style="4146" hidden="1"/>
    <col min="21" max="24" width="9.140625" style="4151" hidden="1"/>
    <col min="25" max="37" width="9.140625" style="4150" hidden="1"/>
    <col min="38" max="38" width="8" style="4150" customWidth="1"/>
    <col min="39" max="39" width="9.140625" style="4149"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4267" t="str">
        <f>Титульный!E5</f>
        <v>Показатели, подлежащие раскрытию в сфере теплоснабжения (цены и тарифы)</v>
      </c>
      <c r="E4" s="4268"/>
      <c r="F4" s="4268"/>
      <c r="G4" s="4268"/>
      <c r="H4" s="4268"/>
      <c r="I4" s="4269"/>
      <c r="J4" s="519"/>
      <c r="K4" s="519"/>
      <c r="L4" s="519"/>
      <c r="M4" s="519"/>
      <c r="AM4" s="518">
        <v>34</v>
      </c>
    </row>
    <row r="5" spans="1:39" s="4148" customFormat="1" ht="14.65" customHeight="1">
      <c r="A5" s="520"/>
      <c r="B5" s="520"/>
      <c r="C5" s="520"/>
      <c r="D5" s="4270" t="str">
        <f>IF(org=0,"Не определено",org)</f>
        <v>АО "Мурманэнергосбыт"</v>
      </c>
      <c r="E5" s="4271"/>
      <c r="F5" s="4271"/>
      <c r="G5" s="4271"/>
      <c r="H5" s="4271"/>
      <c r="I5" s="4272"/>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4148" customFormat="1" ht="6.4" customHeight="1">
      <c r="A6" s="4259"/>
      <c r="B6" s="4259"/>
      <c r="C6" s="4259"/>
      <c r="D6" s="4259"/>
      <c r="E6" s="4259"/>
      <c r="F6" s="4259"/>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427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278"/>
      <c r="G7" s="4278"/>
      <c r="H7" s="4278"/>
      <c r="I7" s="4278"/>
      <c r="J7" s="4278"/>
      <c r="K7" s="4278"/>
      <c r="L7" s="4278"/>
      <c r="M7" s="4278"/>
      <c r="AM7" s="518">
        <v>0</v>
      </c>
    </row>
    <row r="8" spans="1:39" s="4148"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4273"/>
      <c r="B9" s="259"/>
      <c r="C9" s="259"/>
      <c r="D9" s="4274" t="s">
        <v>109</v>
      </c>
      <c r="E9" s="4274"/>
      <c r="F9" s="4275" t="s">
        <v>110</v>
      </c>
      <c r="G9" s="4276"/>
      <c r="H9" s="4276"/>
      <c r="I9" s="4276"/>
      <c r="J9" s="4279" t="s">
        <v>111</v>
      </c>
      <c r="K9" s="4279"/>
      <c r="L9" s="4279"/>
      <c r="M9" s="4279"/>
      <c r="AM9" s="518">
        <v>18</v>
      </c>
    </row>
    <row r="10" spans="1:39" ht="24" customHeight="1">
      <c r="A10" s="4273"/>
      <c r="B10" s="527"/>
      <c r="C10" s="460"/>
      <c r="D10" s="458" t="s">
        <v>92</v>
      </c>
      <c r="E10" s="458" t="s">
        <v>93</v>
      </c>
      <c r="F10" s="458" t="s">
        <v>112</v>
      </c>
      <c r="G10" s="4280" t="s">
        <v>92</v>
      </c>
      <c r="H10" s="4281"/>
      <c r="I10" s="458" t="s">
        <v>93</v>
      </c>
      <c r="J10" s="458" t="s">
        <v>112</v>
      </c>
      <c r="K10" s="4280" t="s">
        <v>92</v>
      </c>
      <c r="L10" s="4281"/>
      <c r="M10" s="458" t="s">
        <v>93</v>
      </c>
      <c r="N10" s="1545"/>
      <c r="AM10" s="518">
        <v>23</v>
      </c>
    </row>
    <row r="11" spans="1:39" s="4149" customFormat="1" ht="11.25" hidden="1" customHeight="1">
      <c r="A11" s="528"/>
      <c r="B11" s="528"/>
      <c r="C11" s="528"/>
      <c r="D11" s="529" t="s">
        <v>113</v>
      </c>
      <c r="E11" s="529" t="s">
        <v>114</v>
      </c>
      <c r="F11" s="529" t="s">
        <v>94</v>
      </c>
      <c r="G11" s="4263" t="s">
        <v>95</v>
      </c>
      <c r="H11" s="4264"/>
      <c r="I11" s="529" t="s">
        <v>103</v>
      </c>
      <c r="J11" s="529" t="s">
        <v>96</v>
      </c>
      <c r="K11" s="4265" t="s">
        <v>97</v>
      </c>
      <c r="L11" s="4266"/>
      <c r="M11" s="529" t="s">
        <v>115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1"/>
      <c r="L12" s="302"/>
      <c r="M12" s="536"/>
      <c r="N12" s="1545"/>
      <c r="O12" s="1331" t="s">
        <v>116</v>
      </c>
      <c r="P12" s="1331" t="s">
        <v>117</v>
      </c>
      <c r="Q12" s="1331" t="s">
        <v>118</v>
      </c>
      <c r="R12" s="1331" t="s">
        <v>119</v>
      </c>
      <c r="AM12" s="518">
        <v>1</v>
      </c>
    </row>
    <row r="13" spans="1:39" s="4149" customFormat="1" ht="15.75" customHeight="1">
      <c r="A13" s="229"/>
      <c r="B13" s="229"/>
      <c r="C13" s="461"/>
      <c r="D13" s="4285" t="s">
        <v>113</v>
      </c>
      <c r="E13" s="4286"/>
      <c r="F13" s="4289" t="s">
        <v>65</v>
      </c>
      <c r="G13" s="4290"/>
      <c r="H13" s="4291">
        <v>1</v>
      </c>
      <c r="I13" s="4282" t="str">
        <f>IF(U13="","",INDEX(TERRITORY_MR_LIST,MATCH(U13,TERRITORY_LIST_ID,0)))</f>
        <v/>
      </c>
      <c r="J13" s="4284" t="s">
        <v>19</v>
      </c>
      <c r="K13" s="537"/>
      <c r="L13" s="462" t="s">
        <v>113</v>
      </c>
      <c r="M13" s="538" t="s">
        <v>28</v>
      </c>
      <c r="N13" s="741"/>
      <c r="O13" s="1334" t="s">
        <v>120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121</v>
      </c>
      <c r="Z13" s="539">
        <v>1705000</v>
      </c>
      <c r="AA13" s="539"/>
      <c r="AB13" s="539"/>
      <c r="AC13" s="539"/>
      <c r="AD13" s="539"/>
      <c r="AE13" s="539"/>
      <c r="AF13" s="539"/>
      <c r="AG13" s="539"/>
      <c r="AH13" s="539"/>
      <c r="AI13" s="539"/>
      <c r="AJ13" s="539"/>
      <c r="AK13" s="539"/>
      <c r="AL13" s="539"/>
      <c r="AM13" s="541">
        <v>15</v>
      </c>
    </row>
    <row r="14" spans="1:39" s="4149" customFormat="1" ht="15.75" customHeight="1">
      <c r="A14" s="229"/>
      <c r="B14" s="229"/>
      <c r="C14" s="113"/>
      <c r="D14" s="4285"/>
      <c r="E14" s="4287"/>
      <c r="F14" s="4284"/>
      <c r="G14" s="4290"/>
      <c r="H14" s="4291"/>
      <c r="I14" s="4283"/>
      <c r="J14" s="4284"/>
      <c r="K14" s="356"/>
      <c r="L14" s="114"/>
      <c r="M14" s="542" t="s">
        <v>122</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4149" customFormat="1" ht="15.75" customHeight="1">
      <c r="A15" s="229"/>
      <c r="B15" s="229"/>
      <c r="C15" s="113"/>
      <c r="D15" s="4285"/>
      <c r="E15" s="4288"/>
      <c r="F15" s="4284"/>
      <c r="G15" s="982"/>
      <c r="H15" s="983"/>
      <c r="I15" s="515" t="s">
        <v>123</v>
      </c>
      <c r="J15" s="114"/>
      <c r="K15" s="114"/>
      <c r="L15" s="114"/>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4"/>
      <c r="C16" s="735"/>
      <c r="D16" s="356"/>
      <c r="E16" s="506" t="s">
        <v>124</v>
      </c>
      <c r="F16" s="114"/>
      <c r="G16" s="114"/>
      <c r="H16" s="114"/>
      <c r="I16" s="114"/>
      <c r="J16" s="114"/>
      <c r="K16" s="114" t="s">
        <v>28</v>
      </c>
      <c r="L16" s="114"/>
      <c r="M16" s="543"/>
      <c r="N16" s="1545"/>
      <c r="AM16" s="518">
        <v>15</v>
      </c>
    </row>
    <row r="17" spans="1:39" ht="11.25" hidden="1" customHeight="1">
      <c r="A17" s="518" t="s">
        <v>86</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4131" hidden="1" customWidth="1"/>
    <col min="2" max="2" width="9.140625" style="4133" hidden="1" customWidth="1"/>
    <col min="3" max="3" width="4" style="4206" customWidth="1"/>
    <col min="4" max="4" width="6" style="4133" customWidth="1"/>
    <col min="5" max="5" width="36" style="4133" customWidth="1"/>
    <col min="6" max="6" width="9" style="4133" customWidth="1"/>
    <col min="7" max="7" width="25.7109375" style="4133" hidden="1" customWidth="1"/>
    <col min="8" max="8" width="33.7109375" style="4133" hidden="1" customWidth="1"/>
    <col min="9" max="9" width="25.7109375" style="4133" customWidth="1"/>
    <col min="10" max="10" width="33" style="4133" customWidth="1"/>
    <col min="11" max="11" width="93" style="4139" customWidth="1"/>
    <col min="12" max="20" width="10" style="4133" customWidth="1"/>
    <col min="21" max="21" width="10" style="4207" customWidth="1"/>
    <col min="22" max="22" width="10.5703125" style="4133" hidden="1"/>
  </cols>
  <sheetData>
    <row r="1" spans="1:22" s="4139" customFormat="1" ht="22.5" hidden="1" customHeight="1">
      <c r="C1" s="607"/>
      <c r="G1" s="352">
        <v>4</v>
      </c>
      <c r="I1" s="352">
        <v>4</v>
      </c>
      <c r="U1" s="355"/>
      <c r="V1" s="352" t="s">
        <v>14</v>
      </c>
    </row>
    <row r="2" spans="1:22" s="4139" customFormat="1" ht="15" hidden="1" customHeight="1">
      <c r="C2" s="607"/>
      <c r="U2" s="355"/>
      <c r="V2" s="352">
        <v>0</v>
      </c>
    </row>
    <row r="3" spans="1:22" ht="22.5" hidden="1" customHeight="1">
      <c r="A3" s="440"/>
      <c r="B3" s="4522"/>
      <c r="C3" s="4523" t="s">
        <v>175</v>
      </c>
      <c r="D3" s="624" t="str">
        <f>B3&amp;".1"</f>
        <v>.1</v>
      </c>
      <c r="E3" s="625" t="s">
        <v>956</v>
      </c>
      <c r="F3" s="626" t="s">
        <v>327</v>
      </c>
      <c r="G3" s="621"/>
      <c r="H3" s="336"/>
      <c r="I3" s="621"/>
      <c r="J3" s="336"/>
      <c r="K3" s="225" t="s">
        <v>957</v>
      </c>
      <c r="V3" s="440">
        <v>0</v>
      </c>
    </row>
    <row r="4" spans="1:22" ht="15" hidden="1" customHeight="1">
      <c r="A4" s="440"/>
      <c r="B4" s="4522"/>
      <c r="C4" s="4523"/>
      <c r="D4" s="624" t="str">
        <f>B3&amp;".2"</f>
        <v>.2</v>
      </c>
      <c r="E4" s="625" t="s">
        <v>958</v>
      </c>
      <c r="F4" s="626" t="s">
        <v>327</v>
      </c>
      <c r="G4" s="1655" t="s">
        <v>28</v>
      </c>
      <c r="H4" s="336"/>
      <c r="I4" s="1655" t="s">
        <v>28</v>
      </c>
      <c r="J4" s="336"/>
      <c r="K4" s="225" t="s">
        <v>959</v>
      </c>
      <c r="V4" s="440">
        <v>0</v>
      </c>
    </row>
    <row r="5" spans="1:22" s="4139" customFormat="1" ht="15" hidden="1" customHeight="1">
      <c r="C5" s="607"/>
      <c r="U5" s="355"/>
      <c r="V5" s="352">
        <v>0</v>
      </c>
    </row>
    <row r="6" spans="1:22" ht="22.5" hidden="1" customHeight="1">
      <c r="A6" s="440"/>
      <c r="B6" s="4522"/>
      <c r="C6" s="4523" t="s">
        <v>175</v>
      </c>
      <c r="D6" s="624" t="str">
        <f>B6&amp;".1"</f>
        <v>.1</v>
      </c>
      <c r="E6" s="625" t="s">
        <v>960</v>
      </c>
      <c r="F6" s="626" t="s">
        <v>327</v>
      </c>
      <c r="G6" s="621"/>
      <c r="H6" s="336"/>
      <c r="I6" s="621"/>
      <c r="J6" s="336"/>
      <c r="K6" s="225" t="s">
        <v>961</v>
      </c>
      <c r="V6" s="440">
        <v>0</v>
      </c>
    </row>
    <row r="7" spans="1:22" ht="15" hidden="1" customHeight="1">
      <c r="A7" s="440"/>
      <c r="B7" s="4522"/>
      <c r="C7" s="4523"/>
      <c r="D7" s="624" t="str">
        <f>B6&amp;".2"</f>
        <v>.2</v>
      </c>
      <c r="E7" s="625" t="s">
        <v>958</v>
      </c>
      <c r="F7" s="626" t="s">
        <v>327</v>
      </c>
      <c r="G7" s="1655" t="s">
        <v>28</v>
      </c>
      <c r="H7" s="336"/>
      <c r="I7" s="1655" t="s">
        <v>28</v>
      </c>
      <c r="J7" s="336"/>
      <c r="K7" s="225" t="s">
        <v>959</v>
      </c>
      <c r="V7" s="440">
        <v>0</v>
      </c>
    </row>
    <row r="8" spans="1:22" s="4139" customFormat="1" ht="15" hidden="1" customHeight="1">
      <c r="C8" s="607"/>
      <c r="U8" s="355"/>
      <c r="V8" s="352">
        <v>0</v>
      </c>
    </row>
    <row r="9" spans="1:22" ht="22.5" hidden="1" customHeight="1">
      <c r="A9" s="440"/>
      <c r="B9" s="4522"/>
      <c r="C9" s="4523" t="s">
        <v>175</v>
      </c>
      <c r="D9" s="624" t="str">
        <f>B9&amp;".1"</f>
        <v>.1</v>
      </c>
      <c r="E9" s="625" t="s">
        <v>962</v>
      </c>
      <c r="F9" s="626" t="s">
        <v>327</v>
      </c>
      <c r="G9" s="632" t="s">
        <v>28</v>
      </c>
      <c r="H9" s="336" t="s">
        <v>28</v>
      </c>
      <c r="I9" s="632" t="s">
        <v>28</v>
      </c>
      <c r="J9" s="336" t="s">
        <v>28</v>
      </c>
      <c r="K9" s="225"/>
      <c r="V9" s="440">
        <v>0</v>
      </c>
    </row>
    <row r="10" spans="1:22" ht="15" hidden="1" customHeight="1">
      <c r="A10" s="440"/>
      <c r="B10" s="4522"/>
      <c r="C10" s="4523"/>
      <c r="D10" s="624" t="str">
        <f>B9&amp;".2"</f>
        <v>.2</v>
      </c>
      <c r="E10" s="625" t="s">
        <v>963</v>
      </c>
      <c r="F10" s="626" t="s">
        <v>327</v>
      </c>
      <c r="G10" s="1649" t="s">
        <v>28</v>
      </c>
      <c r="H10" s="336" t="s">
        <v>28</v>
      </c>
      <c r="I10" s="1649" t="s">
        <v>28</v>
      </c>
      <c r="J10" s="336" t="s">
        <v>28</v>
      </c>
      <c r="K10" s="225" t="s">
        <v>964</v>
      </c>
      <c r="V10" s="440">
        <v>0</v>
      </c>
    </row>
    <row r="11" spans="1:22" ht="15" hidden="1" customHeight="1">
      <c r="A11" s="440"/>
      <c r="B11" s="4522"/>
      <c r="C11" s="4523"/>
      <c r="D11" s="624" t="str">
        <f>B9&amp;".3"</f>
        <v>.3</v>
      </c>
      <c r="E11" s="625" t="s">
        <v>965</v>
      </c>
      <c r="F11" s="626" t="s">
        <v>327</v>
      </c>
      <c r="G11" s="1649" t="s">
        <v>28</v>
      </c>
      <c r="H11" s="336" t="s">
        <v>28</v>
      </c>
      <c r="I11" s="1649" t="s">
        <v>28</v>
      </c>
      <c r="J11" s="336" t="s">
        <v>28</v>
      </c>
      <c r="K11" s="225" t="s">
        <v>966</v>
      </c>
      <c r="V11" s="440">
        <v>0</v>
      </c>
    </row>
    <row r="12" spans="1:22" s="4139" customFormat="1" ht="15" hidden="1" customHeight="1">
      <c r="C12" s="607"/>
      <c r="U12" s="355"/>
      <c r="V12" s="352">
        <v>0</v>
      </c>
    </row>
    <row r="13" spans="1:22" ht="33.75" hidden="1" customHeight="1">
      <c r="A13" s="440"/>
      <c r="B13" s="4522"/>
      <c r="C13" s="4523" t="s">
        <v>175</v>
      </c>
      <c r="D13" s="624" t="str">
        <f>B13&amp;".1"</f>
        <v>.1</v>
      </c>
      <c r="E13" s="625" t="s">
        <v>967</v>
      </c>
      <c r="F13" s="626" t="s">
        <v>327</v>
      </c>
      <c r="G13" s="632" t="s">
        <v>28</v>
      </c>
      <c r="H13" s="336" t="s">
        <v>28</v>
      </c>
      <c r="I13" s="632" t="s">
        <v>28</v>
      </c>
      <c r="J13" s="336" t="s">
        <v>28</v>
      </c>
      <c r="K13" s="225" t="s">
        <v>968</v>
      </c>
      <c r="V13" s="440">
        <v>0</v>
      </c>
    </row>
    <row r="14" spans="1:22" ht="15" hidden="1" customHeight="1">
      <c r="B14" s="4522"/>
      <c r="C14" s="4523"/>
      <c r="D14" s="624" t="str">
        <f>B13&amp;".2"</f>
        <v>.2</v>
      </c>
      <c r="E14" s="625" t="s">
        <v>969</v>
      </c>
      <c r="F14" s="626" t="s">
        <v>327</v>
      </c>
      <c r="G14" s="1649" t="s">
        <v>28</v>
      </c>
      <c r="H14" s="336" t="s">
        <v>28</v>
      </c>
      <c r="I14" s="1649" t="s">
        <v>28</v>
      </c>
      <c r="J14" s="336" t="s">
        <v>28</v>
      </c>
      <c r="K14" s="225" t="s">
        <v>970</v>
      </c>
      <c r="V14" s="440">
        <v>0</v>
      </c>
    </row>
    <row r="15" spans="1:22" s="4139" customFormat="1" ht="15" hidden="1" customHeight="1">
      <c r="C15" s="607"/>
      <c r="U15" s="355"/>
      <c r="V15" s="352">
        <v>0</v>
      </c>
    </row>
    <row r="16" spans="1:22" s="4139" customFormat="1" ht="15" hidden="1" customHeight="1">
      <c r="C16" s="607"/>
      <c r="U16" s="355"/>
      <c r="V16" s="352">
        <v>0</v>
      </c>
    </row>
    <row r="17" spans="1:22" s="4139" customFormat="1" ht="15" hidden="1" customHeight="1">
      <c r="C17" s="607"/>
      <c r="U17" s="355"/>
      <c r="V17" s="352">
        <v>0</v>
      </c>
    </row>
    <row r="18" spans="1:22" s="4139" customFormat="1" ht="15" hidden="1" customHeight="1">
      <c r="C18" s="607"/>
      <c r="U18" s="355"/>
      <c r="V18" s="352">
        <v>0</v>
      </c>
    </row>
    <row r="19" spans="1:22" s="4139" customFormat="1" ht="15" hidden="1" customHeight="1">
      <c r="C19" s="607"/>
      <c r="U19" s="355"/>
      <c r="V19" s="352">
        <v>0</v>
      </c>
    </row>
    <row r="20" spans="1:22" s="4139"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43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4393"/>
      <c r="F22" s="4393"/>
      <c r="G22" s="4393"/>
      <c r="H22" s="4393"/>
      <c r="I22" s="4393"/>
      <c r="J22" s="611"/>
      <c r="K22" s="472"/>
      <c r="V22" s="440">
        <v>22</v>
      </c>
    </row>
    <row r="23" spans="1:22" ht="15.75" customHeight="1">
      <c r="C23" s="113"/>
      <c r="D23" s="4365" t="str">
        <f>IF(org=0,"Не определено",org)</f>
        <v>АО "Мурманэнергосбыт"</v>
      </c>
      <c r="E23" s="4365"/>
      <c r="F23" s="4365"/>
      <c r="G23" s="4365"/>
      <c r="H23" s="4365"/>
      <c r="I23" s="4365"/>
      <c r="J23" s="611"/>
      <c r="K23" s="472"/>
      <c r="V23" s="440">
        <v>15</v>
      </c>
    </row>
    <row r="24" spans="1:22" ht="15.75" customHeight="1">
      <c r="C24" s="113"/>
      <c r="D24" s="444"/>
      <c r="E24" s="444"/>
      <c r="F24" s="444"/>
      <c r="G24" s="472">
        <v>22</v>
      </c>
      <c r="H24" s="687"/>
      <c r="I24" s="472">
        <v>22</v>
      </c>
      <c r="J24" s="687"/>
      <c r="V24" s="440">
        <v>15</v>
      </c>
    </row>
    <row r="25" spans="1:22" s="4133" customFormat="1" ht="1.1499999999999999" customHeight="1">
      <c r="A25" s="692"/>
      <c r="C25" s="113"/>
      <c r="D25" s="444"/>
      <c r="E25" s="444"/>
      <c r="F25" s="444"/>
      <c r="G25" s="472"/>
      <c r="H25" s="687"/>
      <c r="I25" s="472" t="s">
        <v>120</v>
      </c>
      <c r="J25" s="687"/>
      <c r="K25" s="352"/>
      <c r="U25" s="610"/>
      <c r="V25" s="691">
        <v>1</v>
      </c>
    </row>
    <row r="26" spans="1:22" ht="15.75" customHeight="1">
      <c r="C26" s="113"/>
      <c r="D26" s="646"/>
      <c r="E26" s="4499" t="s">
        <v>109</v>
      </c>
      <c r="F26" s="4500"/>
      <c r="G26" s="4524" t="str">
        <f>IF(G25="","",INDEX(DIFFERENTIATION_UNMERGE_VD,MATCH(G25,DIFFERENTIATION_ID_DIFF,0)))</f>
        <v/>
      </c>
      <c r="H26" s="4525"/>
      <c r="I26" s="4524">
        <f>IF(I25="","",INDEX(DIFFERENTIATION_UNMERGE_VD,MATCH(I25,DIFFERENTIATION_ID_DIFF,0)))</f>
        <v>0</v>
      </c>
      <c r="J26" s="4525"/>
      <c r="K26" s="4345" t="s">
        <v>322</v>
      </c>
      <c r="V26" s="440">
        <v>15</v>
      </c>
    </row>
    <row r="27" spans="1:22" s="4133" customFormat="1" ht="15.75" customHeight="1">
      <c r="A27" s="692"/>
      <c r="C27" s="113"/>
      <c r="D27" s="646"/>
      <c r="E27" s="4499" t="s">
        <v>585</v>
      </c>
      <c r="F27" s="4500"/>
      <c r="G27" s="4524" t="str">
        <f>IF(G25="","",INDEX(DIFFERENTIATION_UNMERGE_AREA,MATCH(G25,DIFFERENTIATION_ID_DIFF,0)))</f>
        <v/>
      </c>
      <c r="H27" s="4525"/>
      <c r="I27" s="4524" t="str">
        <f>IF(I25="","",INDEX(DIFFERENTIATION_UNMERGE_AREA,MATCH(I25,DIFFERENTIATION_ID_DIFF,0)))</f>
        <v/>
      </c>
      <c r="J27" s="4525"/>
      <c r="K27" s="4349"/>
      <c r="U27" s="610"/>
      <c r="V27" s="691">
        <v>15</v>
      </c>
    </row>
    <row r="28" spans="1:22" s="4133" customFormat="1" ht="15.75" customHeight="1">
      <c r="A28" s="692"/>
      <c r="C28" s="113"/>
      <c r="D28" s="646"/>
      <c r="E28" s="4499" t="s">
        <v>586</v>
      </c>
      <c r="F28" s="4500"/>
      <c r="G28" s="4524" t="str">
        <f>IF(G25="","",INDEX(DIFFERENTIATION_UNMERGE_SYSTEM,MATCH(G25,DIFFERENTIATION_ID_DIFF,0)))</f>
        <v/>
      </c>
      <c r="H28" s="4525"/>
      <c r="I28" s="4524" t="str">
        <f>IF(I25="","",INDEX(DIFFERENTIATION_UNMERGE_SYSTEM,MATCH(I25,DIFFERENTIATION_ID_DIFF,0)))</f>
        <v>без дифференциации</v>
      </c>
      <c r="J28" s="4525"/>
      <c r="K28" s="4349"/>
      <c r="U28" s="610"/>
      <c r="V28" s="691">
        <v>15</v>
      </c>
    </row>
    <row r="29" spans="1:22" s="4133" customFormat="1" ht="15.75" customHeight="1">
      <c r="A29" s="692"/>
      <c r="C29" s="113"/>
      <c r="D29" s="4501" t="s">
        <v>321</v>
      </c>
      <c r="E29" s="4502"/>
      <c r="F29" s="4502"/>
      <c r="G29" s="811"/>
      <c r="H29" s="811"/>
      <c r="I29" s="811"/>
      <c r="J29" s="812"/>
      <c r="K29" s="4349"/>
      <c r="U29" s="610"/>
      <c r="V29" s="691">
        <v>15</v>
      </c>
    </row>
    <row r="30" spans="1:22" ht="35.65" customHeight="1">
      <c r="C30" s="113"/>
      <c r="D30" s="694" t="s">
        <v>92</v>
      </c>
      <c r="E30" s="693" t="s">
        <v>323</v>
      </c>
      <c r="F30" s="693" t="s">
        <v>587</v>
      </c>
      <c r="G30" s="737" t="s">
        <v>324</v>
      </c>
      <c r="H30" s="736" t="s">
        <v>411</v>
      </c>
      <c r="I30" s="619" t="s">
        <v>324</v>
      </c>
      <c r="J30" s="400" t="s">
        <v>411</v>
      </c>
      <c r="K30" s="4352"/>
      <c r="V30" s="440">
        <v>34</v>
      </c>
    </row>
    <row r="31" spans="1:22" ht="15" hidden="1" customHeight="1">
      <c r="C31" s="113"/>
      <c r="D31" s="528"/>
      <c r="E31" s="528"/>
      <c r="F31" s="528"/>
      <c r="G31" s="594"/>
      <c r="H31" s="594"/>
      <c r="I31" s="594"/>
      <c r="J31" s="594"/>
      <c r="K31" s="225"/>
      <c r="V31" s="440">
        <v>0</v>
      </c>
    </row>
    <row r="32" spans="1:22" ht="24" customHeight="1">
      <c r="A32" s="440"/>
      <c r="B32" s="440" t="s">
        <v>971</v>
      </c>
      <c r="C32" s="461"/>
      <c r="D32" s="627">
        <v>1</v>
      </c>
      <c r="E32" s="628" t="s">
        <v>972</v>
      </c>
      <c r="F32" s="626" t="s">
        <v>327</v>
      </c>
      <c r="G32" s="742" t="s">
        <v>327</v>
      </c>
      <c r="H32" s="742" t="s">
        <v>327</v>
      </c>
      <c r="I32" s="626" t="s">
        <v>327</v>
      </c>
      <c r="J32" s="626" t="s">
        <v>327</v>
      </c>
      <c r="K32" s="225"/>
      <c r="V32" s="440">
        <v>23</v>
      </c>
    </row>
    <row r="33" spans="1:22" ht="11.45" customHeight="1">
      <c r="A33" s="440"/>
      <c r="C33" s="440"/>
      <c r="D33" s="283"/>
      <c r="E33" s="515" t="s">
        <v>607</v>
      </c>
      <c r="F33" s="507"/>
      <c r="G33" s="507"/>
      <c r="H33" s="507"/>
      <c r="I33" s="507"/>
      <c r="J33" s="507"/>
      <c r="K33" s="508"/>
      <c r="U33" s="440"/>
      <c r="V33" s="440">
        <v>11</v>
      </c>
    </row>
    <row r="34" spans="1:22" ht="24" customHeight="1">
      <c r="A34" s="440"/>
      <c r="B34" s="516" t="s">
        <v>657</v>
      </c>
      <c r="C34" s="461"/>
      <c r="D34" s="627">
        <v>2</v>
      </c>
      <c r="E34" s="628" t="s">
        <v>973</v>
      </c>
      <c r="F34" s="749" t="s">
        <v>327</v>
      </c>
      <c r="G34" s="749" t="s">
        <v>327</v>
      </c>
      <c r="H34" s="749" t="s">
        <v>327</v>
      </c>
      <c r="I34" s="626"/>
      <c r="J34" s="626"/>
      <c r="K34" s="225"/>
      <c r="V34" s="440">
        <v>23</v>
      </c>
    </row>
    <row r="35" spans="1:22" ht="11.45" customHeight="1">
      <c r="A35" s="440"/>
      <c r="C35" s="440"/>
      <c r="D35" s="283"/>
      <c r="E35" s="515" t="s">
        <v>974</v>
      </c>
      <c r="F35" s="507"/>
      <c r="G35" s="629"/>
      <c r="H35" s="507"/>
      <c r="I35" s="629"/>
      <c r="J35" s="507"/>
      <c r="K35" s="508"/>
      <c r="U35" s="440"/>
      <c r="V35" s="440">
        <v>11</v>
      </c>
    </row>
    <row r="36" spans="1:22" ht="71.25" customHeight="1">
      <c r="A36" s="440"/>
      <c r="B36" s="440" t="s">
        <v>975</v>
      </c>
      <c r="C36" s="461"/>
      <c r="D36" s="627">
        <v>3</v>
      </c>
      <c r="E36" s="628" t="s">
        <v>976</v>
      </c>
      <c r="F36" s="630" t="s">
        <v>327</v>
      </c>
      <c r="G36" s="743" t="s">
        <v>977</v>
      </c>
      <c r="H36" s="742" t="s">
        <v>327</v>
      </c>
      <c r="I36" s="459" t="s">
        <v>977</v>
      </c>
      <c r="J36" s="626" t="s">
        <v>327</v>
      </c>
      <c r="K36" s="225" t="s">
        <v>978</v>
      </c>
      <c r="V36" s="440">
        <v>68</v>
      </c>
    </row>
    <row r="37" spans="1:22" ht="11.45" customHeight="1">
      <c r="A37" s="440"/>
      <c r="C37" s="440"/>
      <c r="D37" s="283"/>
      <c r="E37" s="515" t="s">
        <v>979</v>
      </c>
      <c r="F37" s="507"/>
      <c r="G37" s="629"/>
      <c r="H37" s="629"/>
      <c r="I37" s="629"/>
      <c r="J37" s="629"/>
      <c r="K37" s="508"/>
      <c r="U37" s="440"/>
      <c r="V37" s="440">
        <v>11</v>
      </c>
    </row>
    <row r="38" spans="1:22" ht="71.25" customHeight="1">
      <c r="A38" s="440"/>
      <c r="B38" s="440" t="s">
        <v>980</v>
      </c>
      <c r="C38" s="461"/>
      <c r="D38" s="627">
        <v>4</v>
      </c>
      <c r="E38" s="628" t="s">
        <v>981</v>
      </c>
      <c r="F38" s="630" t="s">
        <v>327</v>
      </c>
      <c r="G38" s="743" t="s">
        <v>977</v>
      </c>
      <c r="H38" s="744" t="s">
        <v>327</v>
      </c>
      <c r="I38" s="459" t="s">
        <v>977</v>
      </c>
      <c r="J38" s="456" t="s">
        <v>327</v>
      </c>
      <c r="K38" s="614" t="s">
        <v>982</v>
      </c>
      <c r="V38" s="440">
        <v>68</v>
      </c>
    </row>
    <row r="39" spans="1:22" ht="11.45" customHeight="1">
      <c r="A39" s="440"/>
      <c r="C39" s="440"/>
      <c r="D39" s="283"/>
      <c r="E39" s="515" t="s">
        <v>983</v>
      </c>
      <c r="F39" s="507"/>
      <c r="G39" s="507"/>
      <c r="H39" s="631"/>
      <c r="I39" s="507"/>
      <c r="J39" s="631"/>
      <c r="K39" s="508"/>
      <c r="U39" s="440"/>
      <c r="V39" s="440">
        <v>11</v>
      </c>
    </row>
    <row r="40" spans="1:22" ht="22.5" hidden="1" customHeight="1">
      <c r="A40" s="384" t="s">
        <v>86</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4205" hidden="1" customWidth="1"/>
    <col min="4" max="4" width="6.7109375" style="4139" hidden="1" customWidth="1"/>
    <col min="5" max="5" width="3" style="4133" customWidth="1"/>
    <col min="6" max="6" width="6" style="4133" customWidth="1"/>
    <col min="7" max="7" width="37" style="4133" customWidth="1"/>
    <col min="8" max="8" width="16" style="4133" customWidth="1"/>
    <col min="9" max="10" width="19" style="4133" customWidth="1"/>
    <col min="11" max="11" width="24" style="4133" customWidth="1"/>
    <col min="12" max="13" width="25" style="4133" customWidth="1"/>
    <col min="14" max="16" width="17" style="4133" customWidth="1"/>
    <col min="17" max="24" width="19" style="4133" customWidth="1"/>
    <col min="25" max="25" width="7" style="4133" customWidth="1"/>
    <col min="26" max="26" width="3" style="4133" customWidth="1"/>
    <col min="27" max="27" width="6" style="4133" customWidth="1"/>
    <col min="28" max="28" width="34" style="4133" customWidth="1"/>
    <col min="29" max="30" width="8" style="4133" customWidth="1"/>
    <col min="31" max="31" width="9.140625" style="4133" hidden="1"/>
  </cols>
  <sheetData>
    <row r="1" spans="1:31" s="4139" customFormat="1" ht="10.5" hidden="1" customHeight="1">
      <c r="A1" s="819"/>
      <c r="B1" s="819"/>
      <c r="C1" s="819"/>
      <c r="E1" s="472"/>
      <c r="H1" s="1078"/>
      <c r="AE1" s="352" t="s">
        <v>14</v>
      </c>
    </row>
    <row r="2" spans="1:31" ht="10.5" hidden="1" customHeight="1">
      <c r="AE2" s="691">
        <v>0</v>
      </c>
    </row>
    <row r="3" spans="1:31" s="4131" customFormat="1" ht="10.5" hidden="1" customHeight="1">
      <c r="A3" s="819"/>
      <c r="B3" s="819"/>
      <c r="C3" s="819"/>
      <c r="D3" s="352"/>
      <c r="E3" s="297"/>
      <c r="G3" s="1550" t="s">
        <v>984</v>
      </c>
      <c r="H3" s="1074"/>
      <c r="AE3" s="692">
        <v>0</v>
      </c>
    </row>
    <row r="4" spans="1:31" ht="3" customHeight="1">
      <c r="AE4" s="691">
        <v>3</v>
      </c>
    </row>
    <row r="5" spans="1:31" ht="27.4" customHeight="1">
      <c r="F5" s="439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393"/>
      <c r="H5" s="4393"/>
      <c r="I5" s="4393"/>
      <c r="J5" s="4393"/>
      <c r="K5" s="4393"/>
      <c r="M5" s="517"/>
      <c r="AB5" s="830"/>
      <c r="AE5" s="691">
        <v>26</v>
      </c>
    </row>
    <row r="6" spans="1:31" s="4133" customFormat="1" ht="16.899999999999999" customHeight="1">
      <c r="A6" s="1084"/>
      <c r="B6" s="1084"/>
      <c r="C6" s="1084"/>
      <c r="D6" s="1078"/>
      <c r="E6" s="1553"/>
      <c r="F6" s="4365" t="str">
        <f>IF(org=0,"Не определено",org)</f>
        <v>АО "Мурманэнергосбыт"</v>
      </c>
      <c r="G6" s="4365"/>
      <c r="H6" s="4365"/>
      <c r="I6" s="4365"/>
      <c r="J6" s="4365"/>
      <c r="K6" s="4365"/>
      <c r="M6" s="517"/>
      <c r="AB6" s="1066"/>
      <c r="AE6" s="1549">
        <v>16</v>
      </c>
    </row>
    <row r="7" spans="1:31" ht="10.5" customHeight="1">
      <c r="AE7" s="691">
        <v>10</v>
      </c>
    </row>
    <row r="8" spans="1:31" ht="10.5" customHeight="1">
      <c r="A8" s="973"/>
      <c r="B8" s="973"/>
      <c r="C8" s="973"/>
      <c r="F8" s="4256" t="s">
        <v>321</v>
      </c>
      <c r="G8" s="4261"/>
      <c r="H8" s="4261"/>
      <c r="I8" s="4261"/>
      <c r="J8" s="4261"/>
      <c r="K8" s="4261"/>
      <c r="L8" s="4261"/>
      <c r="M8" s="4261"/>
      <c r="N8" s="4261"/>
      <c r="O8" s="4261"/>
      <c r="P8" s="4261"/>
      <c r="Q8" s="4261"/>
      <c r="R8" s="4261"/>
      <c r="S8" s="4261"/>
      <c r="T8" s="4261"/>
      <c r="U8" s="4261"/>
      <c r="V8" s="4261"/>
      <c r="W8" s="4261"/>
      <c r="X8" s="4261"/>
      <c r="Y8" s="4261"/>
      <c r="Z8" s="4261"/>
      <c r="AA8" s="4261"/>
      <c r="AB8" s="4255"/>
      <c r="AE8" s="691">
        <v>10</v>
      </c>
    </row>
    <row r="9" spans="1:31" ht="43.15" customHeight="1">
      <c r="A9" s="829"/>
      <c r="B9" s="829"/>
      <c r="C9" s="829"/>
      <c r="F9" s="4274" t="s">
        <v>92</v>
      </c>
      <c r="G9" s="4274" t="s">
        <v>984</v>
      </c>
      <c r="H9" s="4345" t="s">
        <v>985</v>
      </c>
      <c r="I9" s="4274" t="s">
        <v>986</v>
      </c>
      <c r="J9" s="4274" t="s">
        <v>987</v>
      </c>
      <c r="K9" s="4274" t="s">
        <v>988</v>
      </c>
      <c r="L9" s="4274" t="s">
        <v>989</v>
      </c>
      <c r="M9" s="4274" t="s">
        <v>990</v>
      </c>
      <c r="N9" s="4373" t="s">
        <v>991</v>
      </c>
      <c r="O9" s="4373"/>
      <c r="P9" s="4373"/>
      <c r="Q9" s="4426" t="s">
        <v>992</v>
      </c>
      <c r="R9" s="4427"/>
      <c r="S9" s="4427"/>
      <c r="T9" s="4428"/>
      <c r="U9" s="4426" t="s">
        <v>993</v>
      </c>
      <c r="V9" s="4427"/>
      <c r="W9" s="4427"/>
      <c r="X9" s="4428"/>
      <c r="Y9" s="4256" t="s">
        <v>994</v>
      </c>
      <c r="Z9" s="4261"/>
      <c r="AA9" s="4261"/>
      <c r="AB9" s="4255"/>
      <c r="AE9" s="691">
        <v>41</v>
      </c>
    </row>
    <row r="10" spans="1:31" ht="43.15" customHeight="1">
      <c r="A10" s="829"/>
      <c r="B10" s="829"/>
      <c r="C10" s="829"/>
      <c r="F10" s="4345"/>
      <c r="G10" s="4345"/>
      <c r="H10" s="4398"/>
      <c r="I10" s="4345"/>
      <c r="J10" s="4345"/>
      <c r="K10" s="4345"/>
      <c r="L10" s="4345"/>
      <c r="M10" s="4345"/>
      <c r="N10" s="827" t="s">
        <v>995</v>
      </c>
      <c r="O10" s="827" t="s">
        <v>996</v>
      </c>
      <c r="P10" s="828" t="s">
        <v>997</v>
      </c>
      <c r="Q10" s="839" t="s">
        <v>93</v>
      </c>
      <c r="R10" s="839" t="s">
        <v>998</v>
      </c>
      <c r="S10" s="839" t="s">
        <v>999</v>
      </c>
      <c r="T10" s="840" t="s">
        <v>1000</v>
      </c>
      <c r="U10" s="839" t="s">
        <v>93</v>
      </c>
      <c r="V10" s="839" t="s">
        <v>1001</v>
      </c>
      <c r="W10" s="839" t="s">
        <v>999</v>
      </c>
      <c r="X10" s="840" t="s">
        <v>1000</v>
      </c>
      <c r="Y10" s="237" t="s">
        <v>1002</v>
      </c>
      <c r="Z10" s="4256" t="s">
        <v>92</v>
      </c>
      <c r="AA10" s="4255"/>
      <c r="AB10" s="971" t="s">
        <v>1003</v>
      </c>
      <c r="AE10" s="691">
        <v>41</v>
      </c>
    </row>
    <row r="11" spans="1:31" s="4140" customFormat="1" ht="5.25" hidden="1" customHeight="1">
      <c r="A11" s="974"/>
      <c r="B11" s="974"/>
      <c r="C11" s="974"/>
      <c r="E11" s="972"/>
      <c r="F11" s="4528" t="s">
        <v>397</v>
      </c>
      <c r="G11" s="4530"/>
      <c r="H11" s="4526"/>
      <c r="I11" s="4526"/>
      <c r="J11" s="4526"/>
      <c r="K11" s="4529"/>
      <c r="L11" s="4529"/>
      <c r="M11" s="4529"/>
      <c r="N11" s="4526"/>
      <c r="O11" s="4526"/>
      <c r="P11" s="4274"/>
      <c r="Q11" s="4355"/>
      <c r="R11" s="4355"/>
      <c r="S11" s="4355"/>
      <c r="T11" s="4526"/>
      <c r="U11" s="4355"/>
      <c r="V11" s="4355"/>
      <c r="W11" s="4355"/>
      <c r="X11" s="4526"/>
      <c r="Y11" s="4285"/>
      <c r="Z11" s="4285"/>
      <c r="AA11" s="4285"/>
      <c r="AB11" s="4285"/>
      <c r="AD11" s="446" t="s">
        <v>1004</v>
      </c>
      <c r="AE11" s="446">
        <v>0</v>
      </c>
    </row>
    <row r="12" spans="1:31" s="4140" customFormat="1" ht="5.25" hidden="1" customHeight="1">
      <c r="A12" s="820"/>
      <c r="B12" s="820"/>
      <c r="C12" s="820"/>
      <c r="E12" s="453"/>
      <c r="F12" s="4528"/>
      <c r="G12" s="4530"/>
      <c r="H12" s="4526"/>
      <c r="I12" s="4526"/>
      <c r="J12" s="4526"/>
      <c r="K12" s="4529"/>
      <c r="L12" s="4529"/>
      <c r="M12" s="4529"/>
      <c r="N12" s="4526"/>
      <c r="O12" s="4526"/>
      <c r="P12" s="4274"/>
      <c r="Q12" s="4355"/>
      <c r="R12" s="4355"/>
      <c r="S12" s="4355"/>
      <c r="T12" s="4526"/>
      <c r="U12" s="4355"/>
      <c r="V12" s="4355"/>
      <c r="W12" s="4355"/>
      <c r="X12" s="4526"/>
      <c r="Y12" s="4527"/>
      <c r="Z12" s="4527"/>
      <c r="AA12" s="4527"/>
      <c r="AB12" s="4527"/>
      <c r="AE12" s="446">
        <v>0</v>
      </c>
    </row>
    <row r="13" spans="1:31" ht="10.5" customHeight="1">
      <c r="F13" s="826"/>
      <c r="G13" s="585" t="s">
        <v>1005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4140" customFormat="1" ht="10.5" customHeight="1">
      <c r="A15" s="1085"/>
      <c r="B15" s="1085"/>
      <c r="C15" s="1085"/>
      <c r="E15" s="453"/>
      <c r="H15" s="446">
        <f>IFERROR(MATCH("нет",IP_MAIN_DIFFERENTIATION_EVENTS_FLAG,0),0)</f>
        <v>0</v>
      </c>
      <c r="AE15" s="446">
        <v>10</v>
      </c>
    </row>
    <row r="16" spans="1:31" ht="10.5" hidden="1" customHeight="1">
      <c r="A16" s="819" t="s">
        <v>86</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4205" hidden="1" customWidth="1"/>
    <col min="4" max="4" width="4.140625" style="4139" hidden="1" customWidth="1"/>
    <col min="5" max="5" width="3" style="4133" customWidth="1"/>
    <col min="6" max="6" width="14" style="4133" customWidth="1"/>
    <col min="7" max="7" width="3" style="4133" customWidth="1"/>
    <col min="8" max="8" width="7" style="4133" customWidth="1"/>
    <col min="9" max="10" width="16" style="4133" customWidth="1"/>
    <col min="11" max="11" width="25" style="4133" customWidth="1"/>
    <col min="12" max="12" width="7" style="4133" customWidth="1"/>
    <col min="13" max="13" width="15" style="4133" customWidth="1"/>
    <col min="14" max="14" width="3" style="4133" customWidth="1"/>
    <col min="15" max="15" width="4" style="4133" customWidth="1"/>
    <col min="16" max="16" width="8" style="4133" customWidth="1"/>
    <col min="17" max="17" width="21" style="4133" customWidth="1"/>
    <col min="18" max="18" width="14" style="4133" customWidth="1"/>
    <col min="19" max="20" width="17" style="4133" customWidth="1"/>
    <col min="21" max="21" width="9" style="4133" customWidth="1"/>
    <col min="22" max="22" width="12" style="4133" customWidth="1"/>
    <col min="23" max="23" width="9" style="4133" customWidth="1"/>
    <col min="24" max="24" width="21" style="4133" customWidth="1"/>
    <col min="25" max="25" width="12" style="4133" customWidth="1"/>
    <col min="26" max="26" width="3" style="4133" customWidth="1"/>
    <col min="27" max="27" width="6" style="4133" customWidth="1"/>
    <col min="28" max="28" width="38" style="4133" customWidth="1"/>
    <col min="29" max="29" width="15" style="4133" customWidth="1"/>
    <col min="30" max="30" width="37.5703125" style="4133" hidden="1" customWidth="1"/>
    <col min="31" max="31" width="15.7109375" style="4133" hidden="1" customWidth="1"/>
    <col min="32" max="34" width="16" style="4133" customWidth="1"/>
    <col min="35" max="37" width="16.7109375" style="4133" hidden="1" customWidth="1"/>
    <col min="38" max="58" width="8" style="4133" customWidth="1"/>
    <col min="59" max="59" width="9.140625" style="4133" hidden="1"/>
  </cols>
  <sheetData>
    <row r="1" spans="1:59" s="4139" customFormat="1" ht="10.5" hidden="1" customHeight="1">
      <c r="A1" s="819"/>
      <c r="B1" s="819"/>
      <c r="C1" s="819"/>
      <c r="E1" s="472"/>
      <c r="H1" s="1078"/>
      <c r="L1" s="1046"/>
      <c r="M1" s="1046"/>
      <c r="AD1" s="1046"/>
      <c r="AH1" s="1065"/>
      <c r="AI1" s="1058"/>
      <c r="BG1" s="352" t="s">
        <v>14</v>
      </c>
    </row>
    <row r="2" spans="1:59" ht="10.5" hidden="1" customHeight="1">
      <c r="BG2" s="691">
        <v>0</v>
      </c>
    </row>
    <row r="3" spans="1:59" s="4131"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439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393"/>
      <c r="H5" s="4393"/>
      <c r="I5" s="4393"/>
      <c r="J5" s="4393"/>
      <c r="K5" s="4393"/>
      <c r="L5" s="1053"/>
      <c r="M5" s="1053"/>
      <c r="AG5" s="830"/>
      <c r="AH5" s="1066"/>
      <c r="BG5" s="691">
        <v>26</v>
      </c>
    </row>
    <row r="6" spans="1:59" ht="10.5" customHeight="1">
      <c r="F6" s="4365" t="str">
        <f>IF(org=0,"Не определено",org)</f>
        <v>АО "Мурманэнергосбыт"</v>
      </c>
      <c r="G6" s="4365"/>
      <c r="H6" s="4365"/>
      <c r="I6" s="4365"/>
      <c r="J6" s="4365"/>
      <c r="K6" s="4365"/>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4533" t="s">
        <v>321</v>
      </c>
      <c r="G8" s="4534"/>
      <c r="H8" s="4534"/>
      <c r="I8" s="4534"/>
      <c r="J8" s="4534"/>
      <c r="K8" s="4534"/>
      <c r="L8" s="4534"/>
      <c r="M8" s="4534"/>
      <c r="N8" s="4534"/>
      <c r="O8" s="4534"/>
      <c r="P8" s="4534"/>
      <c r="Q8" s="4534"/>
      <c r="R8" s="4534"/>
      <c r="S8" s="4534"/>
      <c r="T8" s="4534"/>
      <c r="U8" s="4534"/>
      <c r="V8" s="4534"/>
      <c r="W8" s="4534"/>
      <c r="X8" s="4534"/>
      <c r="Y8" s="4534"/>
      <c r="Z8" s="4534"/>
      <c r="AA8" s="4534"/>
      <c r="AB8" s="4534"/>
      <c r="AC8" s="4534"/>
      <c r="AD8" s="4534"/>
      <c r="AE8" s="4534"/>
      <c r="AF8" s="4534"/>
      <c r="AG8" s="4534"/>
      <c r="AH8" s="4534"/>
      <c r="AI8" s="4534"/>
      <c r="AJ8" s="4534"/>
      <c r="AK8" s="453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4373" t="s">
        <v>1006</v>
      </c>
      <c r="G9" s="4474" t="s">
        <v>1007</v>
      </c>
      <c r="H9" s="4515"/>
      <c r="I9" s="4274" t="s">
        <v>1008</v>
      </c>
      <c r="J9" s="4274"/>
      <c r="K9" s="4274" t="s">
        <v>1009</v>
      </c>
      <c r="L9" s="4274"/>
      <c r="M9" s="4274"/>
      <c r="N9" s="4274"/>
      <c r="O9" s="4274"/>
      <c r="P9" s="4274"/>
      <c r="Q9" s="4274"/>
      <c r="R9" s="4274"/>
      <c r="S9" s="4274"/>
      <c r="T9" s="4274"/>
      <c r="U9" s="4274"/>
      <c r="V9" s="4274"/>
      <c r="W9" s="4274"/>
      <c r="X9" s="4274"/>
      <c r="Y9" s="4274"/>
      <c r="Z9" s="4346" t="s">
        <v>1010</v>
      </c>
      <c r="AA9" s="4347"/>
      <c r="AB9" s="4274" t="s">
        <v>1011</v>
      </c>
      <c r="AC9" s="4274"/>
      <c r="AD9" s="4274"/>
      <c r="AE9" s="4274"/>
      <c r="AF9" s="4345" t="s">
        <v>1012</v>
      </c>
      <c r="AG9" s="4274" t="s">
        <v>1013</v>
      </c>
      <c r="AH9" s="4274"/>
      <c r="AI9" s="4345" t="s">
        <v>1014</v>
      </c>
      <c r="AJ9" s="4274" t="s">
        <v>1015</v>
      </c>
      <c r="AK9" s="4274"/>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4373"/>
      <c r="G10" s="4475"/>
      <c r="H10" s="4377"/>
      <c r="I10" s="4274"/>
      <c r="J10" s="4274"/>
      <c r="K10" s="4274" t="s">
        <v>1016</v>
      </c>
      <c r="L10" s="4256" t="s">
        <v>1017</v>
      </c>
      <c r="M10" s="4255"/>
      <c r="N10" s="4274" t="s">
        <v>1018</v>
      </c>
      <c r="O10" s="4274"/>
      <c r="P10" s="4274"/>
      <c r="Q10" s="4274"/>
      <c r="R10" s="4274"/>
      <c r="S10" s="4274"/>
      <c r="T10" s="4274"/>
      <c r="U10" s="4274"/>
      <c r="V10" s="4274"/>
      <c r="W10" s="4274"/>
      <c r="X10" s="4274"/>
      <c r="Y10" s="4274"/>
      <c r="Z10" s="4348"/>
      <c r="AA10" s="4349"/>
      <c r="AB10" s="4274"/>
      <c r="AC10" s="4274"/>
      <c r="AD10" s="4274"/>
      <c r="AE10" s="4274"/>
      <c r="AF10" s="4350"/>
      <c r="AG10" s="4274"/>
      <c r="AH10" s="4274"/>
      <c r="AI10" s="4350"/>
      <c r="AJ10" s="4274"/>
      <c r="AK10" s="4274"/>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4133" customFormat="1" ht="25.15" customHeight="1">
      <c r="A11" s="1047"/>
      <c r="B11" s="1047"/>
      <c r="C11" s="1047"/>
      <c r="D11" s="1046"/>
      <c r="E11" s="1048"/>
      <c r="F11" s="4373"/>
      <c r="G11" s="4475"/>
      <c r="H11" s="4377"/>
      <c r="I11" s="4274"/>
      <c r="J11" s="4274"/>
      <c r="K11" s="4274"/>
      <c r="L11" s="4345" t="s">
        <v>1019</v>
      </c>
      <c r="M11" s="4345" t="s">
        <v>1020</v>
      </c>
      <c r="N11" s="4274" t="s">
        <v>1021</v>
      </c>
      <c r="O11" s="4274"/>
      <c r="P11" s="4333" t="s">
        <v>1002</v>
      </c>
      <c r="Q11" s="4333" t="s">
        <v>1022</v>
      </c>
      <c r="R11" s="4333" t="s">
        <v>1023</v>
      </c>
      <c r="S11" s="4333" t="s">
        <v>1024</v>
      </c>
      <c r="T11" s="4333"/>
      <c r="U11" s="4333"/>
      <c r="V11" s="4333"/>
      <c r="W11" s="4333"/>
      <c r="X11" s="4333"/>
      <c r="Y11" s="4333"/>
      <c r="Z11" s="4348"/>
      <c r="AA11" s="4349"/>
      <c r="AB11" s="4274" t="s">
        <v>1025</v>
      </c>
      <c r="AC11" s="4274"/>
      <c r="AD11" s="4256" t="s">
        <v>1026</v>
      </c>
      <c r="AE11" s="4255"/>
      <c r="AF11" s="4350"/>
      <c r="AG11" s="4274"/>
      <c r="AH11" s="4274"/>
      <c r="AI11" s="4350"/>
      <c r="AJ11" s="4274"/>
      <c r="AK11" s="427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4373"/>
      <c r="G12" s="4476"/>
      <c r="H12" s="4532"/>
      <c r="I12" s="1071" t="s">
        <v>93</v>
      </c>
      <c r="J12" s="1071" t="s">
        <v>1027</v>
      </c>
      <c r="K12" s="4274"/>
      <c r="L12" s="4398"/>
      <c r="M12" s="4398"/>
      <c r="N12" s="4274"/>
      <c r="O12" s="4274"/>
      <c r="P12" s="4333"/>
      <c r="Q12" s="4333"/>
      <c r="R12" s="4333"/>
      <c r="S12" s="1052" t="s">
        <v>90</v>
      </c>
      <c r="T12" s="1052" t="s">
        <v>91</v>
      </c>
      <c r="U12" s="1052" t="s">
        <v>89</v>
      </c>
      <c r="V12" s="1052" t="s">
        <v>1028</v>
      </c>
      <c r="W12" s="1052" t="s">
        <v>89</v>
      </c>
      <c r="X12" s="1052" t="s">
        <v>1029</v>
      </c>
      <c r="Y12" s="1052" t="s">
        <v>1030</v>
      </c>
      <c r="Z12" s="4351"/>
      <c r="AA12" s="4352"/>
      <c r="AB12" s="1059" t="s">
        <v>1031</v>
      </c>
      <c r="AC12" s="1059" t="s">
        <v>1032</v>
      </c>
      <c r="AD12" s="1059" t="s">
        <v>1031</v>
      </c>
      <c r="AE12" s="1059" t="s">
        <v>1032</v>
      </c>
      <c r="AF12" s="4398"/>
      <c r="AG12" s="1072" t="s">
        <v>1033</v>
      </c>
      <c r="AH12" s="1072" t="s">
        <v>1034</v>
      </c>
      <c r="AI12" s="4398"/>
      <c r="AJ12" s="1072" t="s">
        <v>1033</v>
      </c>
      <c r="AK12" s="1072" t="s">
        <v>1034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1035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4531"/>
      <c r="G17" s="4531"/>
      <c r="H17" s="4531"/>
      <c r="I17" s="4531"/>
      <c r="J17" s="453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4531"/>
      <c r="G18" s="4531"/>
      <c r="H18" s="4531"/>
      <c r="I18" s="4531"/>
      <c r="J18" s="453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4531"/>
      <c r="G19" s="4531"/>
      <c r="H19" s="4531"/>
      <c r="I19" s="4531"/>
      <c r="J19" s="453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86</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4205" hidden="1" customWidth="1"/>
    <col min="4" max="4" width="4.140625" style="4139" hidden="1" customWidth="1"/>
    <col min="5" max="5" width="3" style="4133" customWidth="1"/>
    <col min="6" max="6" width="6" style="4133" customWidth="1"/>
    <col min="7" max="7" width="60" style="4133" customWidth="1"/>
    <col min="8" max="9" width="21.7109375" style="4133" hidden="1" customWidth="1"/>
    <col min="10" max="10" width="0.140625" style="4133" customWidth="1"/>
    <col min="11" max="11" width="1" style="4133" customWidth="1"/>
    <col min="12" max="22" width="8" style="4133" customWidth="1"/>
    <col min="23" max="23" width="9.140625" style="4133" hidden="1"/>
  </cols>
  <sheetData>
    <row r="1" spans="1:23" s="4139" customFormat="1" ht="10.5" hidden="1" customHeight="1">
      <c r="A1" s="1084"/>
      <c r="B1" s="1084"/>
      <c r="C1" s="1084"/>
      <c r="E1" s="472"/>
      <c r="W1" s="1078" t="s">
        <v>14</v>
      </c>
    </row>
    <row r="2" spans="1:23" ht="10.5" hidden="1" customHeight="1">
      <c r="W2" s="1073">
        <v>0</v>
      </c>
    </row>
    <row r="3" spans="1:23" s="4131" customFormat="1" ht="10.5" hidden="1" customHeight="1">
      <c r="A3" s="1084"/>
      <c r="B3" s="1084"/>
      <c r="C3" s="1084"/>
      <c r="D3" s="1078"/>
      <c r="E3" s="297"/>
      <c r="W3" s="1074">
        <v>0</v>
      </c>
    </row>
    <row r="4" spans="1:23" ht="3" customHeight="1">
      <c r="W4" s="1073">
        <v>3</v>
      </c>
    </row>
    <row r="5" spans="1:23" ht="27.4" customHeight="1">
      <c r="F5" s="439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4393"/>
      <c r="H5" s="4393"/>
      <c r="I5" s="4393"/>
      <c r="J5" s="4393"/>
      <c r="W5" s="1073">
        <v>26</v>
      </c>
    </row>
    <row r="6" spans="1:23" ht="10.5" customHeight="1">
      <c r="F6" s="4365" t="str">
        <f>IF(org=0,"Не определено",org)</f>
        <v>АО "Мурманэнергосбыт"</v>
      </c>
      <c r="G6" s="4365"/>
      <c r="H6" s="4365"/>
      <c r="I6" s="4365"/>
      <c r="J6" s="4365"/>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4140"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4536" t="s">
        <v>321</v>
      </c>
      <c r="G9" s="4537"/>
      <c r="H9" s="4537"/>
      <c r="I9" s="4537"/>
      <c r="J9" s="4537"/>
      <c r="K9" s="1158"/>
      <c r="L9" s="1075"/>
      <c r="M9" s="1075"/>
      <c r="N9" s="1075"/>
      <c r="O9" s="1075"/>
      <c r="P9" s="1075"/>
      <c r="Q9" s="1075"/>
      <c r="R9" s="1075"/>
      <c r="S9" s="1075"/>
      <c r="T9" s="1075"/>
      <c r="U9" s="1075"/>
      <c r="V9" s="1075"/>
      <c r="W9" s="1073">
        <v>10</v>
      </c>
    </row>
    <row r="10" spans="1:23" ht="25.15" customHeight="1">
      <c r="E10" s="1075"/>
      <c r="F10" s="4540" t="s">
        <v>92</v>
      </c>
      <c r="G10" s="4544" t="s">
        <v>1036</v>
      </c>
      <c r="H10" s="4526" t="s">
        <v>1037</v>
      </c>
      <c r="I10" s="4526"/>
      <c r="J10" s="4526"/>
      <c r="K10" s="1151"/>
      <c r="L10" s="1075"/>
      <c r="M10" s="1075"/>
      <c r="N10" s="1075"/>
      <c r="O10" s="1075"/>
      <c r="P10" s="1075"/>
      <c r="Q10" s="1075"/>
      <c r="R10" s="1075"/>
      <c r="S10" s="1075"/>
      <c r="T10" s="1075"/>
      <c r="U10" s="1075"/>
      <c r="V10" s="1075"/>
      <c r="W10" s="1073">
        <v>24</v>
      </c>
    </row>
    <row r="11" spans="1:23" ht="25.5" customHeight="1">
      <c r="E11" s="1075"/>
      <c r="F11" s="4541"/>
      <c r="G11" s="4544"/>
      <c r="H11" s="4543" t="e">
        <f>INDEX(IP_MAIN_LIST_NAME_IP,MATCH(H8,IP_MAIN_LIST_IP_ID,0))&amp;" ("&amp;INDEX(IP_MAIN_START_DATE,MATCH(H8,IP_MAIN_LIST_IP_ID,0))&amp;"-"&amp;INDEX(IP_MAIN_END_DATE,MATCH(H8,IP_MAIN_LIST_IP_ID,0))&amp;")"</f>
        <v>#N/A</v>
      </c>
      <c r="I11" s="4543"/>
      <c r="J11" s="4543"/>
      <c r="K11" s="1151"/>
      <c r="L11" s="1075"/>
      <c r="M11" s="1075"/>
      <c r="N11" s="1075"/>
      <c r="O11" s="1075"/>
      <c r="P11" s="1075"/>
      <c r="Q11" s="1075"/>
      <c r="R11" s="1075"/>
      <c r="S11" s="1075"/>
      <c r="T11" s="1075"/>
      <c r="U11" s="1075"/>
      <c r="V11" s="1075"/>
      <c r="W11" s="1073">
        <v>24</v>
      </c>
    </row>
    <row r="12" spans="1:23" ht="10.5" customHeight="1">
      <c r="F12" s="4542"/>
      <c r="G12" s="4544"/>
      <c r="H12" s="1144" t="s">
        <v>1038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1039</v>
      </c>
      <c r="G14" s="4538" t="s">
        <v>1040</v>
      </c>
      <c r="H14" s="4538"/>
      <c r="I14" s="4538"/>
      <c r="J14" s="4538"/>
      <c r="K14" s="1152"/>
      <c r="W14" s="1073">
        <v>11</v>
      </c>
    </row>
    <row r="15" spans="1:23" ht="11.45" customHeight="1">
      <c r="F15" s="1148">
        <v>1</v>
      </c>
      <c r="G15" s="625" t="s">
        <v>1041</v>
      </c>
      <c r="H15" s="1154">
        <f t="shared" ref="H15:H36" si="0">SUM(I15:J15)</f>
        <v>0</v>
      </c>
      <c r="I15" s="1154">
        <f>SUM(I16:I27)</f>
        <v>0</v>
      </c>
      <c r="J15" s="1143"/>
      <c r="K15" s="1152"/>
      <c r="W15" s="1073">
        <v>11</v>
      </c>
    </row>
    <row r="16" spans="1:23" ht="24" customHeight="1">
      <c r="F16" s="1148" t="s">
        <v>1042</v>
      </c>
      <c r="G16" s="1155" t="s">
        <v>1043</v>
      </c>
      <c r="H16" s="1154">
        <f t="shared" si="0"/>
        <v>0</v>
      </c>
      <c r="I16" s="1153"/>
      <c r="J16" s="1143"/>
      <c r="K16" s="1152"/>
      <c r="W16" s="1073">
        <v>23</v>
      </c>
    </row>
    <row r="17" spans="6:23" ht="24" customHeight="1">
      <c r="F17" s="1148" t="s">
        <v>1044</v>
      </c>
      <c r="G17" s="1155" t="s">
        <v>1045</v>
      </c>
      <c r="H17" s="1154">
        <f t="shared" si="0"/>
        <v>0</v>
      </c>
      <c r="I17" s="1153"/>
      <c r="J17" s="1143"/>
      <c r="K17" s="1152"/>
      <c r="W17" s="1073">
        <v>23</v>
      </c>
    </row>
    <row r="18" spans="6:23" ht="35.65" customHeight="1">
      <c r="F18" s="1148" t="s">
        <v>1046</v>
      </c>
      <c r="G18" s="1155" t="s">
        <v>1047</v>
      </c>
      <c r="H18" s="1154">
        <f t="shared" si="0"/>
        <v>0</v>
      </c>
      <c r="I18" s="1153"/>
      <c r="J18" s="1143"/>
      <c r="K18" s="1152"/>
      <c r="W18" s="1073">
        <v>34</v>
      </c>
    </row>
    <row r="19" spans="6:23" ht="35.65" customHeight="1">
      <c r="F19" s="1148" t="s">
        <v>1048</v>
      </c>
      <c r="G19" s="1155" t="s">
        <v>1049</v>
      </c>
      <c r="H19" s="1154">
        <f t="shared" si="0"/>
        <v>0</v>
      </c>
      <c r="I19" s="1153"/>
      <c r="J19" s="1143"/>
      <c r="K19" s="1152"/>
      <c r="W19" s="1073">
        <v>34</v>
      </c>
    </row>
    <row r="20" spans="6:23" ht="48.2" customHeight="1">
      <c r="F20" s="1148" t="s">
        <v>1050</v>
      </c>
      <c r="G20" s="1155" t="s">
        <v>1051</v>
      </c>
      <c r="H20" s="1154">
        <f t="shared" si="0"/>
        <v>0</v>
      </c>
      <c r="I20" s="1153"/>
      <c r="J20" s="1143"/>
      <c r="K20" s="1152"/>
      <c r="W20" s="1073">
        <v>46</v>
      </c>
    </row>
    <row r="21" spans="6:23" ht="35.65" customHeight="1">
      <c r="F21" s="1148" t="s">
        <v>1052</v>
      </c>
      <c r="G21" s="1155" t="s">
        <v>1053</v>
      </c>
      <c r="H21" s="1154">
        <f t="shared" si="0"/>
        <v>0</v>
      </c>
      <c r="I21" s="1153"/>
      <c r="J21" s="1143"/>
      <c r="K21" s="1152"/>
      <c r="W21" s="1073">
        <v>34</v>
      </c>
    </row>
    <row r="22" spans="6:23" ht="35.65" customHeight="1">
      <c r="F22" s="1148" t="s">
        <v>1054</v>
      </c>
      <c r="G22" s="1155" t="s">
        <v>1055</v>
      </c>
      <c r="H22" s="1154">
        <f t="shared" si="0"/>
        <v>0</v>
      </c>
      <c r="I22" s="1153"/>
      <c r="J22" s="1143"/>
      <c r="K22" s="1152"/>
      <c r="W22" s="1073">
        <v>34</v>
      </c>
    </row>
    <row r="23" spans="6:23" ht="24" customHeight="1">
      <c r="F23" s="1148" t="s">
        <v>1056</v>
      </c>
      <c r="G23" s="1155" t="s">
        <v>1057</v>
      </c>
      <c r="H23" s="1154">
        <f t="shared" si="0"/>
        <v>0</v>
      </c>
      <c r="I23" s="1153"/>
      <c r="J23" s="1143"/>
      <c r="K23" s="1152"/>
      <c r="W23" s="1073">
        <v>23</v>
      </c>
    </row>
    <row r="24" spans="6:23" ht="24" customHeight="1">
      <c r="F24" s="1148" t="s">
        <v>1058</v>
      </c>
      <c r="G24" s="1155" t="s">
        <v>1059</v>
      </c>
      <c r="H24" s="1154">
        <f t="shared" si="0"/>
        <v>0</v>
      </c>
      <c r="I24" s="1153"/>
      <c r="J24" s="1143"/>
      <c r="K24" s="1152"/>
      <c r="W24" s="1073">
        <v>23</v>
      </c>
    </row>
    <row r="25" spans="6:23" ht="35.65" customHeight="1">
      <c r="F25" s="1148" t="s">
        <v>1060</v>
      </c>
      <c r="G25" s="1155" t="s">
        <v>1061</v>
      </c>
      <c r="H25" s="1154">
        <f t="shared" si="0"/>
        <v>0</v>
      </c>
      <c r="I25" s="1153"/>
      <c r="J25" s="1143"/>
      <c r="K25" s="1152"/>
      <c r="W25" s="1073">
        <v>34</v>
      </c>
    </row>
    <row r="26" spans="6:23" ht="35.65" customHeight="1">
      <c r="F26" s="1148" t="s">
        <v>1062</v>
      </c>
      <c r="G26" s="1155" t="s">
        <v>1063</v>
      </c>
      <c r="H26" s="1154">
        <f t="shared" si="0"/>
        <v>0</v>
      </c>
      <c r="I26" s="1153"/>
      <c r="J26" s="1143"/>
      <c r="K26" s="1152"/>
      <c r="W26" s="1073">
        <v>34</v>
      </c>
    </row>
    <row r="27" spans="6:23" ht="11.45" customHeight="1">
      <c r="F27" s="1148" t="s">
        <v>1064</v>
      </c>
      <c r="G27" s="1155" t="s">
        <v>1065</v>
      </c>
      <c r="H27" s="1154">
        <f t="shared" si="0"/>
        <v>0</v>
      </c>
      <c r="I27" s="1153"/>
      <c r="J27" s="1143"/>
      <c r="K27" s="1152"/>
      <c r="W27" s="1073">
        <v>11</v>
      </c>
    </row>
    <row r="28" spans="6:23" ht="11.45" customHeight="1">
      <c r="F28" s="1148">
        <v>2</v>
      </c>
      <c r="G28" s="625" t="s">
        <v>1066</v>
      </c>
      <c r="H28" s="1154">
        <f t="shared" si="0"/>
        <v>0</v>
      </c>
      <c r="I28" s="1154">
        <f>SUM(I29:I31)</f>
        <v>0</v>
      </c>
      <c r="J28" s="1143"/>
      <c r="K28" s="1152"/>
      <c r="W28" s="1073">
        <v>11</v>
      </c>
    </row>
    <row r="29" spans="6:23" ht="11.45" customHeight="1">
      <c r="F29" s="1148" t="s">
        <v>729</v>
      </c>
      <c r="G29" s="1155" t="s">
        <v>1067</v>
      </c>
      <c r="H29" s="1154">
        <f t="shared" si="0"/>
        <v>0</v>
      </c>
      <c r="I29" s="1153"/>
      <c r="J29" s="1143"/>
      <c r="K29" s="1152"/>
      <c r="W29" s="1073">
        <v>11</v>
      </c>
    </row>
    <row r="30" spans="6:23" ht="11.45" customHeight="1">
      <c r="F30" s="1148" t="s">
        <v>328</v>
      </c>
      <c r="G30" s="1155" t="s">
        <v>1068</v>
      </c>
      <c r="H30" s="1154">
        <f t="shared" si="0"/>
        <v>0</v>
      </c>
      <c r="I30" s="1153"/>
      <c r="J30" s="1143"/>
      <c r="K30" s="1152"/>
      <c r="W30" s="1073">
        <v>11</v>
      </c>
    </row>
    <row r="31" spans="6:23" ht="11.45" customHeight="1">
      <c r="F31" s="1148" t="s">
        <v>331</v>
      </c>
      <c r="G31" s="1155" t="s">
        <v>1069</v>
      </c>
      <c r="H31" s="1154">
        <f t="shared" si="0"/>
        <v>0</v>
      </c>
      <c r="I31" s="1153"/>
      <c r="J31" s="1143"/>
      <c r="K31" s="1152"/>
      <c r="W31" s="1073">
        <v>11</v>
      </c>
    </row>
    <row r="32" spans="6:23" ht="11.45" customHeight="1">
      <c r="F32" s="1148">
        <v>3</v>
      </c>
      <c r="G32" s="625" t="s">
        <v>1070</v>
      </c>
      <c r="H32" s="1154">
        <f t="shared" si="0"/>
        <v>0</v>
      </c>
      <c r="I32" s="1154">
        <f>SUM(I33:I34)</f>
        <v>0</v>
      </c>
      <c r="J32" s="1143"/>
      <c r="K32" s="1152"/>
      <c r="W32" s="1073">
        <v>11</v>
      </c>
    </row>
    <row r="33" spans="6:23" ht="48.2" customHeight="1">
      <c r="F33" s="1148" t="s">
        <v>345</v>
      </c>
      <c r="G33" s="1155" t="s">
        <v>1071</v>
      </c>
      <c r="H33" s="1154">
        <f t="shared" si="0"/>
        <v>0</v>
      </c>
      <c r="I33" s="1153"/>
      <c r="J33" s="1143"/>
      <c r="K33" s="1152"/>
      <c r="W33" s="1073">
        <v>46</v>
      </c>
    </row>
    <row r="34" spans="6:23" ht="11.45" customHeight="1">
      <c r="F34" s="1148" t="s">
        <v>353</v>
      </c>
      <c r="G34" s="1155" t="s">
        <v>1072</v>
      </c>
      <c r="H34" s="1154">
        <f t="shared" si="0"/>
        <v>0</v>
      </c>
      <c r="I34" s="1153"/>
      <c r="J34" s="1143"/>
      <c r="K34" s="1152"/>
      <c r="W34" s="1073">
        <v>11</v>
      </c>
    </row>
    <row r="35" spans="6:23" ht="11.45" customHeight="1">
      <c r="F35" s="1148">
        <v>4</v>
      </c>
      <c r="G35" s="625" t="s">
        <v>1073</v>
      </c>
      <c r="H35" s="1154">
        <f t="shared" si="0"/>
        <v>0</v>
      </c>
      <c r="I35" s="1153"/>
      <c r="J35" s="1143"/>
      <c r="K35" s="1152"/>
      <c r="W35" s="1073">
        <v>11</v>
      </c>
    </row>
    <row r="36" spans="6:23" ht="11.45" customHeight="1">
      <c r="F36" s="1148"/>
      <c r="G36" s="628" t="s">
        <v>1074</v>
      </c>
      <c r="H36" s="1154">
        <f t="shared" si="0"/>
        <v>0</v>
      </c>
      <c r="I36" s="1154">
        <f>SUM(I15,I28,I32,I35)</f>
        <v>0</v>
      </c>
      <c r="J36" s="1143"/>
      <c r="K36" s="1152"/>
      <c r="W36" s="1073">
        <v>11</v>
      </c>
    </row>
    <row r="37" spans="6:23" ht="29.25" customHeight="1">
      <c r="F37" s="1149" t="s">
        <v>1075</v>
      </c>
      <c r="G37" s="4539" t="s">
        <v>1076</v>
      </c>
      <c r="H37" s="4539"/>
      <c r="I37" s="4539"/>
      <c r="J37" s="4539"/>
      <c r="K37" s="1152"/>
      <c r="W37" s="1073">
        <v>28</v>
      </c>
    </row>
    <row r="38" spans="6:23" ht="24" customHeight="1">
      <c r="F38" s="1148" t="s">
        <v>113</v>
      </c>
      <c r="G38" s="625" t="s">
        <v>1077</v>
      </c>
      <c r="H38" s="1154">
        <f t="shared" ref="H38:H58" si="1">SUM(I38:J38)</f>
        <v>0</v>
      </c>
      <c r="I38" s="1154">
        <f>SUM(I39,I44,I47)</f>
        <v>0</v>
      </c>
      <c r="J38" s="1143"/>
      <c r="K38" s="1152"/>
      <c r="W38" s="1073">
        <v>23</v>
      </c>
    </row>
    <row r="39" spans="6:23" ht="11.45" customHeight="1">
      <c r="F39" s="1148" t="s">
        <v>1042</v>
      </c>
      <c r="G39" s="1155" t="s">
        <v>1041</v>
      </c>
      <c r="H39" s="1154">
        <f t="shared" si="1"/>
        <v>0</v>
      </c>
      <c r="I39" s="1154">
        <f>SUM(I40:I43)</f>
        <v>0</v>
      </c>
      <c r="J39" s="1143"/>
      <c r="K39" s="1152"/>
      <c r="W39" s="1073">
        <v>11</v>
      </c>
    </row>
    <row r="40" spans="6:23" ht="24" customHeight="1">
      <c r="F40" s="1148" t="s">
        <v>1078</v>
      </c>
      <c r="G40" s="1156" t="s">
        <v>1079</v>
      </c>
      <c r="H40" s="1154">
        <f t="shared" si="1"/>
        <v>0</v>
      </c>
      <c r="I40" s="1153"/>
      <c r="J40" s="1143"/>
      <c r="K40" s="1152"/>
      <c r="W40" s="1073">
        <v>23</v>
      </c>
    </row>
    <row r="41" spans="6:23" ht="11.45" customHeight="1">
      <c r="F41" s="1148" t="s">
        <v>1080</v>
      </c>
      <c r="G41" s="1156" t="s">
        <v>1081</v>
      </c>
      <c r="H41" s="1154">
        <f t="shared" si="1"/>
        <v>0</v>
      </c>
      <c r="I41" s="1153"/>
      <c r="J41" s="1143"/>
      <c r="K41" s="1152"/>
      <c r="W41" s="1073">
        <v>11</v>
      </c>
    </row>
    <row r="42" spans="6:23" ht="11.45" customHeight="1">
      <c r="F42" s="1148" t="s">
        <v>1082</v>
      </c>
      <c r="G42" s="1156" t="s">
        <v>1083</v>
      </c>
      <c r="H42" s="1154">
        <f t="shared" si="1"/>
        <v>0</v>
      </c>
      <c r="I42" s="1153"/>
      <c r="J42" s="1143"/>
      <c r="K42" s="1152"/>
      <c r="W42" s="1073">
        <v>11</v>
      </c>
    </row>
    <row r="43" spans="6:23" ht="35.65" customHeight="1">
      <c r="F43" s="1148" t="s">
        <v>1084</v>
      </c>
      <c r="G43" s="1156" t="s">
        <v>1085</v>
      </c>
      <c r="H43" s="1154">
        <f t="shared" si="1"/>
        <v>0</v>
      </c>
      <c r="I43" s="1153"/>
      <c r="J43" s="1143"/>
      <c r="K43" s="1152"/>
      <c r="W43" s="1073">
        <v>34</v>
      </c>
    </row>
    <row r="44" spans="6:23" ht="11.45" customHeight="1">
      <c r="F44" s="1148" t="s">
        <v>1044</v>
      </c>
      <c r="G44" s="1155" t="s">
        <v>1070</v>
      </c>
      <c r="H44" s="1154">
        <f t="shared" si="1"/>
        <v>0</v>
      </c>
      <c r="I44" s="1154">
        <f>SUM(I45:I46)</f>
        <v>0</v>
      </c>
      <c r="J44" s="1143"/>
      <c r="K44" s="1152"/>
      <c r="W44" s="1073">
        <v>11</v>
      </c>
    </row>
    <row r="45" spans="6:23" ht="48.2" customHeight="1">
      <c r="F45" s="1148" t="s">
        <v>1086</v>
      </c>
      <c r="G45" s="1156" t="s">
        <v>1071</v>
      </c>
      <c r="H45" s="1154">
        <f t="shared" si="1"/>
        <v>0</v>
      </c>
      <c r="I45" s="1153"/>
      <c r="J45" s="1143"/>
      <c r="K45" s="1152"/>
      <c r="W45" s="1073">
        <v>46</v>
      </c>
    </row>
    <row r="46" spans="6:23" ht="11.45" customHeight="1">
      <c r="F46" s="1148" t="s">
        <v>1087</v>
      </c>
      <c r="G46" s="1156" t="s">
        <v>1072</v>
      </c>
      <c r="H46" s="1154">
        <f t="shared" si="1"/>
        <v>0</v>
      </c>
      <c r="I46" s="1153"/>
      <c r="J46" s="1143"/>
      <c r="K46" s="1152"/>
      <c r="W46" s="1073">
        <v>11</v>
      </c>
    </row>
    <row r="47" spans="6:23" ht="11.45" customHeight="1">
      <c r="F47" s="1148" t="s">
        <v>1046</v>
      </c>
      <c r="G47" s="1155" t="s">
        <v>1088</v>
      </c>
      <c r="H47" s="1154">
        <f t="shared" si="1"/>
        <v>0</v>
      </c>
      <c r="I47" s="1153"/>
      <c r="J47" s="1143"/>
      <c r="K47" s="1152"/>
      <c r="W47" s="1073">
        <v>11</v>
      </c>
    </row>
    <row r="48" spans="6:23" ht="24" customHeight="1">
      <c r="F48" s="1148" t="s">
        <v>114</v>
      </c>
      <c r="G48" s="625" t="s">
        <v>1089</v>
      </c>
      <c r="H48" s="1154">
        <f t="shared" si="1"/>
        <v>0</v>
      </c>
      <c r="I48" s="1154">
        <f>SUM(I49,I54,I57)</f>
        <v>0</v>
      </c>
      <c r="J48" s="1143"/>
      <c r="K48" s="1152"/>
      <c r="W48" s="1073">
        <v>23</v>
      </c>
    </row>
    <row r="49" spans="1:23" ht="11.45" customHeight="1">
      <c r="F49" s="1148" t="s">
        <v>729</v>
      </c>
      <c r="G49" s="1155" t="s">
        <v>1041</v>
      </c>
      <c r="H49" s="1154">
        <f t="shared" si="1"/>
        <v>0</v>
      </c>
      <c r="I49" s="1154">
        <f>SUM(I50:I53)</f>
        <v>0</v>
      </c>
      <c r="J49" s="1143"/>
      <c r="K49" s="1152"/>
      <c r="W49" s="1073">
        <v>11</v>
      </c>
    </row>
    <row r="50" spans="1:23" ht="24" customHeight="1">
      <c r="F50" s="1148" t="s">
        <v>732</v>
      </c>
      <c r="G50" s="1156" t="s">
        <v>1079</v>
      </c>
      <c r="H50" s="1154">
        <f t="shared" si="1"/>
        <v>0</v>
      </c>
      <c r="I50" s="1153"/>
      <c r="J50" s="1143"/>
      <c r="K50" s="1152"/>
      <c r="W50" s="1073">
        <v>23</v>
      </c>
    </row>
    <row r="51" spans="1:23" ht="11.45" customHeight="1">
      <c r="F51" s="1148" t="s">
        <v>735</v>
      </c>
      <c r="G51" s="1156" t="s">
        <v>1081</v>
      </c>
      <c r="H51" s="1154">
        <f t="shared" si="1"/>
        <v>0</v>
      </c>
      <c r="I51" s="1153"/>
      <c r="J51" s="1143"/>
      <c r="K51" s="1152"/>
      <c r="W51" s="1073">
        <v>11</v>
      </c>
    </row>
    <row r="52" spans="1:23" ht="11.45" customHeight="1">
      <c r="F52" s="1148" t="s">
        <v>1090</v>
      </c>
      <c r="G52" s="1156" t="s">
        <v>1083</v>
      </c>
      <c r="H52" s="1154">
        <f t="shared" si="1"/>
        <v>0</v>
      </c>
      <c r="I52" s="1153"/>
      <c r="J52" s="1143"/>
      <c r="K52" s="1152"/>
      <c r="W52" s="1073">
        <v>11</v>
      </c>
    </row>
    <row r="53" spans="1:23" ht="35.65" customHeight="1">
      <c r="F53" s="1148" t="s">
        <v>1091</v>
      </c>
      <c r="G53" s="1156" t="s">
        <v>1085</v>
      </c>
      <c r="H53" s="1154">
        <f t="shared" si="1"/>
        <v>0</v>
      </c>
      <c r="I53" s="1153"/>
      <c r="J53" s="1143"/>
      <c r="K53" s="1152"/>
      <c r="W53" s="1073">
        <v>34</v>
      </c>
    </row>
    <row r="54" spans="1:23" ht="11.45" customHeight="1">
      <c r="F54" s="1148" t="s">
        <v>328</v>
      </c>
      <c r="G54" s="1155" t="s">
        <v>1070</v>
      </c>
      <c r="H54" s="1154">
        <f t="shared" si="1"/>
        <v>0</v>
      </c>
      <c r="I54" s="1154">
        <f>SUM(I55:I56)</f>
        <v>0</v>
      </c>
      <c r="J54" s="1143"/>
      <c r="K54" s="1152"/>
      <c r="W54" s="1073">
        <v>11</v>
      </c>
    </row>
    <row r="55" spans="1:23" ht="48.2" customHeight="1">
      <c r="F55" s="1148" t="s">
        <v>739</v>
      </c>
      <c r="G55" s="1156" t="s">
        <v>1071</v>
      </c>
      <c r="H55" s="1154">
        <f t="shared" si="1"/>
        <v>0</v>
      </c>
      <c r="I55" s="1153"/>
      <c r="J55" s="1143"/>
      <c r="K55" s="1152"/>
      <c r="W55" s="1073">
        <v>46</v>
      </c>
    </row>
    <row r="56" spans="1:23" ht="11.45" customHeight="1">
      <c r="F56" s="1148" t="s">
        <v>741</v>
      </c>
      <c r="G56" s="1156" t="s">
        <v>1072</v>
      </c>
      <c r="H56" s="1154">
        <f t="shared" si="1"/>
        <v>0</v>
      </c>
      <c r="I56" s="1153"/>
      <c r="J56" s="1143"/>
      <c r="K56" s="1152"/>
      <c r="W56" s="1073">
        <v>11</v>
      </c>
    </row>
    <row r="57" spans="1:23" ht="11.45" customHeight="1">
      <c r="F57" s="1148" t="s">
        <v>331</v>
      </c>
      <c r="G57" s="1155" t="s">
        <v>1088</v>
      </c>
      <c r="H57" s="1154">
        <f t="shared" si="1"/>
        <v>0</v>
      </c>
      <c r="I57" s="1153"/>
      <c r="J57" s="1143"/>
      <c r="K57" s="1152"/>
      <c r="W57" s="1073">
        <v>11</v>
      </c>
    </row>
    <row r="58" spans="1:23" ht="11.45" customHeight="1">
      <c r="F58" s="1148"/>
      <c r="G58" s="1157" t="s">
        <v>1074</v>
      </c>
      <c r="H58" s="1154">
        <f t="shared" si="1"/>
        <v>0</v>
      </c>
      <c r="I58" s="1154">
        <f>SUM(I38,I48)</f>
        <v>0</v>
      </c>
      <c r="J58" s="1143"/>
      <c r="K58" s="1152"/>
      <c r="W58" s="1073">
        <v>11</v>
      </c>
    </row>
    <row r="59" spans="1:23" ht="10.5" hidden="1" customHeight="1">
      <c r="A59" s="1084" t="s">
        <v>86</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4212" hidden="1" customWidth="1"/>
    <col min="2" max="2" width="4.7109375" style="4213" hidden="1" customWidth="1"/>
    <col min="3" max="4" width="4.7109375" style="4212" hidden="1" customWidth="1"/>
    <col min="5" max="5" width="3" style="4212" customWidth="1"/>
    <col min="6" max="6" width="6" style="4212" customWidth="1"/>
    <col min="7" max="7" width="18" style="4212" customWidth="1"/>
    <col min="8" max="8" width="27" style="4212" customWidth="1"/>
    <col min="9" max="9" width="18" style="4212" customWidth="1"/>
    <col min="10" max="14" width="0.85546875" style="4212" hidden="1" customWidth="1"/>
    <col min="15" max="28" width="21.7109375" style="4212" customWidth="1"/>
    <col min="29" max="71" width="0.85546875" style="4212" customWidth="1"/>
    <col min="72" max="79" width="21.7109375" style="4212" hidden="1" customWidth="1"/>
    <col min="80" max="81" width="29.140625" style="4212" hidden="1" customWidth="1"/>
    <col min="82" max="89" width="21.7109375" style="4212" hidden="1" customWidth="1"/>
    <col min="90" max="102" width="0.7109375" style="4212" hidden="1" customWidth="1"/>
    <col min="103" max="114" width="21.7109375" style="4212" hidden="1" customWidth="1"/>
    <col min="115" max="178" width="0.7109375" style="4212" hidden="1" customWidth="1"/>
    <col min="179" max="179" width="0.140625" style="4212" customWidth="1"/>
    <col min="180" max="184" width="8" style="4212" customWidth="1"/>
    <col min="185" max="185" width="9.140625" style="4212" hidden="1"/>
  </cols>
  <sheetData>
    <row r="1" spans="2:185" s="4208" customFormat="1" ht="12" hidden="1" customHeight="1">
      <c r="B1" s="847"/>
      <c r="C1" s="848"/>
      <c r="D1" s="848"/>
      <c r="GC1" s="846" t="s">
        <v>14</v>
      </c>
    </row>
    <row r="2" spans="2:185" s="420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420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4209" customFormat="1" ht="27.4" customHeight="1">
      <c r="B5" s="1787"/>
      <c r="E5" s="1789"/>
      <c r="F5" s="456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4318"/>
      <c r="H5" s="4318"/>
      <c r="I5" s="4318"/>
      <c r="J5" s="4318"/>
      <c r="K5" s="4318"/>
      <c r="L5" s="4318"/>
      <c r="M5" s="4318"/>
      <c r="N5" s="4318"/>
      <c r="O5" s="4318"/>
      <c r="P5" s="4318"/>
      <c r="Q5" s="4318"/>
      <c r="R5" s="4318"/>
      <c r="S5" s="4318"/>
      <c r="T5" s="4318"/>
      <c r="U5" s="4318"/>
      <c r="V5" s="4318"/>
      <c r="W5" s="4318"/>
      <c r="X5" s="4318"/>
      <c r="Y5" s="4318"/>
      <c r="Z5" s="4318"/>
      <c r="AA5" s="4318"/>
      <c r="AB5" s="4318"/>
      <c r="AC5" s="4318"/>
      <c r="AD5" s="4318"/>
      <c r="AE5" s="4318"/>
      <c r="AF5" s="4318"/>
      <c r="AG5" s="4318"/>
      <c r="AH5" s="4318"/>
      <c r="AI5" s="4318"/>
      <c r="AJ5" s="4318"/>
      <c r="AK5" s="4318"/>
      <c r="AL5" s="4318"/>
      <c r="AM5" s="4318"/>
      <c r="AN5" s="4318"/>
      <c r="AO5" s="4318"/>
      <c r="AP5" s="4318"/>
      <c r="AQ5" s="4318"/>
      <c r="AR5" s="4318"/>
      <c r="AS5" s="4318"/>
      <c r="AT5" s="4318"/>
      <c r="AU5" s="4318"/>
      <c r="AV5" s="4318"/>
      <c r="AW5" s="4318"/>
      <c r="AX5" s="4318"/>
      <c r="AY5" s="4318"/>
      <c r="AZ5" s="4318"/>
      <c r="BA5" s="4318"/>
      <c r="BB5" s="4318"/>
      <c r="BC5" s="4318"/>
      <c r="BD5" s="4318"/>
      <c r="BE5" s="4318"/>
      <c r="BF5" s="4318"/>
      <c r="BG5" s="4318"/>
      <c r="BH5" s="4318"/>
      <c r="BI5" s="4318"/>
      <c r="BJ5" s="4318"/>
      <c r="BK5" s="4318"/>
      <c r="BL5" s="4318"/>
      <c r="BM5" s="4318"/>
      <c r="BN5" s="4318"/>
      <c r="BO5" s="4318"/>
      <c r="BP5" s="4318"/>
      <c r="BQ5" s="4318"/>
      <c r="BR5" s="4318"/>
      <c r="BS5" s="4318"/>
      <c r="GC5" s="1788">
        <v>26</v>
      </c>
    </row>
    <row r="6" spans="2:185" s="4210" customFormat="1" ht="18.75" customHeight="1">
      <c r="B6" s="867"/>
      <c r="E6" s="869"/>
      <c r="F6" s="4387" t="str">
        <f>IF(org=0,"Не определено",org)</f>
        <v>АО "Мурманэнергосбыт"</v>
      </c>
      <c r="G6" s="4388"/>
      <c r="H6" s="4388"/>
      <c r="I6" s="4388"/>
      <c r="J6" s="4388"/>
      <c r="K6" s="4388"/>
      <c r="L6" s="4388"/>
      <c r="M6" s="4388"/>
      <c r="N6" s="4388"/>
      <c r="O6" s="4388"/>
      <c r="P6" s="4388"/>
      <c r="Q6" s="4388"/>
      <c r="R6" s="4388"/>
      <c r="S6" s="4388"/>
      <c r="T6" s="4388"/>
      <c r="U6" s="4388"/>
      <c r="V6" s="4388"/>
      <c r="W6" s="4388"/>
      <c r="X6" s="4388"/>
      <c r="Y6" s="4388"/>
      <c r="Z6" s="4388"/>
      <c r="AA6" s="4388"/>
      <c r="AB6" s="4388"/>
      <c r="AC6" s="4388"/>
      <c r="AD6" s="4388"/>
      <c r="AE6" s="4388"/>
      <c r="AF6" s="4388"/>
      <c r="AG6" s="4388"/>
      <c r="AH6" s="4388"/>
      <c r="AI6" s="4388"/>
      <c r="AJ6" s="4388"/>
      <c r="AK6" s="4388"/>
      <c r="AL6" s="4388"/>
      <c r="AM6" s="4388"/>
      <c r="AN6" s="4388"/>
      <c r="AO6" s="4388"/>
      <c r="AP6" s="4388"/>
      <c r="AQ6" s="4388"/>
      <c r="AR6" s="4388"/>
      <c r="AS6" s="4388"/>
      <c r="AT6" s="4388"/>
      <c r="AU6" s="4388"/>
      <c r="AV6" s="4388"/>
      <c r="AW6" s="4388"/>
      <c r="AX6" s="4388"/>
      <c r="AY6" s="4388"/>
      <c r="AZ6" s="4388"/>
      <c r="BA6" s="4388"/>
      <c r="BB6" s="4388"/>
      <c r="BC6" s="4388"/>
      <c r="BD6" s="4388"/>
      <c r="BE6" s="4388"/>
      <c r="BF6" s="4388"/>
      <c r="BG6" s="4388"/>
      <c r="BH6" s="4388"/>
      <c r="BI6" s="4388"/>
      <c r="BJ6" s="4388"/>
      <c r="BK6" s="4388"/>
      <c r="BL6" s="4388"/>
      <c r="BM6" s="4388"/>
      <c r="BN6" s="4388"/>
      <c r="BO6" s="4388"/>
      <c r="BP6" s="4388"/>
      <c r="BQ6" s="4388"/>
      <c r="BR6" s="4388"/>
      <c r="BS6" s="4388"/>
      <c r="GC6" s="868">
        <v>18</v>
      </c>
    </row>
    <row r="7" spans="2:185" s="421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4211" customFormat="1" ht="11.25" hidden="1" customHeight="1">
      <c r="B8" s="858"/>
      <c r="F8" s="978"/>
      <c r="G8" s="696"/>
      <c r="H8" s="295"/>
      <c r="I8" s="295"/>
      <c r="J8" s="295"/>
      <c r="K8" s="295"/>
      <c r="L8" s="295"/>
      <c r="M8" s="978"/>
      <c r="N8" s="978"/>
      <c r="O8" s="4554" t="s">
        <v>1092</v>
      </c>
      <c r="P8" s="4555"/>
      <c r="Q8" s="4555"/>
      <c r="R8" s="4555"/>
      <c r="S8" s="4555"/>
      <c r="T8" s="4555"/>
      <c r="U8" s="4555"/>
      <c r="V8" s="4555"/>
      <c r="W8" s="4555"/>
      <c r="X8" s="4555"/>
      <c r="Y8" s="4555"/>
      <c r="Z8" s="4555"/>
      <c r="AA8" s="4555"/>
      <c r="AB8" s="4555"/>
      <c r="AC8" s="4555"/>
      <c r="AD8" s="4555"/>
      <c r="AE8" s="4555"/>
      <c r="AF8" s="4555"/>
      <c r="AG8" s="4555"/>
      <c r="AH8" s="4555"/>
      <c r="AI8" s="4555"/>
      <c r="AJ8" s="4555"/>
      <c r="AK8" s="4555"/>
      <c r="AL8" s="4555"/>
      <c r="AM8" s="4555"/>
      <c r="AN8" s="4555"/>
      <c r="AO8" s="4555"/>
      <c r="AP8" s="4555"/>
      <c r="AQ8" s="4555"/>
      <c r="AR8" s="4555"/>
      <c r="AS8" s="4555"/>
      <c r="AT8" s="4555"/>
      <c r="AU8" s="4555"/>
      <c r="AV8" s="4555"/>
      <c r="AW8" s="4555"/>
      <c r="AX8" s="4555"/>
      <c r="AY8" s="4555"/>
      <c r="AZ8" s="4555"/>
      <c r="BA8" s="4555"/>
      <c r="BB8" s="4555"/>
      <c r="BC8" s="4555"/>
      <c r="BD8" s="4555"/>
      <c r="BE8" s="4555"/>
      <c r="BF8" s="4555"/>
      <c r="BG8" s="4555"/>
      <c r="BH8" s="4555"/>
      <c r="BI8" s="4555"/>
      <c r="BJ8" s="4555"/>
      <c r="BK8" s="4555"/>
      <c r="BL8" s="4555"/>
      <c r="BM8" s="4555"/>
      <c r="BN8" s="4555"/>
      <c r="BO8" s="4555"/>
      <c r="BP8" s="4555"/>
      <c r="BQ8" s="4555"/>
      <c r="BR8" s="4555"/>
      <c r="BS8" s="4556"/>
      <c r="BT8" s="4557"/>
      <c r="BU8" s="4558"/>
      <c r="BV8" s="4558"/>
      <c r="BW8" s="4558"/>
      <c r="BX8" s="4558"/>
      <c r="BY8" s="4558"/>
      <c r="BZ8" s="4558"/>
      <c r="CA8" s="4558"/>
      <c r="CB8" s="4558"/>
      <c r="CC8" s="4558"/>
      <c r="CD8" s="4558"/>
      <c r="CE8" s="4558"/>
      <c r="CF8" s="4558"/>
      <c r="CG8" s="4558"/>
      <c r="CH8" s="4558"/>
      <c r="CI8" s="4558"/>
      <c r="CJ8" s="4558"/>
      <c r="CK8" s="4558"/>
      <c r="CL8" s="4558"/>
      <c r="CM8" s="4558"/>
      <c r="CN8" s="4558"/>
      <c r="CO8" s="4558"/>
      <c r="CP8" s="4558"/>
      <c r="CQ8" s="4558"/>
      <c r="CR8" s="4558"/>
      <c r="CS8" s="4558"/>
      <c r="CT8" s="4558"/>
      <c r="CU8" s="4558"/>
      <c r="CV8" s="4558"/>
      <c r="CW8" s="4558"/>
      <c r="CX8" s="4559"/>
      <c r="CY8" s="4560"/>
      <c r="CZ8" s="4561"/>
      <c r="DA8" s="4561"/>
      <c r="DB8" s="4561"/>
      <c r="DC8" s="4561"/>
      <c r="DD8" s="4561"/>
      <c r="DE8" s="4561"/>
      <c r="DF8" s="4561"/>
      <c r="DG8" s="4561"/>
      <c r="DH8" s="4561"/>
      <c r="DI8" s="4561"/>
      <c r="DJ8" s="4561"/>
      <c r="DK8" s="4561"/>
      <c r="DL8" s="4561"/>
      <c r="DM8" s="4561"/>
      <c r="DN8" s="4561"/>
      <c r="DO8" s="4561"/>
      <c r="DP8" s="4561"/>
      <c r="DQ8" s="4561"/>
      <c r="DR8" s="4561"/>
      <c r="DS8" s="4561"/>
      <c r="DT8" s="4561"/>
      <c r="DU8" s="4561"/>
      <c r="DV8" s="4561"/>
      <c r="DW8" s="4561"/>
      <c r="DX8" s="4562"/>
      <c r="DY8" s="4548" t="s">
        <v>1093</v>
      </c>
      <c r="DZ8" s="4549"/>
      <c r="EA8" s="4549"/>
      <c r="EB8" s="4549"/>
      <c r="EC8" s="4549"/>
      <c r="ED8" s="4549"/>
      <c r="EE8" s="4549"/>
      <c r="EF8" s="4549"/>
      <c r="EG8" s="4549"/>
      <c r="EH8" s="4549"/>
      <c r="EI8" s="4549"/>
      <c r="EJ8" s="4549"/>
      <c r="EK8" s="4549"/>
      <c r="EL8" s="4549"/>
      <c r="EM8" s="4549"/>
      <c r="EN8" s="4549"/>
      <c r="EO8" s="4549"/>
      <c r="EP8" s="4549"/>
      <c r="EQ8" s="4549"/>
      <c r="ER8" s="4549"/>
      <c r="ES8" s="4549"/>
      <c r="ET8" s="4549"/>
      <c r="EU8" s="4549"/>
      <c r="EV8" s="4549"/>
      <c r="EW8" s="4549"/>
      <c r="EX8" s="4549"/>
      <c r="EY8" s="4549"/>
      <c r="EZ8" s="4549"/>
      <c r="FA8" s="4549"/>
      <c r="FB8" s="4549"/>
      <c r="FC8" s="4549"/>
      <c r="FD8" s="4549"/>
      <c r="FE8" s="4549"/>
      <c r="FF8" s="4549"/>
      <c r="FG8" s="4549"/>
      <c r="FH8" s="4549"/>
      <c r="FI8" s="4549"/>
      <c r="FJ8" s="4549"/>
      <c r="FK8" s="4549"/>
      <c r="FL8" s="4549"/>
      <c r="FM8" s="4549"/>
      <c r="FN8" s="4549"/>
      <c r="FO8" s="4549"/>
      <c r="FP8" s="4549"/>
      <c r="FQ8" s="4549"/>
      <c r="FR8" s="4549"/>
      <c r="FS8" s="4549"/>
      <c r="FT8" s="4549"/>
      <c r="FU8" s="4549"/>
      <c r="FV8" s="4549"/>
      <c r="FW8" s="4550"/>
      <c r="FX8" s="978"/>
      <c r="GC8" s="857">
        <v>0</v>
      </c>
    </row>
    <row r="9" spans="2:185" s="421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4551"/>
      <c r="FX9" s="978"/>
      <c r="GC9" s="857">
        <v>0</v>
      </c>
    </row>
    <row r="10" spans="2:185" s="4211" customFormat="1" ht="11.45" customHeight="1">
      <c r="B10" s="858"/>
      <c r="F10" s="4527" t="s">
        <v>321</v>
      </c>
      <c r="G10" s="4564"/>
      <c r="H10" s="4564"/>
      <c r="I10" s="4564"/>
      <c r="J10" s="4564"/>
      <c r="K10" s="4564"/>
      <c r="L10" s="4564"/>
      <c r="M10" s="4564"/>
      <c r="N10" s="4564"/>
      <c r="O10" s="4564"/>
      <c r="P10" s="4564"/>
      <c r="Q10" s="4564"/>
      <c r="R10" s="4564"/>
      <c r="S10" s="4564"/>
      <c r="T10" s="4564"/>
      <c r="U10" s="4564"/>
      <c r="V10" s="4564"/>
      <c r="W10" s="4564"/>
      <c r="X10" s="4564"/>
      <c r="Y10" s="4564"/>
      <c r="Z10" s="4564"/>
      <c r="AA10" s="4564"/>
      <c r="AB10" s="4564"/>
      <c r="AC10" s="4564"/>
      <c r="AD10" s="4564"/>
      <c r="AE10" s="4564"/>
      <c r="AF10" s="4564"/>
      <c r="AG10" s="4564"/>
      <c r="AH10" s="4564"/>
      <c r="AI10" s="4564"/>
      <c r="AJ10" s="4564"/>
      <c r="AK10" s="4564"/>
      <c r="AL10" s="4564"/>
      <c r="AM10" s="4564"/>
      <c r="AN10" s="4564"/>
      <c r="AO10" s="4564"/>
      <c r="AP10" s="4564"/>
      <c r="AQ10" s="4564"/>
      <c r="AR10" s="4564"/>
      <c r="AS10" s="4564"/>
      <c r="AT10" s="4564"/>
      <c r="AU10" s="4564"/>
      <c r="AV10" s="4564"/>
      <c r="AW10" s="4564"/>
      <c r="AX10" s="4564"/>
      <c r="AY10" s="4564"/>
      <c r="AZ10" s="4564"/>
      <c r="BA10" s="4564"/>
      <c r="BB10" s="4564"/>
      <c r="BC10" s="4564"/>
      <c r="BD10" s="4564"/>
      <c r="BE10" s="4564"/>
      <c r="BF10" s="4564"/>
      <c r="BG10" s="4564"/>
      <c r="BH10" s="4564"/>
      <c r="BI10" s="4564"/>
      <c r="BJ10" s="4564"/>
      <c r="BK10" s="4564"/>
      <c r="BL10" s="4564"/>
      <c r="BM10" s="4564"/>
      <c r="BN10" s="4564"/>
      <c r="BO10" s="4564"/>
      <c r="BP10" s="4564"/>
      <c r="BQ10" s="4564"/>
      <c r="BR10" s="4564"/>
      <c r="BS10" s="4564"/>
      <c r="BT10" s="4564"/>
      <c r="BU10" s="4564"/>
      <c r="BV10" s="4564"/>
      <c r="BW10" s="4564"/>
      <c r="BX10" s="4564"/>
      <c r="BY10" s="4564"/>
      <c r="BZ10" s="4564"/>
      <c r="CA10" s="4564"/>
      <c r="CB10" s="4564"/>
      <c r="CC10" s="4564"/>
      <c r="CD10" s="4564"/>
      <c r="CE10" s="4564"/>
      <c r="CF10" s="4564"/>
      <c r="CG10" s="4564"/>
      <c r="CH10" s="4564"/>
      <c r="CI10" s="4564"/>
      <c r="CJ10" s="4564"/>
      <c r="CK10" s="4564"/>
      <c r="CL10" s="4564"/>
      <c r="CM10" s="4564"/>
      <c r="CN10" s="4564"/>
      <c r="CO10" s="4564"/>
      <c r="CP10" s="4564"/>
      <c r="CQ10" s="4564"/>
      <c r="CR10" s="4564"/>
      <c r="CS10" s="4564"/>
      <c r="CT10" s="4564"/>
      <c r="CU10" s="4564"/>
      <c r="CV10" s="4564"/>
      <c r="CW10" s="4564"/>
      <c r="CX10" s="4564"/>
      <c r="CY10" s="4564"/>
      <c r="CZ10" s="4564"/>
      <c r="DA10" s="4564"/>
      <c r="DB10" s="4564"/>
      <c r="DC10" s="4564"/>
      <c r="DD10" s="4564"/>
      <c r="DE10" s="4564"/>
      <c r="DF10" s="4564"/>
      <c r="DG10" s="4564"/>
      <c r="DH10" s="4564"/>
      <c r="DI10" s="4564"/>
      <c r="DJ10" s="4564"/>
      <c r="DK10" s="4564"/>
      <c r="DL10" s="4564"/>
      <c r="DM10" s="4564"/>
      <c r="DN10" s="4564"/>
      <c r="DO10" s="4564"/>
      <c r="DP10" s="4564"/>
      <c r="DQ10" s="4564"/>
      <c r="DR10" s="4564"/>
      <c r="DS10" s="4564"/>
      <c r="DT10" s="4564"/>
      <c r="DU10" s="4564"/>
      <c r="DV10" s="4564"/>
      <c r="DW10" s="4564"/>
      <c r="DX10" s="4564"/>
      <c r="DY10" s="4564"/>
      <c r="DZ10" s="4564"/>
      <c r="EA10" s="4564"/>
      <c r="EB10" s="4564"/>
      <c r="EC10" s="4564"/>
      <c r="ED10" s="4564"/>
      <c r="EE10" s="4564"/>
      <c r="EF10" s="4564"/>
      <c r="EG10" s="4564"/>
      <c r="EH10" s="4564"/>
      <c r="EI10" s="4564"/>
      <c r="EJ10" s="4564"/>
      <c r="EK10" s="4564"/>
      <c r="EL10" s="4564"/>
      <c r="EM10" s="4564"/>
      <c r="EN10" s="4564"/>
      <c r="EO10" s="4564"/>
      <c r="EP10" s="4564"/>
      <c r="EQ10" s="4564"/>
      <c r="ER10" s="4564"/>
      <c r="ES10" s="4564"/>
      <c r="ET10" s="4564"/>
      <c r="EU10" s="4564"/>
      <c r="EV10" s="4564"/>
      <c r="EW10" s="4564"/>
      <c r="EX10" s="4564"/>
      <c r="EY10" s="4564"/>
      <c r="EZ10" s="4564"/>
      <c r="FA10" s="4564"/>
      <c r="FB10" s="4564"/>
      <c r="FC10" s="4564"/>
      <c r="FD10" s="4564"/>
      <c r="FE10" s="4564"/>
      <c r="FF10" s="4564"/>
      <c r="FG10" s="4564"/>
      <c r="FH10" s="4564"/>
      <c r="FI10" s="4564"/>
      <c r="FJ10" s="4564"/>
      <c r="FK10" s="4564"/>
      <c r="FL10" s="4564"/>
      <c r="FM10" s="4564"/>
      <c r="FN10" s="4564"/>
      <c r="FO10" s="4564"/>
      <c r="FP10" s="4564"/>
      <c r="FQ10" s="4564"/>
      <c r="FR10" s="4564"/>
      <c r="FS10" s="4564"/>
      <c r="FT10" s="4564"/>
      <c r="FU10" s="4564"/>
      <c r="FV10" s="4565"/>
      <c r="FW10" s="4551"/>
      <c r="FX10" s="978"/>
      <c r="GC10" s="857">
        <v>11</v>
      </c>
    </row>
    <row r="11" spans="2:185" ht="12.75" customHeight="1">
      <c r="E11" s="861"/>
      <c r="F11" s="4369" t="s">
        <v>92</v>
      </c>
      <c r="G11" s="4369" t="s">
        <v>1094</v>
      </c>
      <c r="H11" s="4369" t="s">
        <v>1095</v>
      </c>
      <c r="I11" s="4369" t="s">
        <v>1096</v>
      </c>
      <c r="J11" s="4563"/>
      <c r="K11" s="4563"/>
      <c r="L11" s="4563"/>
      <c r="M11" s="4563"/>
      <c r="N11" s="4563"/>
      <c r="O11" s="4373" t="s">
        <v>1097</v>
      </c>
      <c r="P11" s="4373"/>
      <c r="Q11" s="4373"/>
      <c r="R11" s="4373"/>
      <c r="S11" s="4373"/>
      <c r="T11" s="4373"/>
      <c r="U11" s="4373"/>
      <c r="V11" s="4373"/>
      <c r="W11" s="4373"/>
      <c r="X11" s="4373"/>
      <c r="Y11" s="4373"/>
      <c r="Z11" s="4373"/>
      <c r="AA11" s="4373"/>
      <c r="AB11" s="4373"/>
      <c r="AC11" s="4546"/>
      <c r="AD11" s="4546"/>
      <c r="AE11" s="4546"/>
      <c r="AF11" s="4546"/>
      <c r="AG11" s="4546"/>
      <c r="AH11" s="4546"/>
      <c r="AI11" s="4546"/>
      <c r="AJ11" s="4546"/>
      <c r="AK11" s="4546"/>
      <c r="AL11" s="4546"/>
      <c r="AM11" s="4546"/>
      <c r="AN11" s="4546"/>
      <c r="AO11" s="4546"/>
      <c r="AP11" s="4546"/>
      <c r="AQ11" s="4546"/>
      <c r="AR11" s="4546"/>
      <c r="AS11" s="4546"/>
      <c r="AT11" s="4546"/>
      <c r="AU11" s="4546"/>
      <c r="AV11" s="4546"/>
      <c r="AW11" s="4546"/>
      <c r="AX11" s="4546"/>
      <c r="AY11" s="4546"/>
      <c r="AZ11" s="4546"/>
      <c r="BA11" s="4546"/>
      <c r="BB11" s="4546"/>
      <c r="BC11" s="4546"/>
      <c r="BD11" s="4546"/>
      <c r="BE11" s="4546"/>
      <c r="BF11" s="4546"/>
      <c r="BG11" s="4546"/>
      <c r="BH11" s="4546"/>
      <c r="BI11" s="4546"/>
      <c r="BJ11" s="4546"/>
      <c r="BK11" s="4546"/>
      <c r="BL11" s="4546"/>
      <c r="BM11" s="4546"/>
      <c r="BN11" s="4546"/>
      <c r="BO11" s="4546"/>
      <c r="BP11" s="4546"/>
      <c r="BQ11" s="4546"/>
      <c r="BR11" s="4546"/>
      <c r="BS11" s="4547"/>
      <c r="BT11" s="4513" t="s">
        <v>1097</v>
      </c>
      <c r="BU11" s="4514"/>
      <c r="BV11" s="4514"/>
      <c r="BW11" s="4514"/>
      <c r="BX11" s="4514"/>
      <c r="BY11" s="4514"/>
      <c r="BZ11" s="4514"/>
      <c r="CA11" s="4514"/>
      <c r="CB11" s="4514"/>
      <c r="CC11" s="4514"/>
      <c r="CD11" s="4514"/>
      <c r="CE11" s="4514"/>
      <c r="CF11" s="4514"/>
      <c r="CG11" s="4514"/>
      <c r="CH11" s="4514"/>
      <c r="CI11" s="4514"/>
      <c r="CJ11" s="4514"/>
      <c r="CK11" s="4545"/>
      <c r="CL11" s="4553"/>
      <c r="CM11" s="4546"/>
      <c r="CN11" s="4546"/>
      <c r="CO11" s="4546"/>
      <c r="CP11" s="4546"/>
      <c r="CQ11" s="4546"/>
      <c r="CR11" s="4546"/>
      <c r="CS11" s="4546"/>
      <c r="CT11" s="4546"/>
      <c r="CU11" s="4546"/>
      <c r="CV11" s="4546"/>
      <c r="CW11" s="4546"/>
      <c r="CX11" s="4547"/>
      <c r="CY11" s="4513" t="s">
        <v>1097</v>
      </c>
      <c r="CZ11" s="4514"/>
      <c r="DA11" s="4514"/>
      <c r="DB11" s="4514"/>
      <c r="DC11" s="4514"/>
      <c r="DD11" s="4514"/>
      <c r="DE11" s="4514"/>
      <c r="DF11" s="4514"/>
      <c r="DG11" s="4514"/>
      <c r="DH11" s="4514"/>
      <c r="DI11" s="4514"/>
      <c r="DJ11" s="4545"/>
      <c r="DK11" s="4553"/>
      <c r="DL11" s="4546"/>
      <c r="DM11" s="4546"/>
      <c r="DN11" s="4546"/>
      <c r="DO11" s="4546"/>
      <c r="DP11" s="4546"/>
      <c r="DQ11" s="4546"/>
      <c r="DR11" s="4546"/>
      <c r="DS11" s="4546"/>
      <c r="DT11" s="4546"/>
      <c r="DU11" s="4546"/>
      <c r="DV11" s="4546"/>
      <c r="DW11" s="4546"/>
      <c r="DX11" s="4546"/>
      <c r="DY11" s="4546"/>
      <c r="DZ11" s="4546"/>
      <c r="EA11" s="4546"/>
      <c r="EB11" s="4546"/>
      <c r="EC11" s="4546"/>
      <c r="ED11" s="4546"/>
      <c r="EE11" s="4546"/>
      <c r="EF11" s="4546"/>
      <c r="EG11" s="4546"/>
      <c r="EH11" s="4546"/>
      <c r="EI11" s="4546"/>
      <c r="EJ11" s="4546"/>
      <c r="EK11" s="4546"/>
      <c r="EL11" s="4546"/>
      <c r="EM11" s="4546"/>
      <c r="EN11" s="4546"/>
      <c r="EO11" s="4546"/>
      <c r="EP11" s="4546"/>
      <c r="EQ11" s="4546"/>
      <c r="ER11" s="4546"/>
      <c r="ES11" s="4546"/>
      <c r="ET11" s="4546"/>
      <c r="EU11" s="4546"/>
      <c r="EV11" s="4546"/>
      <c r="EW11" s="4546"/>
      <c r="EX11" s="4546"/>
      <c r="EY11" s="4546"/>
      <c r="EZ11" s="4546"/>
      <c r="FA11" s="4546"/>
      <c r="FB11" s="4546"/>
      <c r="FC11" s="4546"/>
      <c r="FD11" s="4546"/>
      <c r="FE11" s="4546"/>
      <c r="FF11" s="4546"/>
      <c r="FG11" s="4546"/>
      <c r="FH11" s="4546"/>
      <c r="FI11" s="4546"/>
      <c r="FJ11" s="4546"/>
      <c r="FK11" s="4546"/>
      <c r="FL11" s="4546"/>
      <c r="FM11" s="4546"/>
      <c r="FN11" s="4546"/>
      <c r="FO11" s="4546"/>
      <c r="FP11" s="4546"/>
      <c r="FQ11" s="4546"/>
      <c r="FR11" s="4546"/>
      <c r="FS11" s="4546"/>
      <c r="FT11" s="4546"/>
      <c r="FU11" s="4546"/>
      <c r="FV11" s="4546"/>
      <c r="FW11" s="4551"/>
      <c r="FX11" s="695"/>
      <c r="GC11" s="850">
        <v>12</v>
      </c>
    </row>
    <row r="12" spans="2:185" ht="12.75" customHeight="1">
      <c r="D12" s="862"/>
      <c r="E12" s="861"/>
      <c r="F12" s="4369"/>
      <c r="G12" s="4369"/>
      <c r="H12" s="4369"/>
      <c r="I12" s="4369"/>
      <c r="J12" s="4563"/>
      <c r="K12" s="4563"/>
      <c r="L12" s="4563"/>
      <c r="M12" s="4563"/>
      <c r="N12" s="4563"/>
      <c r="O12" s="4373" t="s">
        <v>1098</v>
      </c>
      <c r="P12" s="4373"/>
      <c r="Q12" s="4373"/>
      <c r="R12" s="4373"/>
      <c r="S12" s="4373" t="s">
        <v>1099</v>
      </c>
      <c r="T12" s="4373"/>
      <c r="U12" s="4373"/>
      <c r="V12" s="4373"/>
      <c r="W12" s="4373"/>
      <c r="X12" s="4373"/>
      <c r="Y12" s="4373"/>
      <c r="Z12" s="4373"/>
      <c r="AA12" s="4373"/>
      <c r="AB12" s="4373"/>
      <c r="AC12" s="4546"/>
      <c r="AD12" s="4546"/>
      <c r="AE12" s="4546"/>
      <c r="AF12" s="4546"/>
      <c r="AG12" s="4546"/>
      <c r="AH12" s="4546"/>
      <c r="AI12" s="4546"/>
      <c r="AJ12" s="4546"/>
      <c r="AK12" s="4546"/>
      <c r="AL12" s="4546"/>
      <c r="AM12" s="4546"/>
      <c r="AN12" s="4546"/>
      <c r="AO12" s="4546"/>
      <c r="AP12" s="4546"/>
      <c r="AQ12" s="4546"/>
      <c r="AR12" s="4546"/>
      <c r="AS12" s="4546"/>
      <c r="AT12" s="4546"/>
      <c r="AU12" s="4546"/>
      <c r="AV12" s="4546"/>
      <c r="AW12" s="4546"/>
      <c r="AX12" s="4546"/>
      <c r="AY12" s="4546"/>
      <c r="AZ12" s="4546"/>
      <c r="BA12" s="4546"/>
      <c r="BB12" s="4546"/>
      <c r="BC12" s="4546"/>
      <c r="BD12" s="4546"/>
      <c r="BE12" s="4546"/>
      <c r="BF12" s="4546"/>
      <c r="BG12" s="4546"/>
      <c r="BH12" s="4546"/>
      <c r="BI12" s="4546"/>
      <c r="BJ12" s="4546"/>
      <c r="BK12" s="4546"/>
      <c r="BL12" s="4546"/>
      <c r="BM12" s="4546"/>
      <c r="BN12" s="4546"/>
      <c r="BO12" s="4546"/>
      <c r="BP12" s="4546"/>
      <c r="BQ12" s="4546"/>
      <c r="BR12" s="4546"/>
      <c r="BS12" s="4547"/>
      <c r="BT12" s="4513" t="s">
        <v>1100</v>
      </c>
      <c r="BU12" s="4514"/>
      <c r="BV12" s="4514"/>
      <c r="BW12" s="4545"/>
      <c r="BX12" s="4513" t="s">
        <v>1101</v>
      </c>
      <c r="BY12" s="4514"/>
      <c r="BZ12" s="4514"/>
      <c r="CA12" s="4545"/>
      <c r="CB12" s="4513" t="s">
        <v>1102</v>
      </c>
      <c r="CC12" s="4545"/>
      <c r="CD12" s="4513" t="s">
        <v>1103</v>
      </c>
      <c r="CE12" s="4514"/>
      <c r="CF12" s="4514"/>
      <c r="CG12" s="4514"/>
      <c r="CH12" s="4514"/>
      <c r="CI12" s="4514"/>
      <c r="CJ12" s="4514"/>
      <c r="CK12" s="4545"/>
      <c r="CL12" s="4553"/>
      <c r="CM12" s="4546"/>
      <c r="CN12" s="4546"/>
      <c r="CO12" s="4546"/>
      <c r="CP12" s="4546"/>
      <c r="CQ12" s="4546"/>
      <c r="CR12" s="4546"/>
      <c r="CS12" s="4546"/>
      <c r="CT12" s="4546"/>
      <c r="CU12" s="4546"/>
      <c r="CV12" s="4546"/>
      <c r="CW12" s="4546"/>
      <c r="CX12" s="4547"/>
      <c r="CY12" s="4513" t="s">
        <v>1104</v>
      </c>
      <c r="CZ12" s="4514"/>
      <c r="DA12" s="4514"/>
      <c r="DB12" s="4514"/>
      <c r="DC12" s="4514"/>
      <c r="DD12" s="4545"/>
      <c r="DE12" s="4513" t="s">
        <v>1105</v>
      </c>
      <c r="DF12" s="4545"/>
      <c r="DG12" s="4513" t="s">
        <v>1103</v>
      </c>
      <c r="DH12" s="4514"/>
      <c r="DI12" s="4514"/>
      <c r="DJ12" s="4545"/>
      <c r="DK12" s="4553"/>
      <c r="DL12" s="4546"/>
      <c r="DM12" s="4546"/>
      <c r="DN12" s="4546"/>
      <c r="DO12" s="4546"/>
      <c r="DP12" s="4546"/>
      <c r="DQ12" s="4546"/>
      <c r="DR12" s="4546"/>
      <c r="DS12" s="4546"/>
      <c r="DT12" s="4546"/>
      <c r="DU12" s="4546"/>
      <c r="DV12" s="4546"/>
      <c r="DW12" s="4546"/>
      <c r="DX12" s="4546"/>
      <c r="DY12" s="4546"/>
      <c r="DZ12" s="4546"/>
      <c r="EA12" s="4546"/>
      <c r="EB12" s="4546"/>
      <c r="EC12" s="4546"/>
      <c r="ED12" s="4546"/>
      <c r="EE12" s="4546"/>
      <c r="EF12" s="4546"/>
      <c r="EG12" s="4546"/>
      <c r="EH12" s="4546"/>
      <c r="EI12" s="4546"/>
      <c r="EJ12" s="4546"/>
      <c r="EK12" s="4546"/>
      <c r="EL12" s="4546"/>
      <c r="EM12" s="4546"/>
      <c r="EN12" s="4546"/>
      <c r="EO12" s="4546"/>
      <c r="EP12" s="4546"/>
      <c r="EQ12" s="4546"/>
      <c r="ER12" s="4546"/>
      <c r="ES12" s="4546"/>
      <c r="ET12" s="4546"/>
      <c r="EU12" s="4546"/>
      <c r="EV12" s="4546"/>
      <c r="EW12" s="4546"/>
      <c r="EX12" s="4546"/>
      <c r="EY12" s="4546"/>
      <c r="EZ12" s="4546"/>
      <c r="FA12" s="4546"/>
      <c r="FB12" s="4546"/>
      <c r="FC12" s="4546"/>
      <c r="FD12" s="4546"/>
      <c r="FE12" s="4546"/>
      <c r="FF12" s="4546"/>
      <c r="FG12" s="4546"/>
      <c r="FH12" s="4546"/>
      <c r="FI12" s="4546"/>
      <c r="FJ12" s="4546"/>
      <c r="FK12" s="4546"/>
      <c r="FL12" s="4546"/>
      <c r="FM12" s="4546"/>
      <c r="FN12" s="4546"/>
      <c r="FO12" s="4546"/>
      <c r="FP12" s="4546"/>
      <c r="FQ12" s="4546"/>
      <c r="FR12" s="4546"/>
      <c r="FS12" s="4546"/>
      <c r="FT12" s="4546"/>
      <c r="FU12" s="4546"/>
      <c r="FV12" s="4546"/>
      <c r="FW12" s="4551"/>
      <c r="FX12" s="695"/>
      <c r="GC12" s="850">
        <v>12</v>
      </c>
    </row>
    <row r="13" spans="2:185" ht="37.9" customHeight="1">
      <c r="D13" s="862"/>
      <c r="E13" s="861"/>
      <c r="F13" s="4369"/>
      <c r="G13" s="4369"/>
      <c r="H13" s="4369"/>
      <c r="I13" s="4369"/>
      <c r="J13" s="4563"/>
      <c r="K13" s="4563"/>
      <c r="L13" s="4563"/>
      <c r="M13" s="4563"/>
      <c r="N13" s="4563"/>
      <c r="O13" s="4373" t="s">
        <v>1106</v>
      </c>
      <c r="P13" s="4373"/>
      <c r="Q13" s="4373"/>
      <c r="R13" s="4373"/>
      <c r="S13" s="4474" t="s">
        <v>1107</v>
      </c>
      <c r="T13" s="4515"/>
      <c r="U13" s="4274" t="s">
        <v>1108</v>
      </c>
      <c r="V13" s="4274"/>
      <c r="W13" s="4274"/>
      <c r="X13" s="4274"/>
      <c r="Y13" s="4274" t="s">
        <v>1109</v>
      </c>
      <c r="Z13" s="4274"/>
      <c r="AA13" s="4274"/>
      <c r="AB13" s="4274"/>
      <c r="AC13" s="4546"/>
      <c r="AD13" s="4546"/>
      <c r="AE13" s="4546"/>
      <c r="AF13" s="4546"/>
      <c r="AG13" s="4546"/>
      <c r="AH13" s="4546"/>
      <c r="AI13" s="4546"/>
      <c r="AJ13" s="4546"/>
      <c r="AK13" s="4546"/>
      <c r="AL13" s="4546"/>
      <c r="AM13" s="4546"/>
      <c r="AN13" s="4546"/>
      <c r="AO13" s="4546"/>
      <c r="AP13" s="4546"/>
      <c r="AQ13" s="4546"/>
      <c r="AR13" s="4546"/>
      <c r="AS13" s="4546"/>
      <c r="AT13" s="4546"/>
      <c r="AU13" s="4546"/>
      <c r="AV13" s="4546"/>
      <c r="AW13" s="4546"/>
      <c r="AX13" s="4546"/>
      <c r="AY13" s="4546"/>
      <c r="AZ13" s="4546"/>
      <c r="BA13" s="4546"/>
      <c r="BB13" s="4546"/>
      <c r="BC13" s="4546"/>
      <c r="BD13" s="4546"/>
      <c r="BE13" s="4546"/>
      <c r="BF13" s="4546"/>
      <c r="BG13" s="4546"/>
      <c r="BH13" s="4546"/>
      <c r="BI13" s="4546"/>
      <c r="BJ13" s="4546"/>
      <c r="BK13" s="4546"/>
      <c r="BL13" s="4546"/>
      <c r="BM13" s="4546"/>
      <c r="BN13" s="4546"/>
      <c r="BO13" s="4546"/>
      <c r="BP13" s="4546"/>
      <c r="BQ13" s="4546"/>
      <c r="BR13" s="4546"/>
      <c r="BS13" s="4547"/>
      <c r="BT13" s="4474" t="s">
        <v>1110</v>
      </c>
      <c r="BU13" s="4515"/>
      <c r="BV13" s="4474" t="s">
        <v>1111</v>
      </c>
      <c r="BW13" s="4515"/>
      <c r="BX13" s="4474" t="s">
        <v>1112</v>
      </c>
      <c r="BY13" s="4515"/>
      <c r="BZ13" s="4474" t="s">
        <v>1113</v>
      </c>
      <c r="CA13" s="4515"/>
      <c r="CB13" s="4474" t="s">
        <v>1114</v>
      </c>
      <c r="CC13" s="4515"/>
      <c r="CD13" s="4474" t="s">
        <v>1115</v>
      </c>
      <c r="CE13" s="4515"/>
      <c r="CF13" s="4474" t="s">
        <v>1116</v>
      </c>
      <c r="CG13" s="4515"/>
      <c r="CH13" s="4513" t="s">
        <v>1117</v>
      </c>
      <c r="CI13" s="4514"/>
      <c r="CJ13" s="4514"/>
      <c r="CK13" s="4545"/>
      <c r="CL13" s="4553"/>
      <c r="CM13" s="4546"/>
      <c r="CN13" s="4546"/>
      <c r="CO13" s="4546"/>
      <c r="CP13" s="4546"/>
      <c r="CQ13" s="4546"/>
      <c r="CR13" s="4546"/>
      <c r="CS13" s="4546"/>
      <c r="CT13" s="4546"/>
      <c r="CU13" s="4546"/>
      <c r="CV13" s="4546"/>
      <c r="CW13" s="4546"/>
      <c r="CX13" s="4547"/>
      <c r="CY13" s="4474" t="s">
        <v>1118</v>
      </c>
      <c r="CZ13" s="4515"/>
      <c r="DA13" s="4474" t="s">
        <v>1119</v>
      </c>
      <c r="DB13" s="4515"/>
      <c r="DC13" s="4474" t="s">
        <v>1120</v>
      </c>
      <c r="DD13" s="4515"/>
      <c r="DE13" s="4474" t="s">
        <v>1121</v>
      </c>
      <c r="DF13" s="4515"/>
      <c r="DG13" s="4513" t="s">
        <v>1122</v>
      </c>
      <c r="DH13" s="4514"/>
      <c r="DI13" s="4514"/>
      <c r="DJ13" s="4545"/>
      <c r="DK13" s="4553"/>
      <c r="DL13" s="4546"/>
      <c r="DM13" s="4546"/>
      <c r="DN13" s="4546"/>
      <c r="DO13" s="4546"/>
      <c r="DP13" s="4546"/>
      <c r="DQ13" s="4546"/>
      <c r="DR13" s="4546"/>
      <c r="DS13" s="4546"/>
      <c r="DT13" s="4546"/>
      <c r="DU13" s="4546"/>
      <c r="DV13" s="4546"/>
      <c r="DW13" s="4546"/>
      <c r="DX13" s="4546"/>
      <c r="DY13" s="4546"/>
      <c r="DZ13" s="4546"/>
      <c r="EA13" s="4546"/>
      <c r="EB13" s="4546"/>
      <c r="EC13" s="4546"/>
      <c r="ED13" s="4546"/>
      <c r="EE13" s="4546"/>
      <c r="EF13" s="4546"/>
      <c r="EG13" s="4546"/>
      <c r="EH13" s="4546"/>
      <c r="EI13" s="4546"/>
      <c r="EJ13" s="4546"/>
      <c r="EK13" s="4546"/>
      <c r="EL13" s="4546"/>
      <c r="EM13" s="4546"/>
      <c r="EN13" s="4546"/>
      <c r="EO13" s="4546"/>
      <c r="EP13" s="4546"/>
      <c r="EQ13" s="4546"/>
      <c r="ER13" s="4546"/>
      <c r="ES13" s="4546"/>
      <c r="ET13" s="4546"/>
      <c r="EU13" s="4546"/>
      <c r="EV13" s="4546"/>
      <c r="EW13" s="4546"/>
      <c r="EX13" s="4546"/>
      <c r="EY13" s="4546"/>
      <c r="EZ13" s="4546"/>
      <c r="FA13" s="4546"/>
      <c r="FB13" s="4546"/>
      <c r="FC13" s="4546"/>
      <c r="FD13" s="4546"/>
      <c r="FE13" s="4546"/>
      <c r="FF13" s="4546"/>
      <c r="FG13" s="4546"/>
      <c r="FH13" s="4546"/>
      <c r="FI13" s="4546"/>
      <c r="FJ13" s="4546"/>
      <c r="FK13" s="4546"/>
      <c r="FL13" s="4546"/>
      <c r="FM13" s="4546"/>
      <c r="FN13" s="4546"/>
      <c r="FO13" s="4546"/>
      <c r="FP13" s="4546"/>
      <c r="FQ13" s="4546"/>
      <c r="FR13" s="4546"/>
      <c r="FS13" s="4546"/>
      <c r="FT13" s="4546"/>
      <c r="FU13" s="4546"/>
      <c r="FV13" s="4546"/>
      <c r="FW13" s="4551"/>
      <c r="FX13" s="695"/>
      <c r="GC13" s="850">
        <v>36</v>
      </c>
    </row>
    <row r="14" spans="2:185" ht="37.9" customHeight="1">
      <c r="D14" s="862"/>
      <c r="E14" s="861"/>
      <c r="F14" s="4369"/>
      <c r="G14" s="4369"/>
      <c r="H14" s="4369"/>
      <c r="I14" s="4369"/>
      <c r="J14" s="4563"/>
      <c r="K14" s="4563"/>
      <c r="L14" s="4563"/>
      <c r="M14" s="4563"/>
      <c r="N14" s="4563"/>
      <c r="O14" s="4474" t="s">
        <v>1123</v>
      </c>
      <c r="P14" s="4515"/>
      <c r="Q14" s="4474" t="s">
        <v>1124</v>
      </c>
      <c r="R14" s="4515"/>
      <c r="S14" s="4475"/>
      <c r="T14" s="4377"/>
      <c r="U14" s="4474" t="s">
        <v>856</v>
      </c>
      <c r="V14" s="4515"/>
      <c r="W14" s="4474" t="s">
        <v>859</v>
      </c>
      <c r="X14" s="4515"/>
      <c r="Y14" s="4474" t="s">
        <v>856</v>
      </c>
      <c r="Z14" s="4515"/>
      <c r="AA14" s="4474" t="s">
        <v>866</v>
      </c>
      <c r="AB14" s="4515"/>
      <c r="AC14" s="4546"/>
      <c r="AD14" s="4546"/>
      <c r="AE14" s="4546"/>
      <c r="AF14" s="4546"/>
      <c r="AG14" s="4546"/>
      <c r="AH14" s="4546"/>
      <c r="AI14" s="4546"/>
      <c r="AJ14" s="4546"/>
      <c r="AK14" s="4546"/>
      <c r="AL14" s="4546"/>
      <c r="AM14" s="4546"/>
      <c r="AN14" s="4546"/>
      <c r="AO14" s="4546"/>
      <c r="AP14" s="4546"/>
      <c r="AQ14" s="4546"/>
      <c r="AR14" s="4546"/>
      <c r="AS14" s="4546"/>
      <c r="AT14" s="4546"/>
      <c r="AU14" s="4546"/>
      <c r="AV14" s="4546"/>
      <c r="AW14" s="4546"/>
      <c r="AX14" s="4546"/>
      <c r="AY14" s="4546"/>
      <c r="AZ14" s="4546"/>
      <c r="BA14" s="4546"/>
      <c r="BB14" s="4546"/>
      <c r="BC14" s="4546"/>
      <c r="BD14" s="4546"/>
      <c r="BE14" s="4546"/>
      <c r="BF14" s="4546"/>
      <c r="BG14" s="4546"/>
      <c r="BH14" s="4546"/>
      <c r="BI14" s="4546"/>
      <c r="BJ14" s="4546"/>
      <c r="BK14" s="4546"/>
      <c r="BL14" s="4546"/>
      <c r="BM14" s="4546"/>
      <c r="BN14" s="4546"/>
      <c r="BO14" s="4546"/>
      <c r="BP14" s="4546"/>
      <c r="BQ14" s="4546"/>
      <c r="BR14" s="4546"/>
      <c r="BS14" s="4547"/>
      <c r="BT14" s="4475"/>
      <c r="BU14" s="4377"/>
      <c r="BV14" s="4475"/>
      <c r="BW14" s="4377"/>
      <c r="BX14" s="4475"/>
      <c r="BY14" s="4377"/>
      <c r="BZ14" s="4475"/>
      <c r="CA14" s="4377"/>
      <c r="CB14" s="4475"/>
      <c r="CC14" s="4377"/>
      <c r="CD14" s="4475"/>
      <c r="CE14" s="4377"/>
      <c r="CF14" s="4475"/>
      <c r="CG14" s="4377"/>
      <c r="CH14" s="4474" t="s">
        <v>1125</v>
      </c>
      <c r="CI14" s="4515"/>
      <c r="CJ14" s="4474" t="s">
        <v>1126</v>
      </c>
      <c r="CK14" s="4515"/>
      <c r="CL14" s="4553"/>
      <c r="CM14" s="4546"/>
      <c r="CN14" s="4546"/>
      <c r="CO14" s="4546"/>
      <c r="CP14" s="4546"/>
      <c r="CQ14" s="4546"/>
      <c r="CR14" s="4546"/>
      <c r="CS14" s="4546"/>
      <c r="CT14" s="4546"/>
      <c r="CU14" s="4546"/>
      <c r="CV14" s="4546"/>
      <c r="CW14" s="4546"/>
      <c r="CX14" s="4547"/>
      <c r="CY14" s="4475"/>
      <c r="CZ14" s="4377"/>
      <c r="DA14" s="4475"/>
      <c r="DB14" s="4377"/>
      <c r="DC14" s="4475"/>
      <c r="DD14" s="4377"/>
      <c r="DE14" s="4475"/>
      <c r="DF14" s="4377"/>
      <c r="DG14" s="4474" t="s">
        <v>1127</v>
      </c>
      <c r="DH14" s="4515"/>
      <c r="DI14" s="4474" t="s">
        <v>1128</v>
      </c>
      <c r="DJ14" s="4515"/>
      <c r="DK14" s="4553"/>
      <c r="DL14" s="4546"/>
      <c r="DM14" s="4546"/>
      <c r="DN14" s="4546"/>
      <c r="DO14" s="4546"/>
      <c r="DP14" s="4546"/>
      <c r="DQ14" s="4546"/>
      <c r="DR14" s="4546"/>
      <c r="DS14" s="4546"/>
      <c r="DT14" s="4546"/>
      <c r="DU14" s="4546"/>
      <c r="DV14" s="4546"/>
      <c r="DW14" s="4546"/>
      <c r="DX14" s="4546"/>
      <c r="DY14" s="4546"/>
      <c r="DZ14" s="4546"/>
      <c r="EA14" s="4546"/>
      <c r="EB14" s="4546"/>
      <c r="EC14" s="4546"/>
      <c r="ED14" s="4546"/>
      <c r="EE14" s="4546"/>
      <c r="EF14" s="4546"/>
      <c r="EG14" s="4546"/>
      <c r="EH14" s="4546"/>
      <c r="EI14" s="4546"/>
      <c r="EJ14" s="4546"/>
      <c r="EK14" s="4546"/>
      <c r="EL14" s="4546"/>
      <c r="EM14" s="4546"/>
      <c r="EN14" s="4546"/>
      <c r="EO14" s="4546"/>
      <c r="EP14" s="4546"/>
      <c r="EQ14" s="4546"/>
      <c r="ER14" s="4546"/>
      <c r="ES14" s="4546"/>
      <c r="ET14" s="4546"/>
      <c r="EU14" s="4546"/>
      <c r="EV14" s="4546"/>
      <c r="EW14" s="4546"/>
      <c r="EX14" s="4546"/>
      <c r="EY14" s="4546"/>
      <c r="EZ14" s="4546"/>
      <c r="FA14" s="4546"/>
      <c r="FB14" s="4546"/>
      <c r="FC14" s="4546"/>
      <c r="FD14" s="4546"/>
      <c r="FE14" s="4546"/>
      <c r="FF14" s="4546"/>
      <c r="FG14" s="4546"/>
      <c r="FH14" s="4546"/>
      <c r="FI14" s="4546"/>
      <c r="FJ14" s="4546"/>
      <c r="FK14" s="4546"/>
      <c r="FL14" s="4546"/>
      <c r="FM14" s="4546"/>
      <c r="FN14" s="4546"/>
      <c r="FO14" s="4546"/>
      <c r="FP14" s="4546"/>
      <c r="FQ14" s="4546"/>
      <c r="FR14" s="4546"/>
      <c r="FS14" s="4546"/>
      <c r="FT14" s="4546"/>
      <c r="FU14" s="4546"/>
      <c r="FV14" s="4546"/>
      <c r="FW14" s="4551"/>
      <c r="FX14" s="695"/>
      <c r="GC14" s="850">
        <v>36</v>
      </c>
    </row>
    <row r="15" spans="2:185" ht="37.9" customHeight="1">
      <c r="D15" s="862"/>
      <c r="E15" s="861"/>
      <c r="F15" s="4369"/>
      <c r="G15" s="4369"/>
      <c r="H15" s="4369"/>
      <c r="I15" s="4369"/>
      <c r="J15" s="4563"/>
      <c r="K15" s="4563"/>
      <c r="L15" s="4563"/>
      <c r="M15" s="4563"/>
      <c r="N15" s="4563"/>
      <c r="O15" s="4476"/>
      <c r="P15" s="4532"/>
      <c r="Q15" s="4476"/>
      <c r="R15" s="4532"/>
      <c r="S15" s="4476"/>
      <c r="T15" s="4532"/>
      <c r="U15" s="4476"/>
      <c r="V15" s="4532"/>
      <c r="W15" s="4476"/>
      <c r="X15" s="4532"/>
      <c r="Y15" s="4476"/>
      <c r="Z15" s="4532"/>
      <c r="AA15" s="4476"/>
      <c r="AB15" s="4532"/>
      <c r="AC15" s="4546"/>
      <c r="AD15" s="4546"/>
      <c r="AE15" s="4546"/>
      <c r="AF15" s="4546"/>
      <c r="AG15" s="4546"/>
      <c r="AH15" s="4546"/>
      <c r="AI15" s="4546"/>
      <c r="AJ15" s="4546"/>
      <c r="AK15" s="4546"/>
      <c r="AL15" s="4546"/>
      <c r="AM15" s="4546"/>
      <c r="AN15" s="4546"/>
      <c r="AO15" s="4546"/>
      <c r="AP15" s="4546"/>
      <c r="AQ15" s="4546"/>
      <c r="AR15" s="4546"/>
      <c r="AS15" s="4546"/>
      <c r="AT15" s="4546"/>
      <c r="AU15" s="4546"/>
      <c r="AV15" s="4546"/>
      <c r="AW15" s="4546"/>
      <c r="AX15" s="4546"/>
      <c r="AY15" s="4546"/>
      <c r="AZ15" s="4546"/>
      <c r="BA15" s="4546"/>
      <c r="BB15" s="4546"/>
      <c r="BC15" s="4546"/>
      <c r="BD15" s="4546"/>
      <c r="BE15" s="4546"/>
      <c r="BF15" s="4546"/>
      <c r="BG15" s="4546"/>
      <c r="BH15" s="4546"/>
      <c r="BI15" s="4546"/>
      <c r="BJ15" s="4546"/>
      <c r="BK15" s="4546"/>
      <c r="BL15" s="4546"/>
      <c r="BM15" s="4546"/>
      <c r="BN15" s="4546"/>
      <c r="BO15" s="4546"/>
      <c r="BP15" s="4546"/>
      <c r="BQ15" s="4546"/>
      <c r="BR15" s="4546"/>
      <c r="BS15" s="4547"/>
      <c r="BT15" s="4476"/>
      <c r="BU15" s="4532"/>
      <c r="BV15" s="4476"/>
      <c r="BW15" s="4532"/>
      <c r="BX15" s="4476"/>
      <c r="BY15" s="4532"/>
      <c r="BZ15" s="4476"/>
      <c r="CA15" s="4532"/>
      <c r="CB15" s="4476"/>
      <c r="CC15" s="4532"/>
      <c r="CD15" s="4476"/>
      <c r="CE15" s="4532"/>
      <c r="CF15" s="4476"/>
      <c r="CG15" s="4532"/>
      <c r="CH15" s="4476"/>
      <c r="CI15" s="4532"/>
      <c r="CJ15" s="4476"/>
      <c r="CK15" s="4532"/>
      <c r="CL15" s="4553"/>
      <c r="CM15" s="4546"/>
      <c r="CN15" s="4546"/>
      <c r="CO15" s="4546"/>
      <c r="CP15" s="4546"/>
      <c r="CQ15" s="4546"/>
      <c r="CR15" s="4546"/>
      <c r="CS15" s="4546"/>
      <c r="CT15" s="4546"/>
      <c r="CU15" s="4546"/>
      <c r="CV15" s="4546"/>
      <c r="CW15" s="4546"/>
      <c r="CX15" s="4547"/>
      <c r="CY15" s="4476"/>
      <c r="CZ15" s="4532"/>
      <c r="DA15" s="4476"/>
      <c r="DB15" s="4532"/>
      <c r="DC15" s="4476"/>
      <c r="DD15" s="4532"/>
      <c r="DE15" s="4476"/>
      <c r="DF15" s="4532"/>
      <c r="DG15" s="4476"/>
      <c r="DH15" s="4532"/>
      <c r="DI15" s="4476"/>
      <c r="DJ15" s="4532"/>
      <c r="DK15" s="4553"/>
      <c r="DL15" s="4546"/>
      <c r="DM15" s="4546"/>
      <c r="DN15" s="4546"/>
      <c r="DO15" s="4546"/>
      <c r="DP15" s="4546"/>
      <c r="DQ15" s="4546"/>
      <c r="DR15" s="4546"/>
      <c r="DS15" s="4546"/>
      <c r="DT15" s="4546"/>
      <c r="DU15" s="4546"/>
      <c r="DV15" s="4546"/>
      <c r="DW15" s="4546"/>
      <c r="DX15" s="4546"/>
      <c r="DY15" s="4546"/>
      <c r="DZ15" s="4546"/>
      <c r="EA15" s="4546"/>
      <c r="EB15" s="4546"/>
      <c r="EC15" s="4546"/>
      <c r="ED15" s="4546"/>
      <c r="EE15" s="4546"/>
      <c r="EF15" s="4546"/>
      <c r="EG15" s="4546"/>
      <c r="EH15" s="4546"/>
      <c r="EI15" s="4546"/>
      <c r="EJ15" s="4546"/>
      <c r="EK15" s="4546"/>
      <c r="EL15" s="4546"/>
      <c r="EM15" s="4546"/>
      <c r="EN15" s="4546"/>
      <c r="EO15" s="4546"/>
      <c r="EP15" s="4546"/>
      <c r="EQ15" s="4546"/>
      <c r="ER15" s="4546"/>
      <c r="ES15" s="4546"/>
      <c r="ET15" s="4546"/>
      <c r="EU15" s="4546"/>
      <c r="EV15" s="4546"/>
      <c r="EW15" s="4546"/>
      <c r="EX15" s="4546"/>
      <c r="EY15" s="4546"/>
      <c r="EZ15" s="4546"/>
      <c r="FA15" s="4546"/>
      <c r="FB15" s="4546"/>
      <c r="FC15" s="4546"/>
      <c r="FD15" s="4546"/>
      <c r="FE15" s="4546"/>
      <c r="FF15" s="4546"/>
      <c r="FG15" s="4546"/>
      <c r="FH15" s="4546"/>
      <c r="FI15" s="4546"/>
      <c r="FJ15" s="4546"/>
      <c r="FK15" s="4546"/>
      <c r="FL15" s="4546"/>
      <c r="FM15" s="4546"/>
      <c r="FN15" s="4546"/>
      <c r="FO15" s="4546"/>
      <c r="FP15" s="4546"/>
      <c r="FQ15" s="4546"/>
      <c r="FR15" s="4546"/>
      <c r="FS15" s="4546"/>
      <c r="FT15" s="4546"/>
      <c r="FU15" s="4546"/>
      <c r="FV15" s="4546"/>
      <c r="FW15" s="4551"/>
      <c r="FX15" s="695"/>
      <c r="GC15" s="850">
        <v>36</v>
      </c>
    </row>
    <row r="16" spans="2:185" ht="12.75" customHeight="1">
      <c r="D16" s="862"/>
      <c r="E16" s="861"/>
      <c r="F16" s="4369"/>
      <c r="G16" s="4369"/>
      <c r="H16" s="4369"/>
      <c r="I16" s="4369"/>
      <c r="J16" s="4563"/>
      <c r="K16" s="4563"/>
      <c r="L16" s="4563"/>
      <c r="M16" s="4563"/>
      <c r="N16" s="4563"/>
      <c r="O16" s="4513" t="s">
        <v>846</v>
      </c>
      <c r="P16" s="4545"/>
      <c r="Q16" s="4513" t="s">
        <v>848</v>
      </c>
      <c r="R16" s="4545"/>
      <c r="S16" s="4513" t="s">
        <v>852</v>
      </c>
      <c r="T16" s="4545"/>
      <c r="U16" s="4513" t="s">
        <v>857</v>
      </c>
      <c r="V16" s="4545"/>
      <c r="W16" s="4513" t="s">
        <v>860</v>
      </c>
      <c r="X16" s="4545"/>
      <c r="Y16" s="4513" t="s">
        <v>864</v>
      </c>
      <c r="Z16" s="4545"/>
      <c r="AA16" s="4513" t="s">
        <v>867</v>
      </c>
      <c r="AB16" s="4545"/>
      <c r="AC16" s="4546"/>
      <c r="AD16" s="4546"/>
      <c r="AE16" s="4546"/>
      <c r="AF16" s="4546"/>
      <c r="AG16" s="4546"/>
      <c r="AH16" s="4546"/>
      <c r="AI16" s="4546"/>
      <c r="AJ16" s="4546"/>
      <c r="AK16" s="4546"/>
      <c r="AL16" s="4546"/>
      <c r="AM16" s="4546"/>
      <c r="AN16" s="4546"/>
      <c r="AO16" s="4546"/>
      <c r="AP16" s="4546"/>
      <c r="AQ16" s="4546"/>
      <c r="AR16" s="4546"/>
      <c r="AS16" s="4546"/>
      <c r="AT16" s="4546"/>
      <c r="AU16" s="4546"/>
      <c r="AV16" s="4546"/>
      <c r="AW16" s="4546"/>
      <c r="AX16" s="4546"/>
      <c r="AY16" s="4546"/>
      <c r="AZ16" s="4546"/>
      <c r="BA16" s="4546"/>
      <c r="BB16" s="4546"/>
      <c r="BC16" s="4546"/>
      <c r="BD16" s="4546"/>
      <c r="BE16" s="4546"/>
      <c r="BF16" s="4546"/>
      <c r="BG16" s="4546"/>
      <c r="BH16" s="4546"/>
      <c r="BI16" s="4546"/>
      <c r="BJ16" s="4546"/>
      <c r="BK16" s="4546"/>
      <c r="BL16" s="4546"/>
      <c r="BM16" s="4546"/>
      <c r="BN16" s="4546"/>
      <c r="BO16" s="4546"/>
      <c r="BP16" s="4546"/>
      <c r="BQ16" s="4546"/>
      <c r="BR16" s="4546"/>
      <c r="BS16" s="4547"/>
      <c r="BT16" s="4513" t="s">
        <v>579</v>
      </c>
      <c r="BU16" s="4545"/>
      <c r="BV16" s="4513" t="s">
        <v>579</v>
      </c>
      <c r="BW16" s="4545"/>
      <c r="BX16" s="4513" t="s">
        <v>579</v>
      </c>
      <c r="BY16" s="4545"/>
      <c r="BZ16" s="4513" t="s">
        <v>579</v>
      </c>
      <c r="CA16" s="4545"/>
      <c r="CB16" s="4513" t="s">
        <v>1129</v>
      </c>
      <c r="CC16" s="4545"/>
      <c r="CD16" s="4513" t="s">
        <v>579</v>
      </c>
      <c r="CE16" s="4545"/>
      <c r="CF16" s="4513" t="s">
        <v>1130</v>
      </c>
      <c r="CG16" s="4545"/>
      <c r="CH16" s="4513" t="s">
        <v>1131</v>
      </c>
      <c r="CI16" s="4545"/>
      <c r="CJ16" s="4513" t="s">
        <v>1131</v>
      </c>
      <c r="CK16" s="4545"/>
      <c r="CL16" s="4553"/>
      <c r="CM16" s="4546"/>
      <c r="CN16" s="4546"/>
      <c r="CO16" s="4546"/>
      <c r="CP16" s="4546"/>
      <c r="CQ16" s="4546"/>
      <c r="CR16" s="4546"/>
      <c r="CS16" s="4546"/>
      <c r="CT16" s="4546"/>
      <c r="CU16" s="4546"/>
      <c r="CV16" s="4546"/>
      <c r="CW16" s="4546"/>
      <c r="CX16" s="4547"/>
      <c r="CY16" s="4474" t="s">
        <v>579</v>
      </c>
      <c r="CZ16" s="4515"/>
      <c r="DA16" s="4474" t="s">
        <v>579</v>
      </c>
      <c r="DB16" s="4515"/>
      <c r="DC16" s="4474" t="s">
        <v>579</v>
      </c>
      <c r="DD16" s="4515"/>
      <c r="DE16" s="4513" t="s">
        <v>1129</v>
      </c>
      <c r="DF16" s="4545"/>
      <c r="DG16" s="4513" t="s">
        <v>1132</v>
      </c>
      <c r="DH16" s="4545"/>
      <c r="DI16" s="4513" t="s">
        <v>1132</v>
      </c>
      <c r="DJ16" s="4545"/>
      <c r="DK16" s="4553"/>
      <c r="DL16" s="4546"/>
      <c r="DM16" s="4546"/>
      <c r="DN16" s="4546"/>
      <c r="DO16" s="4546"/>
      <c r="DP16" s="4546"/>
      <c r="DQ16" s="4546"/>
      <c r="DR16" s="4546"/>
      <c r="DS16" s="4546"/>
      <c r="DT16" s="4546"/>
      <c r="DU16" s="4546"/>
      <c r="DV16" s="4546"/>
      <c r="DW16" s="4546"/>
      <c r="DX16" s="4546"/>
      <c r="DY16" s="4546"/>
      <c r="DZ16" s="4546"/>
      <c r="EA16" s="4546"/>
      <c r="EB16" s="4546"/>
      <c r="EC16" s="4546"/>
      <c r="ED16" s="4546"/>
      <c r="EE16" s="4546"/>
      <c r="EF16" s="4546"/>
      <c r="EG16" s="4546"/>
      <c r="EH16" s="4546"/>
      <c r="EI16" s="4546"/>
      <c r="EJ16" s="4546"/>
      <c r="EK16" s="4546"/>
      <c r="EL16" s="4546"/>
      <c r="EM16" s="4546"/>
      <c r="EN16" s="4546"/>
      <c r="EO16" s="4546"/>
      <c r="EP16" s="4546"/>
      <c r="EQ16" s="4546"/>
      <c r="ER16" s="4546"/>
      <c r="ES16" s="4546"/>
      <c r="ET16" s="4546"/>
      <c r="EU16" s="4546"/>
      <c r="EV16" s="4546"/>
      <c r="EW16" s="4546"/>
      <c r="EX16" s="4546"/>
      <c r="EY16" s="4546"/>
      <c r="EZ16" s="4546"/>
      <c r="FA16" s="4546"/>
      <c r="FB16" s="4546"/>
      <c r="FC16" s="4546"/>
      <c r="FD16" s="4546"/>
      <c r="FE16" s="4546"/>
      <c r="FF16" s="4546"/>
      <c r="FG16" s="4546"/>
      <c r="FH16" s="4546"/>
      <c r="FI16" s="4546"/>
      <c r="FJ16" s="4546"/>
      <c r="FK16" s="4546"/>
      <c r="FL16" s="4546"/>
      <c r="FM16" s="4546"/>
      <c r="FN16" s="4546"/>
      <c r="FO16" s="4546"/>
      <c r="FP16" s="4546"/>
      <c r="FQ16" s="4546"/>
      <c r="FR16" s="4546"/>
      <c r="FS16" s="4546"/>
      <c r="FT16" s="4546"/>
      <c r="FU16" s="4546"/>
      <c r="FV16" s="4546"/>
      <c r="FW16" s="4551"/>
      <c r="FX16" s="695"/>
      <c r="GC16" s="850">
        <v>12</v>
      </c>
    </row>
    <row r="17" spans="1:185" ht="15.75" customHeight="1">
      <c r="E17" s="861"/>
      <c r="F17" s="4369"/>
      <c r="G17" s="4369"/>
      <c r="H17" s="4369"/>
      <c r="I17" s="4369"/>
      <c r="J17" s="4563"/>
      <c r="K17" s="4563"/>
      <c r="L17" s="4563"/>
      <c r="M17" s="4563"/>
      <c r="N17" s="4563"/>
      <c r="O17" s="1109" t="s">
        <v>1133</v>
      </c>
      <c r="P17" s="1109" t="s">
        <v>1134</v>
      </c>
      <c r="Q17" s="1109" t="s">
        <v>1133</v>
      </c>
      <c r="R17" s="1109" t="s">
        <v>1134</v>
      </c>
      <c r="S17" s="1109" t="s">
        <v>1133</v>
      </c>
      <c r="T17" s="1109" t="s">
        <v>1134</v>
      </c>
      <c r="U17" s="1109" t="s">
        <v>1133</v>
      </c>
      <c r="V17" s="1109" t="s">
        <v>1134</v>
      </c>
      <c r="W17" s="1109" t="s">
        <v>1133</v>
      </c>
      <c r="X17" s="1109" t="s">
        <v>1134</v>
      </c>
      <c r="Y17" s="1109" t="s">
        <v>1133</v>
      </c>
      <c r="Z17" s="1109" t="s">
        <v>1134</v>
      </c>
      <c r="AA17" s="1109" t="s">
        <v>1133</v>
      </c>
      <c r="AB17" s="1109" t="s">
        <v>1134</v>
      </c>
      <c r="AC17" s="4546"/>
      <c r="AD17" s="4546"/>
      <c r="AE17" s="4546"/>
      <c r="AF17" s="4546"/>
      <c r="AG17" s="4546"/>
      <c r="AH17" s="4546"/>
      <c r="AI17" s="4546"/>
      <c r="AJ17" s="4546"/>
      <c r="AK17" s="4546"/>
      <c r="AL17" s="4546"/>
      <c r="AM17" s="4546"/>
      <c r="AN17" s="4546"/>
      <c r="AO17" s="4546"/>
      <c r="AP17" s="4546"/>
      <c r="AQ17" s="4546"/>
      <c r="AR17" s="4546"/>
      <c r="AS17" s="4546"/>
      <c r="AT17" s="4546"/>
      <c r="AU17" s="4546"/>
      <c r="AV17" s="4546"/>
      <c r="AW17" s="4546"/>
      <c r="AX17" s="4546"/>
      <c r="AY17" s="4546"/>
      <c r="AZ17" s="4546"/>
      <c r="BA17" s="4546"/>
      <c r="BB17" s="4546"/>
      <c r="BC17" s="4546"/>
      <c r="BD17" s="4546"/>
      <c r="BE17" s="4546"/>
      <c r="BF17" s="4546"/>
      <c r="BG17" s="4546"/>
      <c r="BH17" s="4546"/>
      <c r="BI17" s="4546"/>
      <c r="BJ17" s="4546"/>
      <c r="BK17" s="4546"/>
      <c r="BL17" s="4546"/>
      <c r="BM17" s="4546"/>
      <c r="BN17" s="4546"/>
      <c r="BO17" s="4546"/>
      <c r="BP17" s="4546"/>
      <c r="BQ17" s="4546"/>
      <c r="BR17" s="4546"/>
      <c r="BS17" s="4547"/>
      <c r="BT17" s="1109" t="s">
        <v>1133</v>
      </c>
      <c r="BU17" s="1109" t="s">
        <v>1134</v>
      </c>
      <c r="BV17" s="1109" t="s">
        <v>1133</v>
      </c>
      <c r="BW17" s="1109" t="s">
        <v>1134</v>
      </c>
      <c r="BX17" s="1109" t="s">
        <v>1133</v>
      </c>
      <c r="BY17" s="1109" t="s">
        <v>1134</v>
      </c>
      <c r="BZ17" s="1109" t="s">
        <v>1133</v>
      </c>
      <c r="CA17" s="1109" t="s">
        <v>1134</v>
      </c>
      <c r="CB17" s="1109" t="s">
        <v>1133</v>
      </c>
      <c r="CC17" s="1109" t="s">
        <v>1134</v>
      </c>
      <c r="CD17" s="1109" t="s">
        <v>1133</v>
      </c>
      <c r="CE17" s="1109" t="s">
        <v>1134</v>
      </c>
      <c r="CF17" s="1109" t="s">
        <v>1133</v>
      </c>
      <c r="CG17" s="1109" t="s">
        <v>1134</v>
      </c>
      <c r="CH17" s="1109" t="s">
        <v>1133</v>
      </c>
      <c r="CI17" s="1109" t="s">
        <v>1134</v>
      </c>
      <c r="CJ17" s="1109" t="s">
        <v>1133</v>
      </c>
      <c r="CK17" s="1109" t="s">
        <v>1134</v>
      </c>
      <c r="CL17" s="4553"/>
      <c r="CM17" s="4546"/>
      <c r="CN17" s="4546"/>
      <c r="CO17" s="4546"/>
      <c r="CP17" s="4546"/>
      <c r="CQ17" s="4546"/>
      <c r="CR17" s="4546"/>
      <c r="CS17" s="4546"/>
      <c r="CT17" s="4546"/>
      <c r="CU17" s="4546"/>
      <c r="CV17" s="4546"/>
      <c r="CW17" s="4546"/>
      <c r="CX17" s="4547"/>
      <c r="CY17" s="1109" t="s">
        <v>1133</v>
      </c>
      <c r="CZ17" s="1109" t="s">
        <v>1134</v>
      </c>
      <c r="DA17" s="1109" t="s">
        <v>1133</v>
      </c>
      <c r="DB17" s="1109" t="s">
        <v>1134</v>
      </c>
      <c r="DC17" s="1109" t="s">
        <v>1133</v>
      </c>
      <c r="DD17" s="1109" t="s">
        <v>1134</v>
      </c>
      <c r="DE17" s="1109" t="s">
        <v>1133</v>
      </c>
      <c r="DF17" s="1109" t="s">
        <v>1134</v>
      </c>
      <c r="DG17" s="1109" t="s">
        <v>1133</v>
      </c>
      <c r="DH17" s="1109" t="s">
        <v>1134</v>
      </c>
      <c r="DI17" s="1109" t="s">
        <v>1133</v>
      </c>
      <c r="DJ17" s="1109" t="s">
        <v>1134</v>
      </c>
      <c r="DK17" s="4553"/>
      <c r="DL17" s="4546"/>
      <c r="DM17" s="4546"/>
      <c r="DN17" s="4546"/>
      <c r="DO17" s="4546"/>
      <c r="DP17" s="4546"/>
      <c r="DQ17" s="4546"/>
      <c r="DR17" s="4546"/>
      <c r="DS17" s="4546"/>
      <c r="DT17" s="4546"/>
      <c r="DU17" s="4546"/>
      <c r="DV17" s="4546"/>
      <c r="DW17" s="4546"/>
      <c r="DX17" s="4546"/>
      <c r="DY17" s="4546"/>
      <c r="DZ17" s="4546"/>
      <c r="EA17" s="4546"/>
      <c r="EB17" s="4546"/>
      <c r="EC17" s="4546"/>
      <c r="ED17" s="4546"/>
      <c r="EE17" s="4546"/>
      <c r="EF17" s="4546"/>
      <c r="EG17" s="4546"/>
      <c r="EH17" s="4546"/>
      <c r="EI17" s="4546"/>
      <c r="EJ17" s="4546"/>
      <c r="EK17" s="4546"/>
      <c r="EL17" s="4546"/>
      <c r="EM17" s="4546"/>
      <c r="EN17" s="4546"/>
      <c r="EO17" s="4546"/>
      <c r="EP17" s="4546"/>
      <c r="EQ17" s="4546"/>
      <c r="ER17" s="4546"/>
      <c r="ES17" s="4546"/>
      <c r="ET17" s="4546"/>
      <c r="EU17" s="4546"/>
      <c r="EV17" s="4546"/>
      <c r="EW17" s="4546"/>
      <c r="EX17" s="4546"/>
      <c r="EY17" s="4546"/>
      <c r="EZ17" s="4546"/>
      <c r="FA17" s="4546"/>
      <c r="FB17" s="4546"/>
      <c r="FC17" s="4546"/>
      <c r="FD17" s="4546"/>
      <c r="FE17" s="4546"/>
      <c r="FF17" s="4546"/>
      <c r="FG17" s="4546"/>
      <c r="FH17" s="4546"/>
      <c r="FI17" s="4546"/>
      <c r="FJ17" s="4546"/>
      <c r="FK17" s="4546"/>
      <c r="FL17" s="4546"/>
      <c r="FM17" s="4546"/>
      <c r="FN17" s="4546"/>
      <c r="FO17" s="4546"/>
      <c r="FP17" s="4546"/>
      <c r="FQ17" s="4546"/>
      <c r="FR17" s="4546"/>
      <c r="FS17" s="4546"/>
      <c r="FT17" s="4546"/>
      <c r="FU17" s="4546"/>
      <c r="FV17" s="4546"/>
      <c r="FW17" s="4552"/>
      <c r="FX17" s="695"/>
      <c r="GC17" s="850">
        <v>15</v>
      </c>
    </row>
    <row r="18" spans="1:185" s="420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420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4208" customFormat="1" ht="11.25" hidden="1" customHeight="1">
      <c r="B20" s="864"/>
      <c r="D20" s="848"/>
      <c r="E20" s="863"/>
      <c r="F20" s="1115" t="s">
        <v>397</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420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4208" customFormat="1" ht="12.75" customHeight="1">
      <c r="A22" s="865"/>
      <c r="B22" s="865"/>
      <c r="C22" s="865"/>
      <c r="D22" s="865"/>
      <c r="E22" s="865"/>
      <c r="FX22" s="865"/>
      <c r="FY22" s="865"/>
      <c r="FZ22" s="865"/>
      <c r="GA22" s="865"/>
      <c r="GB22" s="865"/>
      <c r="GC22" s="846">
        <v>12</v>
      </c>
    </row>
    <row r="23" spans="1:185" s="421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86</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4131" hidden="1" customWidth="1"/>
    <col min="2" max="2" width="9.140625" style="4133" hidden="1" customWidth="1"/>
    <col min="3" max="3" width="4" style="4206" customWidth="1"/>
    <col min="4" max="4" width="6" style="4133" customWidth="1"/>
    <col min="5" max="5" width="36" style="4133" customWidth="1"/>
    <col min="6" max="6" width="9" style="4133" customWidth="1"/>
    <col min="7" max="7" width="42.42578125" style="4133" hidden="1" customWidth="1"/>
    <col min="8" max="8" width="40.7109375" style="4133" customWidth="1"/>
    <col min="9" max="9" width="93" style="4139" customWidth="1"/>
    <col min="10" max="17" width="10" style="4133" customWidth="1"/>
    <col min="18" max="18" width="10" style="4207" customWidth="1"/>
    <col min="19" max="19" width="10.5703125" style="4133" hidden="1"/>
  </cols>
  <sheetData>
    <row r="1" spans="1:19" s="4139" customFormat="1" ht="15" hidden="1" customHeight="1">
      <c r="C1" s="607"/>
      <c r="H1" s="352">
        <v>4</v>
      </c>
      <c r="R1" s="355"/>
      <c r="S1" s="352" t="s">
        <v>14</v>
      </c>
    </row>
    <row r="2" spans="1:19" ht="22.5" hidden="1" customHeight="1">
      <c r="C2" s="1840" t="s">
        <v>175</v>
      </c>
      <c r="D2" s="474"/>
      <c r="E2" s="598"/>
      <c r="F2" s="1678" t="str">
        <f>IF(TEMPLATE_SPHERE="HEAT","Гкал/час","тыс. куб. м/сутки")</f>
        <v>Гкал/час</v>
      </c>
      <c r="G2" s="615"/>
      <c r="H2" s="615"/>
      <c r="I2" s="225"/>
      <c r="S2" s="440">
        <v>0</v>
      </c>
    </row>
    <row r="3" spans="1:19" s="4139" customFormat="1" ht="15" hidden="1" customHeight="1">
      <c r="C3" s="607"/>
      <c r="R3" s="355"/>
      <c r="S3" s="352">
        <v>0</v>
      </c>
    </row>
    <row r="4" spans="1:19" ht="15.75" customHeight="1">
      <c r="C4" s="113"/>
      <c r="D4" s="444"/>
      <c r="E4" s="444"/>
      <c r="F4" s="444"/>
      <c r="G4" s="444"/>
      <c r="H4" s="444"/>
      <c r="S4" s="440">
        <v>15</v>
      </c>
    </row>
    <row r="5" spans="1:19" ht="39.75" customHeight="1">
      <c r="C5" s="113"/>
      <c r="D5" s="439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393"/>
      <c r="F5" s="4393"/>
      <c r="G5" s="4393"/>
      <c r="H5" s="4393"/>
      <c r="I5" s="472"/>
      <c r="S5" s="440">
        <v>38</v>
      </c>
    </row>
    <row r="6" spans="1:19" ht="15.75" customHeight="1">
      <c r="C6" s="113"/>
      <c r="D6" s="4365" t="str">
        <f>IF(org=0,"Не определено",org)</f>
        <v>АО "Мурманэнергосбыт"</v>
      </c>
      <c r="E6" s="4365"/>
      <c r="F6" s="4365"/>
      <c r="G6" s="4365"/>
      <c r="H6" s="4365"/>
      <c r="I6" s="472"/>
      <c r="S6" s="440">
        <v>15</v>
      </c>
    </row>
    <row r="7" spans="1:19" s="4133" customFormat="1" ht="15.75" customHeight="1">
      <c r="A7" s="692"/>
      <c r="C7" s="113"/>
      <c r="D7" s="611"/>
      <c r="E7" s="611"/>
      <c r="F7" s="611"/>
      <c r="G7" s="611"/>
      <c r="H7" s="687"/>
      <c r="I7" s="472"/>
      <c r="R7" s="610"/>
      <c r="S7" s="691">
        <v>15</v>
      </c>
    </row>
    <row r="8" spans="1:19" ht="1.1499999999999999" customHeight="1">
      <c r="C8" s="113"/>
      <c r="D8" s="444"/>
      <c r="E8" s="444"/>
      <c r="F8" s="444"/>
      <c r="G8" s="444"/>
      <c r="H8" s="472" t="s">
        <v>120</v>
      </c>
      <c r="S8" s="440">
        <v>1</v>
      </c>
    </row>
    <row r="9" spans="1:19" ht="15.75" customHeight="1">
      <c r="C9" s="113"/>
      <c r="D9" s="646"/>
      <c r="E9" s="4499" t="s">
        <v>109</v>
      </c>
      <c r="F9" s="4500"/>
      <c r="G9" s="745" t="str">
        <f>IF(G8="","",INDEX(DIFFERENTIATION_UNMERGE_VD,MATCH(G8,DIFFERENTIATION_ID_DIFF,0)))</f>
        <v/>
      </c>
      <c r="H9" s="745">
        <f>IF(H8="","",INDEX(DIFFERENTIATION_UNMERGE_VD,MATCH(H8,DIFFERENTIATION_ID_DIFF,0)))</f>
        <v>0</v>
      </c>
      <c r="I9" s="4274" t="s">
        <v>322</v>
      </c>
      <c r="S9" s="440">
        <v>15</v>
      </c>
    </row>
    <row r="10" spans="1:19" s="4133" customFormat="1" ht="15.75" customHeight="1">
      <c r="A10" s="692"/>
      <c r="C10" s="113"/>
      <c r="D10" s="646"/>
      <c r="E10" s="4499" t="s">
        <v>585</v>
      </c>
      <c r="F10" s="4500"/>
      <c r="G10" s="745" t="str">
        <f>IF(G8="","",INDEX(DIFFERENTIATION_UNMERGE_AREA,MATCH(G8,DIFFERENTIATION_ID_DIFF,0)))</f>
        <v/>
      </c>
      <c r="H10" s="745" t="str">
        <f>IF(H8="","",INDEX(DIFFERENTIATION_UNMERGE_AREA,MATCH(H8,DIFFERENTIATION_ID_DIFF,0)))</f>
        <v/>
      </c>
      <c r="I10" s="4274"/>
      <c r="R10" s="610"/>
      <c r="S10" s="691">
        <v>15</v>
      </c>
    </row>
    <row r="11" spans="1:19" s="4133" customFormat="1" ht="15.75" customHeight="1">
      <c r="A11" s="692"/>
      <c r="C11" s="113"/>
      <c r="D11" s="646"/>
      <c r="E11" s="4499" t="s">
        <v>586</v>
      </c>
      <c r="F11" s="4500"/>
      <c r="G11" s="745" t="str">
        <f>IF(G8="","",INDEX(DIFFERENTIATION_UNMERGE_SYSTEM,MATCH(G8,DIFFERENTIATION_ID_DIFF,0)))</f>
        <v/>
      </c>
      <c r="H11" s="745" t="str">
        <f>IF(H8="","",INDEX(DIFFERENTIATION_UNMERGE_SYSTEM,MATCH(H8,DIFFERENTIATION_ID_DIFF,0)))</f>
        <v>без дифференциации</v>
      </c>
      <c r="I11" s="4274"/>
      <c r="R11" s="610"/>
      <c r="S11" s="691">
        <v>15</v>
      </c>
    </row>
    <row r="12" spans="1:19" s="4133" customFormat="1" ht="15.75" customHeight="1">
      <c r="A12" s="692"/>
      <c r="C12" s="113"/>
      <c r="D12" s="4501" t="s">
        <v>321</v>
      </c>
      <c r="E12" s="4502"/>
      <c r="F12" s="4502"/>
      <c r="G12" s="811"/>
      <c r="H12" s="811"/>
      <c r="I12" s="4274"/>
      <c r="R12" s="610"/>
      <c r="S12" s="691">
        <v>15</v>
      </c>
    </row>
    <row r="13" spans="1:19" ht="35.65" customHeight="1">
      <c r="C13" s="113"/>
      <c r="D13" s="694" t="s">
        <v>92</v>
      </c>
      <c r="E13" s="693" t="s">
        <v>323</v>
      </c>
      <c r="F13" s="693" t="s">
        <v>587</v>
      </c>
      <c r="G13" s="737" t="s">
        <v>324</v>
      </c>
      <c r="H13" s="689" t="s">
        <v>324</v>
      </c>
      <c r="I13" s="4274"/>
      <c r="S13" s="440">
        <v>34</v>
      </c>
    </row>
    <row r="14" spans="1:19" ht="15" hidden="1" customHeight="1">
      <c r="C14" s="113"/>
      <c r="D14" s="528" t="s">
        <v>113</v>
      </c>
      <c r="E14" s="528" t="s">
        <v>114</v>
      </c>
      <c r="F14" s="528" t="s">
        <v>94</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1135</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1135</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1135</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327</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1136</v>
      </c>
      <c r="E20" s="623"/>
      <c r="F20" s="444"/>
      <c r="G20" s="444"/>
      <c r="H20" s="444"/>
      <c r="I20" s="1680"/>
      <c r="S20" s="440">
        <v>0</v>
      </c>
    </row>
    <row r="21" spans="1:19" ht="29.25" customHeight="1">
      <c r="C21" s="386"/>
      <c r="D21" s="474" t="s">
        <v>334</v>
      </c>
      <c r="E21" s="605"/>
      <c r="F21" s="1678" t="str">
        <f>IF(TEMPLATE_SPHERE="HEAT","Гкал/час","тыс. куб. м/сутки")</f>
        <v>Гкал/час</v>
      </c>
      <c r="G21" s="615"/>
      <c r="H21" s="615"/>
      <c r="I21" s="431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1137</v>
      </c>
      <c r="F22" s="507"/>
      <c r="G22" s="507"/>
      <c r="H22" s="507"/>
      <c r="I22" s="4320"/>
      <c r="R22" s="440"/>
      <c r="S22" s="440">
        <v>15</v>
      </c>
    </row>
    <row r="23" spans="1:19" ht="22.5" hidden="1" customHeight="1">
      <c r="A23" s="384" t="s">
        <v>86</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4167" hidden="1" customWidth="1"/>
    <col min="2" max="2" width="9.140625" style="4139" hidden="1" customWidth="1"/>
    <col min="3" max="3" width="3" style="4168" customWidth="1"/>
    <col min="4" max="4" width="6" style="4133" customWidth="1"/>
    <col min="5" max="6" width="64" style="4133" customWidth="1"/>
    <col min="7" max="7" width="140" style="4133" customWidth="1"/>
    <col min="8" max="8" width="10" style="4133" customWidth="1"/>
    <col min="9" max="10" width="10" style="4146" customWidth="1"/>
    <col min="11" max="16" width="10" style="4133" customWidth="1"/>
    <col min="17" max="17" width="10.5703125" style="4133"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432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327"/>
      <c r="F5" s="4327"/>
      <c r="G5" s="4328"/>
      <c r="Q5" s="23">
        <v>28</v>
      </c>
    </row>
    <row r="6" spans="1:17" s="4133" customFormat="1" ht="18.75" customHeight="1">
      <c r="A6" s="806"/>
      <c r="B6" s="352"/>
      <c r="C6" s="311"/>
      <c r="D6" s="4387" t="str">
        <f>IF(org=0,"Не определено",org)</f>
        <v>АО "Мурманэнергосбыт"</v>
      </c>
      <c r="E6" s="4388"/>
      <c r="F6" s="4388"/>
      <c r="G6" s="4389"/>
      <c r="I6" s="435"/>
      <c r="J6" s="435"/>
      <c r="Q6" s="691">
        <v>18</v>
      </c>
    </row>
    <row r="7" spans="1:17" ht="14.65" customHeight="1">
      <c r="C7" s="36"/>
      <c r="D7" s="24"/>
      <c r="E7" s="35"/>
      <c r="F7" s="687"/>
      <c r="G7" s="130"/>
      <c r="Q7" s="23">
        <v>14</v>
      </c>
    </row>
    <row r="8" spans="1:17" s="4133" customFormat="1" ht="1.1499999999999999" customHeight="1">
      <c r="A8" s="1587"/>
      <c r="B8" s="1078"/>
      <c r="C8" s="311"/>
      <c r="D8" s="298"/>
      <c r="E8" s="324"/>
      <c r="F8" s="687"/>
      <c r="G8" s="130"/>
      <c r="I8" s="1542"/>
      <c r="J8" s="1542"/>
      <c r="Q8" s="1549">
        <v>1</v>
      </c>
    </row>
    <row r="9" spans="1:17" ht="14.65" customHeight="1">
      <c r="C9" s="36"/>
      <c r="D9" s="4373" t="s">
        <v>321</v>
      </c>
      <c r="E9" s="4373"/>
      <c r="F9" s="4373"/>
      <c r="G9" s="4516" t="s">
        <v>322</v>
      </c>
      <c r="Q9" s="23">
        <v>14</v>
      </c>
    </row>
    <row r="10" spans="1:17" ht="24" customHeight="1">
      <c r="C10" s="36"/>
      <c r="D10" s="45" t="s">
        <v>92</v>
      </c>
      <c r="E10" s="48" t="s">
        <v>323</v>
      </c>
      <c r="F10" s="48" t="s">
        <v>411</v>
      </c>
      <c r="G10" s="451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327</v>
      </c>
      <c r="G12" s="89"/>
      <c r="Q12" s="23">
        <v>62</v>
      </c>
    </row>
    <row r="13" spans="1:17" ht="24" customHeight="1">
      <c r="A13" s="129"/>
      <c r="C13" s="36"/>
      <c r="D13" s="85" t="s">
        <v>1042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327</v>
      </c>
      <c r="G13" s="89"/>
      <c r="Q13" s="23">
        <v>23</v>
      </c>
    </row>
    <row r="14" spans="1:17" ht="14.65" customHeight="1">
      <c r="A14" s="129"/>
      <c r="C14" s="36"/>
      <c r="D14" s="85" t="s">
        <v>1078</v>
      </c>
      <c r="E14" s="132"/>
      <c r="F14" s="150"/>
      <c r="G14" s="431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4" t="s">
        <v>1138</v>
      </c>
      <c r="F15" s="138"/>
      <c r="G15" s="4320"/>
      <c r="Q15" s="23">
        <v>15</v>
      </c>
    </row>
    <row r="16" spans="1:17" ht="14.65" customHeight="1">
      <c r="A16" s="129"/>
      <c r="C16" s="36"/>
      <c r="D16" s="85" t="s">
        <v>1044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327</v>
      </c>
      <c r="G16" s="273"/>
      <c r="Q16" s="23">
        <v>14</v>
      </c>
    </row>
    <row r="17" spans="1:17" ht="14.65" customHeight="1">
      <c r="A17" s="129"/>
      <c r="C17" s="36"/>
      <c r="D17" s="85" t="s">
        <v>1086</v>
      </c>
      <c r="E17" s="132"/>
      <c r="F17" s="320"/>
      <c r="G17" s="431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4133" customFormat="1" ht="21.95" customHeight="1">
      <c r="A18" s="279"/>
      <c r="B18" s="84"/>
      <c r="C18" s="243"/>
      <c r="D18" s="283"/>
      <c r="E18" s="284" t="s">
        <v>1139</v>
      </c>
      <c r="F18" s="274"/>
      <c r="G18" s="4320"/>
      <c r="I18" s="285"/>
      <c r="J18" s="285"/>
      <c r="Q18" s="278">
        <v>21</v>
      </c>
    </row>
    <row r="19" spans="1:17" s="4133" customFormat="1" ht="256.5" hidden="1" customHeight="1">
      <c r="A19" s="279"/>
      <c r="B19" s="352"/>
      <c r="C19" s="311"/>
      <c r="D19" s="808" t="s">
        <v>1046</v>
      </c>
      <c r="E19" s="807" t="s">
        <v>1140</v>
      </c>
      <c r="F19" s="320"/>
      <c r="G19" s="273" t="s">
        <v>1141</v>
      </c>
      <c r="I19" s="435"/>
      <c r="J19" s="435"/>
      <c r="Q19" s="691">
        <v>0</v>
      </c>
    </row>
    <row r="20" spans="1:17" s="4133" customFormat="1" ht="14.65" customHeight="1">
      <c r="A20" s="279"/>
      <c r="B20" s="84"/>
      <c r="C20" s="243"/>
      <c r="D20" s="809">
        <v>2</v>
      </c>
      <c r="E20" s="266" t="s">
        <v>1142</v>
      </c>
      <c r="F20" s="135" t="s">
        <v>327</v>
      </c>
      <c r="G20" s="273"/>
      <c r="I20" s="285"/>
      <c r="J20" s="285"/>
      <c r="Q20" s="278">
        <v>14</v>
      </c>
    </row>
    <row r="21" spans="1:17" s="4133" customFormat="1" ht="18.75" hidden="1" customHeight="1">
      <c r="A21" s="279"/>
      <c r="B21" s="84"/>
      <c r="C21" s="243"/>
      <c r="D21" s="269" t="s">
        <v>657</v>
      </c>
      <c r="E21" s="268"/>
      <c r="F21" s="267"/>
      <c r="G21" s="277"/>
      <c r="H21" s="270"/>
      <c r="I21" s="285"/>
      <c r="J21" s="285"/>
      <c r="Q21" s="278">
        <v>0</v>
      </c>
    </row>
    <row r="22" spans="1:17" ht="15.75" customHeight="1">
      <c r="A22" s="129"/>
      <c r="C22" s="36"/>
      <c r="D22" s="49"/>
      <c r="E22" s="140" t="s">
        <v>343</v>
      </c>
      <c r="F22" s="274"/>
      <c r="G22" s="275"/>
      <c r="Q22" s="23">
        <v>15</v>
      </c>
    </row>
    <row r="23" spans="1:17" s="4133" customFormat="1" ht="22.5" hidden="1" customHeight="1">
      <c r="A23" s="279"/>
      <c r="B23" s="1078"/>
      <c r="C23" s="311"/>
      <c r="D23" s="1591" t="s">
        <v>114</v>
      </c>
      <c r="E23" s="134" t="s">
        <v>1143</v>
      </c>
      <c r="F23" s="1588" t="s">
        <v>327</v>
      </c>
      <c r="G23" s="281"/>
      <c r="I23" s="1542"/>
      <c r="J23" s="1542"/>
      <c r="Q23" s="1549">
        <v>0</v>
      </c>
    </row>
    <row r="24" spans="1:17" s="4133" customFormat="1" ht="14.25" hidden="1" customHeight="1">
      <c r="A24" s="279"/>
      <c r="B24" s="1078"/>
      <c r="C24" s="311"/>
      <c r="D24" s="1591" t="s">
        <v>729</v>
      </c>
      <c r="E24" s="1590" t="s">
        <v>1144</v>
      </c>
      <c r="F24" s="1588" t="s">
        <v>327</v>
      </c>
      <c r="G24" s="273"/>
      <c r="I24" s="1542"/>
      <c r="J24" s="1542"/>
      <c r="Q24" s="1549">
        <v>0</v>
      </c>
    </row>
    <row r="25" spans="1:17" s="4133" customFormat="1" ht="14.25" hidden="1" customHeight="1">
      <c r="A25" s="279"/>
      <c r="B25" s="1078"/>
      <c r="C25" s="311"/>
      <c r="D25" s="1591" t="s">
        <v>732</v>
      </c>
      <c r="E25" s="132"/>
      <c r="F25" s="320"/>
      <c r="G25" s="4318" t="s">
        <v>1145</v>
      </c>
      <c r="I25" s="1542"/>
      <c r="J25" s="1542"/>
      <c r="Q25" s="1549">
        <v>0</v>
      </c>
    </row>
    <row r="26" spans="1:17" s="4133" customFormat="1" ht="22.5" hidden="1" customHeight="1">
      <c r="A26" s="279"/>
      <c r="B26" s="1078"/>
      <c r="C26" s="311"/>
      <c r="D26" s="283"/>
      <c r="E26" s="284" t="s">
        <v>1146</v>
      </c>
      <c r="F26" s="274"/>
      <c r="G26" s="4320"/>
      <c r="I26" s="1542"/>
      <c r="J26" s="1542"/>
      <c r="Q26" s="1549">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7"/>
      <c r="Q29" s="23">
        <v>14</v>
      </c>
    </row>
    <row r="30" spans="1:17" ht="14.65" customHeight="1">
      <c r="Q30" s="23">
        <v>14</v>
      </c>
    </row>
    <row r="31" spans="1:17" ht="14.65" customHeight="1">
      <c r="E31" s="691"/>
      <c r="Q31" s="23">
        <v>14</v>
      </c>
    </row>
    <row r="32" spans="1:17" ht="22.5" hidden="1" customHeight="1">
      <c r="A32" s="41" t="s">
        <v>86</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54"/>
  <sheetViews>
    <sheetView showGridLines="0" tabSelected="1" topLeftCell="C31" zoomScale="90" workbookViewId="0">
      <selection activeCell="H24" sqref="H24"/>
    </sheetView>
  </sheetViews>
  <sheetFormatPr defaultColWidth="10.5703125" defaultRowHeight="14.25" customHeight="1"/>
  <cols>
    <col min="1" max="1" width="9.140625" style="4166" hidden="1" customWidth="1"/>
    <col min="2" max="2" width="9.140625" style="4139" hidden="1" customWidth="1"/>
    <col min="3" max="3" width="3" style="4168" customWidth="1"/>
    <col min="4" max="4" width="6" style="4133" customWidth="1"/>
    <col min="5" max="5" width="63" style="4133" customWidth="1"/>
    <col min="6" max="6" width="1.7109375" style="4133" hidden="1" customWidth="1"/>
    <col min="7" max="8" width="35" style="4133" customWidth="1"/>
    <col min="9" max="9" width="91" style="4133" customWidth="1"/>
    <col min="10" max="10" width="68" style="4133" customWidth="1"/>
    <col min="11" max="12" width="10" style="4146" customWidth="1"/>
    <col min="13" max="13" width="10.5703125" style="4133" hidden="1"/>
  </cols>
  <sheetData>
    <row r="1" spans="1:13" ht="22.5" hidden="1" customHeight="1">
      <c r="M1" s="23" t="s">
        <v>14</v>
      </c>
    </row>
    <row r="2" spans="1:13" s="4133" customFormat="1" ht="18.75" hidden="1" customHeight="1">
      <c r="A2" s="1601"/>
      <c r="B2" s="1078"/>
      <c r="C2" s="1647" t="s">
        <v>175</v>
      </c>
      <c r="D2" s="1591"/>
      <c r="E2" s="136"/>
      <c r="F2" s="1588"/>
      <c r="G2" s="1588" t="s">
        <v>327</v>
      </c>
      <c r="H2" s="1079"/>
      <c r="K2" s="1542"/>
      <c r="L2" s="1542"/>
      <c r="M2" s="1549">
        <v>0</v>
      </c>
    </row>
    <row r="3" spans="1:13" s="4133" customFormat="1" ht="14.25" hidden="1" customHeight="1">
      <c r="A3" s="1280"/>
      <c r="B3" s="1078"/>
      <c r="C3" s="280"/>
      <c r="K3" s="1542"/>
      <c r="L3" s="1542"/>
      <c r="M3" s="1549">
        <v>0</v>
      </c>
    </row>
    <row r="4" spans="1:13" s="4133" customFormat="1" ht="18.75" hidden="1" customHeight="1">
      <c r="A4" s="1601"/>
      <c r="B4" s="1078"/>
      <c r="C4" s="1647" t="s">
        <v>175</v>
      </c>
      <c r="D4" s="1591"/>
      <c r="E4" s="142" t="s">
        <v>1147</v>
      </c>
      <c r="F4" s="1588"/>
      <c r="G4" s="193"/>
      <c r="H4" s="1588" t="s">
        <v>327</v>
      </c>
      <c r="K4" s="1542"/>
      <c r="L4" s="1542"/>
      <c r="M4" s="1549">
        <v>0</v>
      </c>
    </row>
    <row r="5" spans="1:13" s="4133" customFormat="1" ht="14.25" hidden="1" customHeight="1">
      <c r="A5" s="1280"/>
      <c r="B5" s="1078"/>
      <c r="C5" s="280"/>
      <c r="K5" s="1542"/>
      <c r="L5" s="1542"/>
      <c r="M5" s="1549">
        <v>0</v>
      </c>
    </row>
    <row r="6" spans="1:13" s="4133" customFormat="1" ht="18.75" hidden="1" customHeight="1">
      <c r="A6" s="1601"/>
      <c r="B6" s="1078"/>
      <c r="C6" s="1647" t="s">
        <v>175</v>
      </c>
      <c r="D6" s="1591"/>
      <c r="E6" s="143" t="s">
        <v>1148</v>
      </c>
      <c r="F6" s="1588"/>
      <c r="G6" s="193"/>
      <c r="H6" s="1588" t="s">
        <v>327</v>
      </c>
      <c r="K6" s="1542"/>
      <c r="L6" s="1542"/>
      <c r="M6" s="1549">
        <v>0</v>
      </c>
    </row>
    <row r="7" spans="1:13" s="4133" customFormat="1" ht="14.25" hidden="1" customHeight="1">
      <c r="A7" s="1280"/>
      <c r="B7" s="1078"/>
      <c r="C7" s="280"/>
      <c r="K7" s="1542"/>
      <c r="L7" s="1542"/>
      <c r="M7" s="1549">
        <v>0</v>
      </c>
    </row>
    <row r="8" spans="1:13" s="4133" customFormat="1" ht="18.75" hidden="1" customHeight="1">
      <c r="A8" s="1601"/>
      <c r="B8" s="1078"/>
      <c r="C8" s="1647" t="s">
        <v>175</v>
      </c>
      <c r="D8" s="1591"/>
      <c r="E8" s="143" t="s">
        <v>1149</v>
      </c>
      <c r="F8" s="1588"/>
      <c r="G8" s="193"/>
      <c r="H8" s="1588" t="s">
        <v>327</v>
      </c>
      <c r="K8" s="1542"/>
      <c r="L8" s="1542"/>
      <c r="M8" s="1549">
        <v>0</v>
      </c>
    </row>
    <row r="9" spans="1:13" s="4133" customFormat="1" ht="14.25" hidden="1" customHeight="1">
      <c r="A9" s="1280"/>
      <c r="B9" s="1078"/>
      <c r="C9" s="280"/>
      <c r="K9" s="1542"/>
      <c r="L9" s="1542"/>
      <c r="M9" s="1549">
        <v>0</v>
      </c>
    </row>
    <row r="10" spans="1:13" s="4133" customFormat="1" ht="18.75" hidden="1" customHeight="1">
      <c r="A10" s="1601"/>
      <c r="B10" s="1078"/>
      <c r="C10" s="1647" t="s">
        <v>175</v>
      </c>
      <c r="D10" s="1591"/>
      <c r="E10" s="143" t="s">
        <v>1150</v>
      </c>
      <c r="F10" s="1588"/>
      <c r="G10" s="1592"/>
      <c r="H10" s="1588" t="s">
        <v>327</v>
      </c>
      <c r="K10" s="1542"/>
      <c r="L10" s="1542" t="s">
        <v>1151</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432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327"/>
      <c r="F14" s="4327"/>
      <c r="G14" s="4327"/>
      <c r="H14" s="4328"/>
      <c r="J14" s="1549"/>
      <c r="M14" s="23">
        <v>28</v>
      </c>
    </row>
    <row r="15" spans="1:13" s="4133" customFormat="1" ht="14.65" customHeight="1">
      <c r="A15" s="1280"/>
      <c r="B15" s="1078"/>
      <c r="C15" s="311"/>
      <c r="D15" s="4387" t="str">
        <f>IF(org=0,"Не определено",org)</f>
        <v>АО "Мурманэнергосбыт"</v>
      </c>
      <c r="E15" s="4388"/>
      <c r="F15" s="4388"/>
      <c r="G15" s="4388"/>
      <c r="H15" s="4389"/>
      <c r="J15" s="777"/>
      <c r="K15" s="1542"/>
      <c r="L15" s="1542"/>
      <c r="M15" s="1549">
        <v>14</v>
      </c>
    </row>
    <row r="16" spans="1:13" ht="14.65" customHeight="1">
      <c r="C16" s="36"/>
      <c r="D16" s="24"/>
      <c r="E16" s="35"/>
      <c r="F16" s="35"/>
      <c r="G16" s="35"/>
      <c r="H16" s="687"/>
      <c r="I16" s="130"/>
      <c r="M16" s="23">
        <v>14</v>
      </c>
    </row>
    <row r="17" spans="1:13" s="4133" customFormat="1" ht="14.25" hidden="1" customHeight="1">
      <c r="A17" s="1280"/>
      <c r="B17" s="1078"/>
      <c r="C17" s="311"/>
      <c r="D17" s="298"/>
      <c r="E17" s="324"/>
      <c r="F17" s="324"/>
      <c r="G17" s="324"/>
      <c r="H17" s="687"/>
      <c r="I17" s="130"/>
      <c r="K17" s="1542"/>
      <c r="L17" s="1542"/>
      <c r="M17" s="1549">
        <v>0</v>
      </c>
    </row>
    <row r="18" spans="1:13" ht="21.95" customHeight="1">
      <c r="C18" s="36"/>
      <c r="D18" s="4373" t="s">
        <v>321</v>
      </c>
      <c r="E18" s="4373"/>
      <c r="F18" s="4373"/>
      <c r="G18" s="4373"/>
      <c r="H18" s="4373"/>
      <c r="I18" s="4516" t="s">
        <v>322</v>
      </c>
      <c r="M18" s="23">
        <v>21</v>
      </c>
    </row>
    <row r="19" spans="1:13" ht="21.95" customHeight="1">
      <c r="C19" s="36"/>
      <c r="D19" s="45" t="s">
        <v>92</v>
      </c>
      <c r="E19" s="48" t="s">
        <v>323</v>
      </c>
      <c r="F19" s="48"/>
      <c r="G19" s="48" t="s">
        <v>324</v>
      </c>
      <c r="H19" s="48" t="s">
        <v>411</v>
      </c>
      <c r="I19" s="4516"/>
      <c r="M19" s="23">
        <v>21</v>
      </c>
    </row>
    <row r="20" spans="1:13" ht="12" hidden="1" customHeight="1">
      <c r="C20" s="36"/>
      <c r="D20" s="27"/>
      <c r="E20" s="27"/>
      <c r="F20" s="27"/>
      <c r="G20" s="27"/>
      <c r="H20" s="27"/>
      <c r="I20" s="27"/>
      <c r="M20" s="23">
        <v>0</v>
      </c>
    </row>
    <row r="21" spans="1:13" ht="14.65" customHeight="1">
      <c r="A21" s="1601"/>
      <c r="C21" s="36"/>
      <c r="D21" s="85">
        <v>1</v>
      </c>
      <c r="E21" s="4568" t="s">
        <v>1152</v>
      </c>
      <c r="F21" s="4568"/>
      <c r="G21" s="4568"/>
      <c r="H21" s="4568"/>
      <c r="I21" s="145"/>
      <c r="M21" s="23">
        <v>14</v>
      </c>
    </row>
    <row r="22" spans="1:13" ht="21" customHeight="1">
      <c r="A22" s="1601"/>
      <c r="C22" s="36"/>
      <c r="D22" s="85" t="s">
        <v>1042</v>
      </c>
      <c r="E22" s="131" t="s">
        <v>1153</v>
      </c>
      <c r="F22" s="135"/>
      <c r="G22" s="1654">
        <v>45646</v>
      </c>
      <c r="H22" s="135" t="s">
        <v>327</v>
      </c>
      <c r="I22" s="89" t="s">
        <v>1154</v>
      </c>
      <c r="M22" s="23">
        <v>20</v>
      </c>
    </row>
    <row r="23" spans="1:13" ht="60" customHeight="1">
      <c r="A23" s="1601"/>
      <c r="C23" s="36"/>
      <c r="D23" s="85" t="s">
        <v>1044</v>
      </c>
      <c r="E23" s="131" t="s">
        <v>1155</v>
      </c>
      <c r="F23" s="135"/>
      <c r="G23" s="4058" t="s">
        <v>1156</v>
      </c>
      <c r="H23" s="4127" t="s">
        <v>1157</v>
      </c>
      <c r="I23" s="194" t="s">
        <v>1158</v>
      </c>
      <c r="M23" s="23">
        <v>57</v>
      </c>
    </row>
    <row r="24" spans="1:13" ht="15" customHeight="1">
      <c r="A24" s="1601"/>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327</v>
      </c>
      <c r="H24" s="4127" t="s">
        <v>1159</v>
      </c>
      <c r="I24" s="195" t="s">
        <v>652</v>
      </c>
      <c r="M24" s="23">
        <v>14</v>
      </c>
    </row>
    <row r="25" spans="1:13" ht="48.2" customHeight="1">
      <c r="A25" s="1601"/>
      <c r="C25" s="36"/>
      <c r="D25" s="85">
        <v>3</v>
      </c>
      <c r="E25" s="45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568"/>
      <c r="G25" s="4568"/>
      <c r="H25" s="4568"/>
      <c r="I25" s="192"/>
      <c r="M25" s="23">
        <v>46</v>
      </c>
    </row>
    <row r="26" spans="1:13" ht="15" customHeight="1">
      <c r="A26" s="1601"/>
      <c r="C26" s="36"/>
      <c r="D26" s="85" t="s">
        <v>345</v>
      </c>
      <c r="E26" s="136" t="s">
        <v>1160</v>
      </c>
      <c r="F26" s="135"/>
      <c r="G26" s="135" t="s">
        <v>327</v>
      </c>
      <c r="H26" s="4059" t="s">
        <v>1161</v>
      </c>
      <c r="I26" s="4318" t="s">
        <v>1162</v>
      </c>
      <c r="M26" s="23">
        <v>14</v>
      </c>
    </row>
    <row r="27" spans="1:13" s="4214" customFormat="1" ht="18.75" customHeight="1">
      <c r="A27" s="4060"/>
      <c r="B27" s="2518"/>
      <c r="C27" s="4061" t="s">
        <v>175</v>
      </c>
      <c r="D27" s="4062" t="s">
        <v>353</v>
      </c>
      <c r="E27" s="4063" t="s">
        <v>1163</v>
      </c>
      <c r="F27" s="2525"/>
      <c r="G27" s="2525" t="s">
        <v>327</v>
      </c>
      <c r="H27" s="4064" t="s">
        <v>1161</v>
      </c>
      <c r="I27" s="4567"/>
      <c r="J27" s="2055"/>
      <c r="K27" s="2994"/>
      <c r="L27" s="2994"/>
      <c r="M27" s="2055">
        <v>0</v>
      </c>
    </row>
    <row r="28" spans="1:13" s="4214" customFormat="1" ht="18.75" customHeight="1">
      <c r="A28" s="4060"/>
      <c r="B28" s="2518"/>
      <c r="C28" s="4061" t="s">
        <v>175</v>
      </c>
      <c r="D28" s="4062" t="s">
        <v>355</v>
      </c>
      <c r="E28" s="4063" t="s">
        <v>1164</v>
      </c>
      <c r="F28" s="2525"/>
      <c r="G28" s="2525" t="s">
        <v>327</v>
      </c>
      <c r="H28" s="4064" t="s">
        <v>1161</v>
      </c>
      <c r="I28" s="4567"/>
      <c r="J28" s="2055"/>
      <c r="K28" s="2994"/>
      <c r="L28" s="2994"/>
      <c r="M28" s="2055">
        <v>0</v>
      </c>
    </row>
    <row r="29" spans="1:13" s="4214" customFormat="1" ht="18.75" customHeight="1">
      <c r="A29" s="4060"/>
      <c r="B29" s="2518"/>
      <c r="C29" s="4061" t="s">
        <v>175</v>
      </c>
      <c r="D29" s="4062" t="s">
        <v>357</v>
      </c>
      <c r="E29" s="4063" t="s">
        <v>1165</v>
      </c>
      <c r="F29" s="2525"/>
      <c r="G29" s="2525" t="s">
        <v>327</v>
      </c>
      <c r="H29" s="4064" t="s">
        <v>1161</v>
      </c>
      <c r="I29" s="4567"/>
      <c r="J29" s="2055"/>
      <c r="K29" s="2994"/>
      <c r="L29" s="2994"/>
      <c r="M29" s="2055">
        <v>0</v>
      </c>
    </row>
    <row r="30" spans="1:13" s="4214" customFormat="1" ht="18.75" customHeight="1">
      <c r="A30" s="4060"/>
      <c r="B30" s="2518"/>
      <c r="C30" s="4061" t="s">
        <v>175</v>
      </c>
      <c r="D30" s="4062" t="s">
        <v>938</v>
      </c>
      <c r="E30" s="4063" t="s">
        <v>1166</v>
      </c>
      <c r="F30" s="2525"/>
      <c r="G30" s="2525" t="s">
        <v>327</v>
      </c>
      <c r="H30" s="4064" t="s">
        <v>1161</v>
      </c>
      <c r="I30" s="4567"/>
      <c r="J30" s="2055"/>
      <c r="K30" s="2994"/>
      <c r="L30" s="2994"/>
      <c r="M30" s="2055">
        <v>0</v>
      </c>
    </row>
    <row r="31" spans="1:13" s="4214" customFormat="1" ht="18.75" customHeight="1">
      <c r="A31" s="4060"/>
      <c r="B31" s="2518"/>
      <c r="C31" s="4061" t="s">
        <v>175</v>
      </c>
      <c r="D31" s="4062" t="s">
        <v>940</v>
      </c>
      <c r="E31" s="4063" t="s">
        <v>1167</v>
      </c>
      <c r="F31" s="2525"/>
      <c r="G31" s="2525" t="s">
        <v>327</v>
      </c>
      <c r="H31" s="4064" t="s">
        <v>1161</v>
      </c>
      <c r="I31" s="4567"/>
      <c r="J31" s="2055"/>
      <c r="K31" s="2994"/>
      <c r="L31" s="2994"/>
      <c r="M31" s="2055">
        <v>0</v>
      </c>
    </row>
    <row r="32" spans="1:13" s="4214" customFormat="1" ht="18.75" customHeight="1">
      <c r="A32" s="4060"/>
      <c r="B32" s="2518"/>
      <c r="C32" s="4061" t="s">
        <v>175</v>
      </c>
      <c r="D32" s="4062" t="s">
        <v>942</v>
      </c>
      <c r="E32" s="4063" t="s">
        <v>1168</v>
      </c>
      <c r="F32" s="2525"/>
      <c r="G32" s="2525" t="s">
        <v>327</v>
      </c>
      <c r="H32" s="4064" t="s">
        <v>1161</v>
      </c>
      <c r="I32" s="4567"/>
      <c r="J32" s="2055"/>
      <c r="K32" s="2994"/>
      <c r="L32" s="2994"/>
      <c r="M32" s="2055">
        <v>0</v>
      </c>
    </row>
    <row r="33" spans="1:13" s="4214" customFormat="1" ht="18.75" customHeight="1">
      <c r="A33" s="4060"/>
      <c r="B33" s="2518"/>
      <c r="C33" s="4061" t="s">
        <v>175</v>
      </c>
      <c r="D33" s="4062" t="s">
        <v>1169</v>
      </c>
      <c r="E33" s="4063" t="s">
        <v>1170</v>
      </c>
      <c r="F33" s="2525"/>
      <c r="G33" s="2525" t="s">
        <v>327</v>
      </c>
      <c r="H33" s="4128" t="s">
        <v>1161</v>
      </c>
      <c r="I33" s="4567"/>
      <c r="J33" s="2055"/>
      <c r="K33" s="2994"/>
      <c r="L33" s="2994"/>
      <c r="M33" s="2055">
        <v>0</v>
      </c>
    </row>
    <row r="34" spans="1:13" s="4214" customFormat="1" ht="18.75" customHeight="1">
      <c r="A34" s="4060"/>
      <c r="B34" s="2518"/>
      <c r="C34" s="4061" t="s">
        <v>175</v>
      </c>
      <c r="D34" s="4062" t="s">
        <v>1171</v>
      </c>
      <c r="E34" s="4063" t="s">
        <v>1172</v>
      </c>
      <c r="F34" s="2525"/>
      <c r="G34" s="2525" t="s">
        <v>327</v>
      </c>
      <c r="H34" s="4064" t="s">
        <v>1161</v>
      </c>
      <c r="I34" s="4567"/>
      <c r="J34" s="2055"/>
      <c r="K34" s="2994"/>
      <c r="L34" s="2994"/>
      <c r="M34" s="2055">
        <v>0</v>
      </c>
    </row>
    <row r="35" spans="1:13" s="4214" customFormat="1" ht="18.75" customHeight="1">
      <c r="A35" s="4060"/>
      <c r="B35" s="2518"/>
      <c r="C35" s="4061" t="s">
        <v>175</v>
      </c>
      <c r="D35" s="4062" t="s">
        <v>1173</v>
      </c>
      <c r="E35" s="4063" t="s">
        <v>1174</v>
      </c>
      <c r="F35" s="2525"/>
      <c r="G35" s="2525" t="s">
        <v>327</v>
      </c>
      <c r="H35" s="4064" t="s">
        <v>1161</v>
      </c>
      <c r="I35" s="4567"/>
      <c r="J35" s="2055"/>
      <c r="K35" s="2994"/>
      <c r="L35" s="2994"/>
      <c r="M35" s="2055">
        <v>0</v>
      </c>
    </row>
    <row r="36" spans="1:13" ht="15.75" customHeight="1">
      <c r="A36" s="1601" t="s">
        <v>113</v>
      </c>
      <c r="C36" s="36"/>
      <c r="D36" s="49"/>
      <c r="E36" s="140" t="s">
        <v>343</v>
      </c>
      <c r="F36" s="141"/>
      <c r="G36" s="141"/>
      <c r="H36" s="138"/>
      <c r="I36" s="4320"/>
      <c r="M36" s="23">
        <v>15</v>
      </c>
    </row>
    <row r="37" spans="1:13" ht="39.75" customHeight="1">
      <c r="A37" s="1601"/>
      <c r="B37" s="84">
        <v>3</v>
      </c>
      <c r="C37" s="36"/>
      <c r="D37" s="85">
        <v>4</v>
      </c>
      <c r="E37" s="45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7" s="4568"/>
      <c r="G37" s="4568"/>
      <c r="H37" s="4568"/>
      <c r="I37" s="192"/>
      <c r="M37" s="23">
        <v>38</v>
      </c>
    </row>
    <row r="38" spans="1:13" ht="21" customHeight="1">
      <c r="A38" s="1601"/>
      <c r="C38" s="36"/>
      <c r="D38" s="85" t="s">
        <v>774</v>
      </c>
      <c r="E38" s="142" t="s">
        <v>1147</v>
      </c>
      <c r="F38" s="135"/>
      <c r="G38" s="193" t="s">
        <v>1175</v>
      </c>
      <c r="H38" s="135" t="s">
        <v>327</v>
      </c>
      <c r="I38" s="4318" t="s">
        <v>1176</v>
      </c>
      <c r="M38" s="23">
        <v>20</v>
      </c>
    </row>
    <row r="39" spans="1:13" s="4214" customFormat="1" ht="18.75" customHeight="1">
      <c r="A39" s="4060"/>
      <c r="B39" s="2518"/>
      <c r="C39" s="4061" t="s">
        <v>175</v>
      </c>
      <c r="D39" s="4062" t="s">
        <v>816</v>
      </c>
      <c r="E39" s="4065" t="s">
        <v>1147</v>
      </c>
      <c r="F39" s="2525"/>
      <c r="G39" s="4066" t="s">
        <v>1177</v>
      </c>
      <c r="H39" s="2525" t="s">
        <v>327</v>
      </c>
      <c r="I39" s="4567"/>
      <c r="J39" s="2055"/>
      <c r="K39" s="2994"/>
      <c r="L39" s="2994"/>
      <c r="M39" s="2055">
        <v>0</v>
      </c>
    </row>
    <row r="40" spans="1:13" ht="15.75" customHeight="1">
      <c r="A40" s="1601" t="s">
        <v>114</v>
      </c>
      <c r="C40" s="36"/>
      <c r="D40" s="49"/>
      <c r="E40" s="140" t="s">
        <v>343</v>
      </c>
      <c r="F40" s="141"/>
      <c r="G40" s="141"/>
      <c r="H40" s="138"/>
      <c r="I40" s="4320"/>
      <c r="M40" s="23">
        <v>15</v>
      </c>
    </row>
    <row r="41" spans="1:13" ht="31.5" customHeight="1">
      <c r="A41" s="1601"/>
      <c r="B41" s="84">
        <v>3</v>
      </c>
      <c r="C41" s="36"/>
      <c r="D41" s="85">
        <v>5</v>
      </c>
      <c r="E41" s="45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4568"/>
      <c r="G41" s="4568"/>
      <c r="H41" s="4568"/>
      <c r="I41" s="192"/>
      <c r="M41" s="23">
        <v>30</v>
      </c>
    </row>
    <row r="42" spans="1:13" ht="27.4" customHeight="1">
      <c r="A42" s="1601"/>
      <c r="C42" s="36"/>
      <c r="D42" s="85" t="s">
        <v>334</v>
      </c>
      <c r="E42" s="45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42" s="4530"/>
      <c r="G42" s="4530"/>
      <c r="H42" s="4530"/>
      <c r="I42" s="192"/>
      <c r="M42" s="23">
        <v>26</v>
      </c>
    </row>
    <row r="43" spans="1:13" ht="15" customHeight="1">
      <c r="A43" s="1601"/>
      <c r="C43" s="36"/>
      <c r="D43" s="85" t="s">
        <v>1178</v>
      </c>
      <c r="E43" s="143" t="s">
        <v>1148</v>
      </c>
      <c r="F43" s="135"/>
      <c r="G43" s="193" t="s">
        <v>1179</v>
      </c>
      <c r="H43" s="135" t="s">
        <v>327</v>
      </c>
      <c r="I43" s="4318" t="s">
        <v>1180</v>
      </c>
      <c r="M43" s="23">
        <v>14</v>
      </c>
    </row>
    <row r="44" spans="1:13" ht="15.75" customHeight="1">
      <c r="A44" s="1601" t="s">
        <v>94</v>
      </c>
      <c r="C44" s="36"/>
      <c r="D44" s="49"/>
      <c r="E44" s="141" t="s">
        <v>343</v>
      </c>
      <c r="F44" s="137"/>
      <c r="G44" s="137"/>
      <c r="H44" s="138"/>
      <c r="I44" s="4320"/>
      <c r="M44" s="23">
        <v>15</v>
      </c>
    </row>
    <row r="45" spans="1:13" ht="25.15" customHeight="1">
      <c r="A45" s="1601"/>
      <c r="C45" s="36"/>
      <c r="D45" s="85" t="s">
        <v>902</v>
      </c>
      <c r="E45" s="45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5" s="4530"/>
      <c r="G45" s="4530"/>
      <c r="H45" s="4530"/>
      <c r="I45" s="192"/>
      <c r="M45" s="23">
        <v>24</v>
      </c>
    </row>
    <row r="46" spans="1:13" ht="15" customHeight="1">
      <c r="A46" s="1601"/>
      <c r="C46" s="36"/>
      <c r="D46" s="85" t="s">
        <v>1181</v>
      </c>
      <c r="E46" s="143" t="s">
        <v>1149</v>
      </c>
      <c r="F46" s="135"/>
      <c r="G46" s="193" t="s">
        <v>1182</v>
      </c>
      <c r="H46" s="135" t="s">
        <v>327</v>
      </c>
      <c r="I46" s="4296" t="s">
        <v>1183</v>
      </c>
      <c r="M46" s="23">
        <v>14</v>
      </c>
    </row>
    <row r="47" spans="1:13" s="4214" customFormat="1" ht="18.75" customHeight="1">
      <c r="A47" s="4060"/>
      <c r="B47" s="2518"/>
      <c r="C47" s="4061" t="s">
        <v>175</v>
      </c>
      <c r="D47" s="4062" t="s">
        <v>1184</v>
      </c>
      <c r="E47" s="4067" t="s">
        <v>1149</v>
      </c>
      <c r="F47" s="2525"/>
      <c r="G47" s="4066" t="s">
        <v>1185</v>
      </c>
      <c r="H47" s="2525" t="s">
        <v>327</v>
      </c>
      <c r="I47" s="4567"/>
      <c r="J47" s="2055"/>
      <c r="K47" s="2994"/>
      <c r="L47" s="2994"/>
      <c r="M47" s="2055">
        <v>0</v>
      </c>
    </row>
    <row r="48" spans="1:13" ht="15.75" customHeight="1">
      <c r="A48" s="1601" t="s">
        <v>95</v>
      </c>
      <c r="C48" s="36"/>
      <c r="D48" s="49"/>
      <c r="E48" s="141" t="s">
        <v>343</v>
      </c>
      <c r="F48" s="137"/>
      <c r="G48" s="137"/>
      <c r="H48" s="138"/>
      <c r="I48" s="4296"/>
      <c r="M48" s="23">
        <v>15</v>
      </c>
    </row>
    <row r="49" spans="1:13" ht="27.4" customHeight="1">
      <c r="A49" s="1601"/>
      <c r="C49" s="36"/>
      <c r="D49" s="85" t="s">
        <v>903</v>
      </c>
      <c r="E49" s="45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9" s="4530"/>
      <c r="G49" s="4530"/>
      <c r="H49" s="4530"/>
      <c r="I49" s="192"/>
      <c r="M49" s="23">
        <v>26</v>
      </c>
    </row>
    <row r="50" spans="1:13" ht="15" customHeight="1">
      <c r="A50" s="1601"/>
      <c r="C50" s="36"/>
      <c r="D50" s="85" t="s">
        <v>904</v>
      </c>
      <c r="E50" s="143" t="s">
        <v>1150</v>
      </c>
      <c r="F50" s="135"/>
      <c r="G50" s="144" t="s">
        <v>1186</v>
      </c>
      <c r="H50" s="135" t="s">
        <v>327</v>
      </c>
      <c r="I50" s="4318" t="s">
        <v>1187</v>
      </c>
      <c r="L50" s="93" t="s">
        <v>1151</v>
      </c>
      <c r="M50" s="23">
        <v>14</v>
      </c>
    </row>
    <row r="51" spans="1:13" ht="15.75" customHeight="1">
      <c r="A51" s="1601" t="s">
        <v>103</v>
      </c>
      <c r="C51" s="36"/>
      <c r="D51" s="49"/>
      <c r="E51" s="141" t="s">
        <v>343</v>
      </c>
      <c r="F51" s="137"/>
      <c r="G51" s="137"/>
      <c r="H51" s="138"/>
      <c r="I51" s="4320"/>
      <c r="M51" s="23">
        <v>15</v>
      </c>
    </row>
    <row r="52" spans="1:13" s="4215" customFormat="1" ht="3" customHeight="1">
      <c r="A52" s="1601"/>
      <c r="K52" s="133"/>
      <c r="L52" s="133"/>
      <c r="M52" s="79">
        <v>3</v>
      </c>
    </row>
    <row r="53" spans="1:13" ht="26.25" customHeight="1">
      <c r="D53" s="1599" t="s">
        <v>824</v>
      </c>
      <c r="E53" s="44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53" s="4411"/>
      <c r="G53" s="4411"/>
      <c r="H53" s="4411"/>
      <c r="I53" s="4411"/>
      <c r="M53" s="23">
        <v>25</v>
      </c>
    </row>
    <row r="54" spans="1:13" ht="22.5" hidden="1" customHeight="1">
      <c r="A54" s="1280" t="s">
        <v>86</v>
      </c>
      <c r="B54" s="84">
        <v>0</v>
      </c>
      <c r="C54" s="37">
        <v>3</v>
      </c>
      <c r="D54" s="23">
        <v>6</v>
      </c>
      <c r="E54" s="23">
        <v>63</v>
      </c>
      <c r="F54" s="23">
        <v>0</v>
      </c>
      <c r="G54" s="23">
        <v>35</v>
      </c>
      <c r="H54" s="23">
        <v>35</v>
      </c>
      <c r="I54" s="23">
        <v>91</v>
      </c>
      <c r="J54" s="23">
        <v>68</v>
      </c>
      <c r="K54" s="93">
        <v>10</v>
      </c>
      <c r="L54" s="93">
        <v>10</v>
      </c>
      <c r="M54" s="23">
        <v>23</v>
      </c>
    </row>
  </sheetData>
  <sheetProtection formatColumns="0" formatRows="0" insertRows="0" deleteColumns="0" deleteRows="0" sort="0" autoFilter="0"/>
  <mergeCells count="17">
    <mergeCell ref="E53:I53"/>
    <mergeCell ref="E42:H42"/>
    <mergeCell ref="E45:H45"/>
    <mergeCell ref="E49:H49"/>
    <mergeCell ref="I43:I44"/>
    <mergeCell ref="I46:I48"/>
    <mergeCell ref="I50:I51"/>
    <mergeCell ref="I38:I40"/>
    <mergeCell ref="E41:H41"/>
    <mergeCell ref="D14:H14"/>
    <mergeCell ref="D18:H18"/>
    <mergeCell ref="I18:I19"/>
    <mergeCell ref="E21:H21"/>
    <mergeCell ref="E25:H25"/>
    <mergeCell ref="I26:I36"/>
    <mergeCell ref="E37:H37"/>
    <mergeCell ref="D15:H15"/>
  </mergeCells>
  <dataValidations count="4">
    <dataValidation type="textLength" operator="lessThanOrEqual" allowBlank="1" showInputMessage="1" showErrorMessage="1" errorTitle="Ошибка" error="Допускается ввод не более 900 символов!" sqref="I23:I24 I43 G46:G47 I50 I26:I35 E38:E39 G43 E46:E47 I38:I39 E43 I46:I47 G23 E26:E35 I10 E23 G38:G39 E10 G8 E2 I2 I4 G4 E4 E6 I6 G6 E8 I8 E5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5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5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 ref="H27" r:id="rId5"/>
    <hyperlink ref="H28" r:id="rId6"/>
    <hyperlink ref="H29" r:id="rId7"/>
    <hyperlink ref="H30" r:id="rId8"/>
    <hyperlink ref="H31" r:id="rId9"/>
    <hyperlink ref="H32" r:id="rId10"/>
    <hyperlink ref="H33" r:id="rId11"/>
    <hyperlink ref="H34" r:id="rId12"/>
    <hyperlink ref="H35" r:id="rId13"/>
  </hyperlinks>
  <pageMargins left="0.7" right="0.7" top="0.75" bottom="0.75" header="0.3" footer="0.3"/>
  <pageSetup orientation="portrait"/>
  <headerFooter>
    <oddHeader>&amp;L&amp;C&amp;R</oddHeader>
    <oddFooter>&amp;L&amp;C&amp;R</oddFooter>
    <evenHeader>&amp;L&amp;C&amp;R</evenHeader>
    <evenFooter>&amp;L&amp;C&amp;R</evenFooter>
  </headerFooter>
  <drawing r:id="rId1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topLeftCell="D13" zoomScale="90" workbookViewId="0">
      <selection activeCell="A293" sqref="A293:AH294"/>
    </sheetView>
  </sheetViews>
  <sheetFormatPr defaultColWidth="10.5703125" defaultRowHeight="14.25" customHeight="1"/>
  <cols>
    <col min="1" max="2" width="25.140625" style="4216" hidden="1" customWidth="1"/>
    <col min="3" max="3" width="9.140625" style="4217" hidden="1" customWidth="1"/>
    <col min="4" max="4" width="3" style="4168" customWidth="1"/>
    <col min="5" max="5" width="6" style="4133" customWidth="1"/>
    <col min="6" max="6" width="46.7109375" style="4133" customWidth="1"/>
    <col min="7" max="7" width="35" style="4133" customWidth="1"/>
    <col min="8" max="8" width="3" style="4133" customWidth="1"/>
    <col min="9" max="10" width="11" style="4133" customWidth="1"/>
    <col min="11" max="12" width="35" style="4133" customWidth="1"/>
    <col min="13" max="13" width="84" style="4133" customWidth="1"/>
    <col min="14" max="14" width="10" style="4133" customWidth="1"/>
    <col min="15" max="16" width="10" style="4146" customWidth="1"/>
    <col min="17" max="33" width="10" style="4133" customWidth="1"/>
    <col min="34" max="34" width="10.5703125" style="4133" hidden="1"/>
  </cols>
  <sheetData>
    <row r="1" spans="1:34" s="4133"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4133" customFormat="1" ht="18.75" hidden="1" customHeight="1">
      <c r="A2" s="1697" t="s">
        <v>158</v>
      </c>
      <c r="B2" s="1697" t="s">
        <v>159</v>
      </c>
      <c r="C2" s="304"/>
      <c r="D2" s="280"/>
      <c r="E2" s="953"/>
      <c r="F2" s="953"/>
      <c r="G2" s="4543" t="str">
        <f>INDEX(PT_DIFFERENTIATION_NTAR,MATCH(B2,PT_DIFFERENTIATION_NTAR_ID,0))</f>
        <v/>
      </c>
      <c r="H2" s="1779"/>
      <c r="I2" s="1656"/>
      <c r="J2" s="1690"/>
      <c r="K2" s="1780"/>
      <c r="L2" s="1779" t="s">
        <v>327</v>
      </c>
      <c r="M2" s="1790"/>
      <c r="N2" s="270"/>
      <c r="O2" s="1542"/>
      <c r="P2" s="1542"/>
      <c r="AH2" s="1549">
        <v>0</v>
      </c>
    </row>
    <row r="3" spans="1:34" s="4133" customFormat="1" ht="18.75" hidden="1" customHeight="1">
      <c r="A3" s="1697"/>
      <c r="B3" s="1697"/>
      <c r="C3" s="304" t="s">
        <v>1188</v>
      </c>
      <c r="D3" s="280"/>
      <c r="E3" s="953"/>
      <c r="F3" s="953"/>
      <c r="G3" s="4543"/>
      <c r="H3" s="1418"/>
      <c r="I3" s="586" t="s">
        <v>1189</v>
      </c>
      <c r="J3" s="506"/>
      <c r="K3" s="1418"/>
      <c r="L3" s="151"/>
      <c r="M3" s="1790"/>
      <c r="N3" s="270"/>
      <c r="O3" s="1542"/>
      <c r="P3" s="1542"/>
      <c r="AH3" s="1549">
        <v>0</v>
      </c>
    </row>
    <row r="4" spans="1:34" s="4133"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4133" customFormat="1" ht="18.75" hidden="1" customHeight="1">
      <c r="A5" s="1697" t="s">
        <v>158</v>
      </c>
      <c r="B5" s="1697" t="s">
        <v>159</v>
      </c>
      <c r="C5" s="304"/>
      <c r="D5" s="280"/>
      <c r="E5" s="953"/>
      <c r="F5" s="953"/>
      <c r="G5" s="4543" t="str">
        <f>INDEX(PT_DIFFERENTIATION_NTAR,MATCH(B5,PT_DIFFERENTIATION_NTAR_ID,0))</f>
        <v/>
      </c>
      <c r="H5" s="1779"/>
      <c r="I5" s="1656"/>
      <c r="J5" s="1690"/>
      <c r="K5" s="1695"/>
      <c r="L5" s="1779" t="s">
        <v>327</v>
      </c>
      <c r="M5" s="1790"/>
      <c r="N5" s="270"/>
      <c r="O5" s="1542"/>
      <c r="P5" s="1542"/>
      <c r="AH5" s="1549">
        <v>0</v>
      </c>
    </row>
    <row r="6" spans="1:34" s="4133" customFormat="1" ht="18.75" hidden="1" customHeight="1">
      <c r="A6" s="1697"/>
      <c r="B6" s="1697"/>
      <c r="C6" s="304" t="s">
        <v>1190</v>
      </c>
      <c r="D6" s="280"/>
      <c r="E6" s="953"/>
      <c r="F6" s="953"/>
      <c r="G6" s="4543"/>
      <c r="H6" s="1418"/>
      <c r="I6" s="586" t="s">
        <v>1189</v>
      </c>
      <c r="J6" s="506"/>
      <c r="K6" s="1418"/>
      <c r="L6" s="151"/>
      <c r="M6" s="1790"/>
      <c r="N6" s="270"/>
      <c r="O6" s="1542"/>
      <c r="P6" s="1542"/>
      <c r="AH6" s="1549">
        <v>0</v>
      </c>
    </row>
    <row r="7" spans="1:34" s="4133"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4133" customFormat="1" ht="56.25" hidden="1" customHeight="1">
      <c r="A8" s="1697"/>
      <c r="B8" s="1697"/>
      <c r="C8" s="304"/>
      <c r="D8" s="280"/>
      <c r="E8" s="953"/>
      <c r="F8" s="953"/>
      <c r="G8" s="953"/>
      <c r="H8" s="1688"/>
      <c r="I8" s="1656"/>
      <c r="J8" s="1690"/>
      <c r="K8" s="1780"/>
      <c r="L8" s="1688" t="s">
        <v>327</v>
      </c>
      <c r="M8" s="1790"/>
      <c r="N8" s="270"/>
      <c r="O8" s="1542"/>
      <c r="P8" s="1542"/>
      <c r="AH8" s="1549">
        <v>0</v>
      </c>
    </row>
    <row r="9" spans="1:34" ht="14.25" hidden="1" customHeight="1">
      <c r="T9" s="332"/>
      <c r="AG9" s="191"/>
      <c r="AH9" s="309">
        <v>0</v>
      </c>
    </row>
    <row r="10" spans="1:34" s="4133" customFormat="1" ht="56.25" hidden="1" customHeight="1">
      <c r="A10" s="1697"/>
      <c r="B10" s="1697"/>
      <c r="C10" s="304"/>
      <c r="D10" s="280"/>
      <c r="E10" s="953"/>
      <c r="F10" s="953"/>
      <c r="G10" s="953"/>
      <c r="H10" s="1687"/>
      <c r="I10" s="1656"/>
      <c r="J10" s="1690"/>
      <c r="K10" s="1695"/>
      <c r="L10" s="1688" t="s">
        <v>327</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5"/>
      <c r="M13" s="25"/>
      <c r="AH13" s="309">
        <v>6</v>
      </c>
    </row>
    <row r="14" spans="1:34" ht="14.65" customHeight="1">
      <c r="D14" s="311"/>
      <c r="E14" s="45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572"/>
      <c r="G14" s="4572"/>
      <c r="H14" s="4572"/>
      <c r="I14" s="4572"/>
      <c r="J14" s="4572"/>
      <c r="K14" s="4572"/>
      <c r="L14" s="4572"/>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4404">
        <f>IF(TITLE_DATE_PR_CHANGE="",IF(TITLE_DATE_PR="","",TITLE_DATE_PR),TITLE_DATE_PR_CHANGE)</f>
        <v>45646</v>
      </c>
      <c r="H16" s="4404"/>
      <c r="I16" s="4404"/>
      <c r="J16" s="4404"/>
      <c r="K16" s="4404"/>
      <c r="L16" s="440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4405" t="str">
        <f>IF(TITLE_NUMBER_PR_CHANGE="",IF(TITLE_NUMBER_PR="","",TITLE_NUMBER_PR),TITLE_NUMBER_PR_CHANGE)</f>
        <v>51/110</v>
      </c>
      <c r="H17" s="4405"/>
      <c r="I17" s="4405"/>
      <c r="J17" s="4405"/>
      <c r="K17" s="4405"/>
      <c r="L17" s="4405"/>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4373" t="s">
        <v>321</v>
      </c>
      <c r="F19" s="4373"/>
      <c r="G19" s="4373"/>
      <c r="H19" s="4373"/>
      <c r="I19" s="4373"/>
      <c r="J19" s="4373"/>
      <c r="K19" s="4373"/>
      <c r="L19" s="4373"/>
      <c r="M19" s="4516" t="s">
        <v>322</v>
      </c>
      <c r="AH19" s="309">
        <v>21</v>
      </c>
    </row>
    <row r="20" spans="1:34" ht="21.95" customHeight="1">
      <c r="D20" s="311"/>
      <c r="E20" s="4429" t="s">
        <v>92</v>
      </c>
      <c r="F20" s="4379" t="s">
        <v>125</v>
      </c>
      <c r="G20" s="4379" t="s">
        <v>126</v>
      </c>
      <c r="H20" s="4513" t="s">
        <v>1191</v>
      </c>
      <c r="I20" s="4514"/>
      <c r="J20" s="4545"/>
      <c r="K20" s="4379" t="s">
        <v>324</v>
      </c>
      <c r="L20" s="4379" t="s">
        <v>411</v>
      </c>
      <c r="M20" s="4516"/>
      <c r="AH20" s="309">
        <v>21</v>
      </c>
    </row>
    <row r="21" spans="1:34" ht="21.95" customHeight="1">
      <c r="D21" s="311"/>
      <c r="E21" s="4431"/>
      <c r="F21" s="4380"/>
      <c r="G21" s="4380"/>
      <c r="H21" s="4378" t="s">
        <v>1192</v>
      </c>
      <c r="I21" s="4392"/>
      <c r="J21" s="48" t="s">
        <v>1193</v>
      </c>
      <c r="K21" s="4380"/>
      <c r="L21" s="4380"/>
      <c r="M21" s="4516"/>
      <c r="AH21" s="309">
        <v>21</v>
      </c>
    </row>
    <row r="22" spans="1:34" ht="12.75" customHeight="1">
      <c r="D22" s="311"/>
      <c r="E22" s="217"/>
      <c r="F22" s="217"/>
      <c r="G22" s="217"/>
      <c r="H22" s="4574"/>
      <c r="I22" s="4574"/>
      <c r="J22" s="217"/>
      <c r="K22" s="217"/>
      <c r="L22" s="217"/>
      <c r="M22" s="217"/>
      <c r="AH22" s="309">
        <v>12</v>
      </c>
    </row>
    <row r="23" spans="1:34" ht="19.899999999999999" customHeight="1">
      <c r="A23" s="1697"/>
      <c r="B23" s="1697"/>
      <c r="D23" s="311"/>
      <c r="E23" s="1781" t="s">
        <v>113</v>
      </c>
      <c r="F23" s="4575" t="str">
        <f>"Предлагаемый метод регулирования"&amp;IF(TEMPLATE_SPHERE="HEAT"," в сфере "&amp;TEMPLATE_SPHERE_RUS,"")</f>
        <v>Предлагаемый метод регулирования в сфере теплоснабжения</v>
      </c>
      <c r="G23" s="4575"/>
      <c r="H23" s="4568"/>
      <c r="I23" s="4568"/>
      <c r="J23" s="4568"/>
      <c r="K23" s="4575" t="s">
        <v>327</v>
      </c>
      <c r="L23" s="4568"/>
      <c r="M23" s="1686"/>
      <c r="N23" s="270"/>
      <c r="AH23" s="309">
        <v>19</v>
      </c>
    </row>
    <row r="24" spans="1:34" ht="60.75" hidden="1" customHeight="1">
      <c r="A24" s="1697" t="s">
        <v>158</v>
      </c>
      <c r="B24" s="1697" t="s">
        <v>159</v>
      </c>
      <c r="D24" s="4573"/>
      <c r="E24" s="4368"/>
      <c r="F24" s="45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543" t="str">
        <f>INDEX(PT_DIFFERENTIATION_NTAR,MATCH(B24,PT_DIFFERENTIATION_NTAR_ID,0))</f>
        <v/>
      </c>
      <c r="H24" s="1777"/>
      <c r="I24" s="1656"/>
      <c r="J24" s="1690"/>
      <c r="K24" s="1780"/>
      <c r="L24" s="1685" t="s">
        <v>327</v>
      </c>
      <c r="M24" s="4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4133" customFormat="1" ht="18.75" hidden="1" customHeight="1">
      <c r="A25" s="1697"/>
      <c r="B25" s="1697"/>
      <c r="C25" s="304" t="s">
        <v>1188</v>
      </c>
      <c r="D25" s="4573"/>
      <c r="E25" s="4368"/>
      <c r="F25" s="4576"/>
      <c r="G25" s="4543"/>
      <c r="H25" s="1418"/>
      <c r="I25" s="586" t="s">
        <v>1189</v>
      </c>
      <c r="J25" s="506"/>
      <c r="K25" s="1418"/>
      <c r="L25" s="151"/>
      <c r="M25" s="4319"/>
      <c r="N25" s="270"/>
      <c r="O25" s="1542"/>
      <c r="P25" s="1542"/>
      <c r="AH25" s="1549">
        <v>0</v>
      </c>
    </row>
    <row r="26" spans="1:34" ht="0.75" hidden="1" customHeight="1">
      <c r="A26" s="1697"/>
      <c r="B26" s="1697"/>
      <c r="C26" s="304" t="s">
        <v>1194</v>
      </c>
      <c r="D26" s="4573"/>
      <c r="E26" s="4368"/>
      <c r="F26" s="4506"/>
      <c r="G26" s="335"/>
      <c r="H26" s="1418"/>
      <c r="I26" s="330"/>
      <c r="J26" s="284"/>
      <c r="K26" s="1418"/>
      <c r="L26" s="138"/>
      <c r="M26" s="4319"/>
      <c r="N26" s="270"/>
      <c r="AH26" s="309">
        <v>0</v>
      </c>
    </row>
    <row r="27" spans="1:34" s="4133" customFormat="1" ht="45" hidden="1" customHeight="1">
      <c r="A27" s="1697" t="s">
        <v>167</v>
      </c>
      <c r="B27" s="1697" t="s">
        <v>168</v>
      </c>
      <c r="C27" s="304"/>
      <c r="D27" s="4569"/>
      <c r="E27" s="4577"/>
      <c r="F27" s="457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543" t="str">
        <f>INDEX(PT_DIFFERENTIATION_NTAR,MATCH(B27,PT_DIFFERENTIATION_NTAR_ID,0))</f>
        <v>Тарифы на тепловую энергию, поставляемую потребителям</v>
      </c>
      <c r="H27" s="1777"/>
      <c r="I27" s="1656"/>
      <c r="J27" s="1690"/>
      <c r="K27" s="1780"/>
      <c r="L27" s="1777" t="s">
        <v>327</v>
      </c>
      <c r="M27" s="4319"/>
      <c r="N27" s="270"/>
      <c r="O27" s="1542"/>
      <c r="P27" s="1542"/>
      <c r="AH27" s="1549">
        <v>0</v>
      </c>
    </row>
    <row r="28" spans="1:34" s="4133" customFormat="1" ht="18.75" hidden="1" customHeight="1">
      <c r="A28" s="1697"/>
      <c r="B28" s="1697"/>
      <c r="C28" s="304" t="s">
        <v>1188</v>
      </c>
      <c r="D28" s="4569"/>
      <c r="E28" s="4577"/>
      <c r="F28" s="4578"/>
      <c r="G28" s="4543"/>
      <c r="H28" s="1418"/>
      <c r="I28" s="586" t="s">
        <v>1189</v>
      </c>
      <c r="J28" s="506"/>
      <c r="K28" s="1418"/>
      <c r="L28" s="151"/>
      <c r="M28" s="4319"/>
      <c r="N28" s="270"/>
      <c r="O28" s="1542"/>
      <c r="P28" s="1542"/>
      <c r="AH28" s="1549">
        <v>0</v>
      </c>
    </row>
    <row r="29" spans="1:34" s="4214" customFormat="1" ht="18.75" customHeight="1">
      <c r="A29" s="2988" t="s">
        <v>167</v>
      </c>
      <c r="B29" s="2988" t="s">
        <v>178</v>
      </c>
      <c r="C29" s="4068"/>
      <c r="D29" s="4570"/>
      <c r="E29" s="4571"/>
      <c r="F29" s="4571"/>
      <c r="G29" s="4543" t="str">
        <f>INDEX(PT_DIFFERENTIATION_NTAR,MATCH(B29,PT_DIFFERENTIATION_NTAR_ID,0))</f>
        <v>Льготные тарифы на тепловую энергию, поставляемую группе потребителей "население"</v>
      </c>
      <c r="H29" s="2526"/>
      <c r="I29" s="4069"/>
      <c r="J29" s="4070"/>
      <c r="K29" s="4071"/>
      <c r="L29" s="2526" t="s">
        <v>327</v>
      </c>
      <c r="M29" s="4453"/>
      <c r="N29" s="4073"/>
      <c r="O29" s="2994"/>
      <c r="P29" s="2994"/>
      <c r="Q29" s="2055"/>
      <c r="R29" s="2055"/>
      <c r="S29" s="2055"/>
      <c r="T29" s="2055"/>
      <c r="U29" s="2055"/>
      <c r="V29" s="2055"/>
      <c r="W29" s="2055"/>
      <c r="X29" s="2055"/>
      <c r="Y29" s="2055"/>
      <c r="Z29" s="2055"/>
      <c r="AA29" s="2055"/>
      <c r="AB29" s="2055"/>
      <c r="AC29" s="2055"/>
      <c r="AD29" s="2055"/>
      <c r="AE29" s="2055"/>
      <c r="AF29" s="2055"/>
      <c r="AG29" s="2055"/>
      <c r="AH29" s="2055">
        <v>0</v>
      </c>
    </row>
    <row r="30" spans="1:34" s="4214" customFormat="1" ht="18.75" customHeight="1">
      <c r="A30" s="2988"/>
      <c r="B30" s="2988"/>
      <c r="C30" s="4068" t="s">
        <v>1188</v>
      </c>
      <c r="D30" s="4570"/>
      <c r="E30" s="4571"/>
      <c r="F30" s="4571"/>
      <c r="G30" s="4543"/>
      <c r="H30" s="4074"/>
      <c r="I30" s="4075" t="s">
        <v>1189</v>
      </c>
      <c r="J30" s="4076"/>
      <c r="K30" s="4077"/>
      <c r="L30" s="4078"/>
      <c r="M30" s="4453"/>
      <c r="N30" s="4073"/>
      <c r="O30" s="2994"/>
      <c r="P30" s="2994"/>
      <c r="Q30" s="2055"/>
      <c r="R30" s="2055"/>
      <c r="S30" s="2055"/>
      <c r="T30" s="2055"/>
      <c r="U30" s="2055"/>
      <c r="V30" s="2055"/>
      <c r="W30" s="2055"/>
      <c r="X30" s="2055"/>
      <c r="Y30" s="2055"/>
      <c r="Z30" s="2055"/>
      <c r="AA30" s="2055"/>
      <c r="AB30" s="2055"/>
      <c r="AC30" s="2055"/>
      <c r="AD30" s="2055"/>
      <c r="AE30" s="2055"/>
      <c r="AF30" s="2055"/>
      <c r="AG30" s="2055"/>
      <c r="AH30" s="2055">
        <v>0</v>
      </c>
    </row>
    <row r="31" spans="1:34" s="4214" customFormat="1" ht="18.75" customHeight="1">
      <c r="A31" s="2988" t="s">
        <v>167</v>
      </c>
      <c r="B31" s="2988" t="s">
        <v>184</v>
      </c>
      <c r="C31" s="4068"/>
      <c r="D31" s="4570"/>
      <c r="E31" s="4571"/>
      <c r="F31" s="4571"/>
      <c r="G31" s="4543" t="str">
        <f>INDEX(PT_DIFFERENTIATION_NTAR,MATCH(B31,PT_DIFFERENTIATION_NTAR_ID,0))</f>
        <v>Льготные тарифы на тепловую энергию, поставляемую группе потребителей "потребители (кроме населения)"</v>
      </c>
      <c r="H31" s="2526"/>
      <c r="I31" s="4069"/>
      <c r="J31" s="4070"/>
      <c r="K31" s="4071"/>
      <c r="L31" s="2526" t="s">
        <v>327</v>
      </c>
      <c r="M31" s="4453"/>
      <c r="N31" s="4073"/>
      <c r="O31" s="2994"/>
      <c r="P31" s="2994"/>
      <c r="Q31" s="2055"/>
      <c r="R31" s="2055"/>
      <c r="S31" s="2055"/>
      <c r="T31" s="2055"/>
      <c r="U31" s="2055"/>
      <c r="V31" s="2055"/>
      <c r="W31" s="2055"/>
      <c r="X31" s="2055"/>
      <c r="Y31" s="2055"/>
      <c r="Z31" s="2055"/>
      <c r="AA31" s="2055"/>
      <c r="AB31" s="2055"/>
      <c r="AC31" s="2055"/>
      <c r="AD31" s="2055"/>
      <c r="AE31" s="2055"/>
      <c r="AF31" s="2055"/>
      <c r="AG31" s="2055"/>
      <c r="AH31" s="2055">
        <v>0</v>
      </c>
    </row>
    <row r="32" spans="1:34" s="4214" customFormat="1" ht="18.75" customHeight="1">
      <c r="A32" s="2988"/>
      <c r="B32" s="2988"/>
      <c r="C32" s="4068" t="s">
        <v>1188</v>
      </c>
      <c r="D32" s="4570"/>
      <c r="E32" s="4571"/>
      <c r="F32" s="4571"/>
      <c r="G32" s="4543"/>
      <c r="H32" s="4079"/>
      <c r="I32" s="4080" t="s">
        <v>1189</v>
      </c>
      <c r="J32" s="4081"/>
      <c r="K32" s="4082"/>
      <c r="L32" s="4083"/>
      <c r="M32" s="4453"/>
      <c r="N32" s="4073"/>
      <c r="O32" s="2994"/>
      <c r="P32" s="2994"/>
      <c r="Q32" s="2055"/>
      <c r="R32" s="2055"/>
      <c r="S32" s="2055"/>
      <c r="T32" s="2055"/>
      <c r="U32" s="2055"/>
      <c r="V32" s="2055"/>
      <c r="W32" s="2055"/>
      <c r="X32" s="2055"/>
      <c r="Y32" s="2055"/>
      <c r="Z32" s="2055"/>
      <c r="AA32" s="2055"/>
      <c r="AB32" s="2055"/>
      <c r="AC32" s="2055"/>
      <c r="AD32" s="2055"/>
      <c r="AE32" s="2055"/>
      <c r="AF32" s="2055"/>
      <c r="AG32" s="2055"/>
      <c r="AH32" s="2055">
        <v>0</v>
      </c>
    </row>
    <row r="33" spans="1:34" s="4133" customFormat="1" ht="0.75" hidden="1" customHeight="1">
      <c r="A33" s="1697"/>
      <c r="B33" s="1697"/>
      <c r="C33" s="304" t="s">
        <v>1194</v>
      </c>
      <c r="D33" s="4569"/>
      <c r="E33" s="4368"/>
      <c r="F33" s="4506"/>
      <c r="G33" s="335"/>
      <c r="H33" s="1418"/>
      <c r="I33" s="586"/>
      <c r="J33" s="506"/>
      <c r="K33" s="1418"/>
      <c r="L33" s="151"/>
      <c r="M33" s="4319"/>
      <c r="N33" s="270"/>
      <c r="O33" s="1542"/>
      <c r="P33" s="1542"/>
      <c r="AH33" s="1549">
        <v>0</v>
      </c>
    </row>
    <row r="34" spans="1:34" s="4133" customFormat="1" ht="45" hidden="1" customHeight="1">
      <c r="A34" s="1697" t="s">
        <v>190</v>
      </c>
      <c r="B34" s="1697" t="s">
        <v>191</v>
      </c>
      <c r="C34" s="304"/>
      <c r="D34" s="4569"/>
      <c r="E34" s="4368"/>
      <c r="F34" s="4506" t="str">
        <f>INDEX(PT_DIFFERENTIATION_VTAR,MATCH(A34,PT_DIFFERENTIATION_VTAR_ID,0))</f>
        <v>Тарифы на теплоноситель, поставляемый теплоснабжающими организациями потребителям, другим теплоснабжающим организациям</v>
      </c>
      <c r="G34" s="4543" t="str">
        <f>INDEX(PT_DIFFERENTIATION_NTAR,MATCH(B34,PT_DIFFERENTIATION_NTAR_ID,0))</f>
        <v/>
      </c>
      <c r="H34" s="1777"/>
      <c r="I34" s="1656"/>
      <c r="J34" s="1690"/>
      <c r="K34" s="1780"/>
      <c r="L34" s="1777" t="s">
        <v>327</v>
      </c>
      <c r="M34" s="4319"/>
      <c r="N34" s="270"/>
      <c r="O34" s="1542"/>
      <c r="P34" s="1542"/>
      <c r="AH34" s="1549">
        <v>0</v>
      </c>
    </row>
    <row r="35" spans="1:34" s="4133" customFormat="1" ht="18.75" hidden="1" customHeight="1">
      <c r="A35" s="1697"/>
      <c r="B35" s="1697"/>
      <c r="C35" s="304" t="s">
        <v>1188</v>
      </c>
      <c r="D35" s="4569"/>
      <c r="E35" s="4368"/>
      <c r="F35" s="4506"/>
      <c r="G35" s="4543"/>
      <c r="H35" s="1418"/>
      <c r="I35" s="586" t="s">
        <v>1189</v>
      </c>
      <c r="J35" s="506"/>
      <c r="K35" s="1418"/>
      <c r="L35" s="151"/>
      <c r="M35" s="4319"/>
      <c r="N35" s="270"/>
      <c r="O35" s="1542"/>
      <c r="P35" s="1542"/>
      <c r="AH35" s="1549">
        <v>0</v>
      </c>
    </row>
    <row r="36" spans="1:34" s="4133" customFormat="1" ht="0.75" hidden="1" customHeight="1">
      <c r="A36" s="1697"/>
      <c r="B36" s="1697"/>
      <c r="C36" s="304" t="s">
        <v>1194</v>
      </c>
      <c r="D36" s="4569"/>
      <c r="E36" s="4368"/>
      <c r="F36" s="4506"/>
      <c r="G36" s="335"/>
      <c r="H36" s="1418"/>
      <c r="I36" s="586"/>
      <c r="J36" s="506"/>
      <c r="K36" s="1418"/>
      <c r="L36" s="151"/>
      <c r="M36" s="4319"/>
      <c r="N36" s="270"/>
      <c r="O36" s="1542"/>
      <c r="P36" s="1542"/>
      <c r="AH36" s="1549">
        <v>0</v>
      </c>
    </row>
    <row r="37" spans="1:34" s="4133" customFormat="1" ht="45" hidden="1" customHeight="1">
      <c r="A37" s="1697" t="s">
        <v>196</v>
      </c>
      <c r="B37" s="1697" t="s">
        <v>197</v>
      </c>
      <c r="C37" s="304"/>
      <c r="D37" s="4569"/>
      <c r="E37" s="4368"/>
      <c r="F37" s="4506"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4543" t="str">
        <f>INDEX(PT_DIFFERENTIATION_NTAR,MATCH(B37,PT_DIFFERENTIATION_NTAR_ID,0))</f>
        <v/>
      </c>
      <c r="H37" s="1777"/>
      <c r="I37" s="1656"/>
      <c r="J37" s="1690"/>
      <c r="K37" s="1780"/>
      <c r="L37" s="1777" t="s">
        <v>327</v>
      </c>
      <c r="M37" s="4319"/>
      <c r="N37" s="270"/>
      <c r="O37" s="1542"/>
      <c r="P37" s="1542"/>
      <c r="AH37" s="1549">
        <v>0</v>
      </c>
    </row>
    <row r="38" spans="1:34" s="4133" customFormat="1" ht="18.75" hidden="1" customHeight="1">
      <c r="A38" s="1697"/>
      <c r="B38" s="1697"/>
      <c r="C38" s="304" t="s">
        <v>1188</v>
      </c>
      <c r="D38" s="4569"/>
      <c r="E38" s="4368"/>
      <c r="F38" s="4506"/>
      <c r="G38" s="4543"/>
      <c r="H38" s="1418"/>
      <c r="I38" s="586" t="s">
        <v>1189</v>
      </c>
      <c r="J38" s="506"/>
      <c r="K38" s="1418"/>
      <c r="L38" s="151"/>
      <c r="M38" s="4319"/>
      <c r="N38" s="270"/>
      <c r="O38" s="1542"/>
      <c r="P38" s="1542"/>
      <c r="AH38" s="1549">
        <v>0</v>
      </c>
    </row>
    <row r="39" spans="1:34" s="4133" customFormat="1" ht="0.75" hidden="1" customHeight="1">
      <c r="A39" s="1697"/>
      <c r="B39" s="1697"/>
      <c r="C39" s="304" t="s">
        <v>1194</v>
      </c>
      <c r="D39" s="4569"/>
      <c r="E39" s="4368"/>
      <c r="F39" s="4506"/>
      <c r="G39" s="335"/>
      <c r="H39" s="1418"/>
      <c r="I39" s="586"/>
      <c r="J39" s="506"/>
      <c r="K39" s="1418"/>
      <c r="L39" s="151"/>
      <c r="M39" s="4319"/>
      <c r="N39" s="270"/>
      <c r="O39" s="1542"/>
      <c r="P39" s="1542"/>
      <c r="AH39" s="1549">
        <v>0</v>
      </c>
    </row>
    <row r="40" spans="1:34" s="4133" customFormat="1" ht="18.75" hidden="1" customHeight="1">
      <c r="A40" s="1697" t="s">
        <v>202</v>
      </c>
      <c r="B40" s="1697" t="s">
        <v>203</v>
      </c>
      <c r="C40" s="304"/>
      <c r="D40" s="4569"/>
      <c r="E40" s="4368"/>
      <c r="F40" s="4506" t="str">
        <f>INDEX(PT_DIFFERENTIATION_VTAR,MATCH(A40,PT_DIFFERENTIATION_VTAR_ID,0))</f>
        <v>Тарифы на услуги по передаче тепловой энергии</v>
      </c>
      <c r="G40" s="4543" t="str">
        <f>INDEX(PT_DIFFERENTIATION_NTAR,MATCH(B40,PT_DIFFERENTIATION_NTAR_ID,0))</f>
        <v/>
      </c>
      <c r="H40" s="1777"/>
      <c r="I40" s="1656"/>
      <c r="J40" s="1690"/>
      <c r="K40" s="1780"/>
      <c r="L40" s="1777" t="s">
        <v>327</v>
      </c>
      <c r="M40" s="4319"/>
      <c r="N40" s="270"/>
      <c r="O40" s="1542"/>
      <c r="P40" s="1542"/>
      <c r="AH40" s="1549">
        <v>0</v>
      </c>
    </row>
    <row r="41" spans="1:34" s="4133" customFormat="1" ht="18.75" hidden="1" customHeight="1">
      <c r="A41" s="1697"/>
      <c r="B41" s="1697"/>
      <c r="C41" s="304" t="s">
        <v>1188</v>
      </c>
      <c r="D41" s="4569"/>
      <c r="E41" s="4368"/>
      <c r="F41" s="4506"/>
      <c r="G41" s="4543"/>
      <c r="H41" s="1418"/>
      <c r="I41" s="586" t="s">
        <v>1189</v>
      </c>
      <c r="J41" s="506"/>
      <c r="K41" s="1418"/>
      <c r="L41" s="151"/>
      <c r="M41" s="4319"/>
      <c r="N41" s="270"/>
      <c r="O41" s="1542"/>
      <c r="P41" s="1542"/>
      <c r="AH41" s="1549">
        <v>0</v>
      </c>
    </row>
    <row r="42" spans="1:34" s="4133" customFormat="1" ht="0.75" hidden="1" customHeight="1">
      <c r="A42" s="1697"/>
      <c r="B42" s="1697"/>
      <c r="C42" s="304" t="s">
        <v>1194</v>
      </c>
      <c r="D42" s="4569"/>
      <c r="E42" s="4368"/>
      <c r="F42" s="4506"/>
      <c r="G42" s="335"/>
      <c r="H42" s="1418"/>
      <c r="I42" s="586"/>
      <c r="J42" s="506"/>
      <c r="K42" s="1418"/>
      <c r="L42" s="151"/>
      <c r="M42" s="4319"/>
      <c r="N42" s="270"/>
      <c r="O42" s="1542"/>
      <c r="P42" s="1542"/>
      <c r="AH42" s="1549">
        <v>0</v>
      </c>
    </row>
    <row r="43" spans="1:34" s="4133" customFormat="1" ht="18.75" hidden="1" customHeight="1">
      <c r="A43" s="1697" t="s">
        <v>208</v>
      </c>
      <c r="B43" s="1697" t="s">
        <v>209</v>
      </c>
      <c r="C43" s="304"/>
      <c r="D43" s="4569"/>
      <c r="E43" s="4368"/>
      <c r="F43" s="4506" t="str">
        <f>INDEX(PT_DIFFERENTIATION_VTAR,MATCH(A43,PT_DIFFERENTIATION_VTAR_ID,0))</f>
        <v>Тарифы на услуги по передаче теплоносителя</v>
      </c>
      <c r="G43" s="4543" t="str">
        <f>INDEX(PT_DIFFERENTIATION_NTAR,MATCH(B43,PT_DIFFERENTIATION_NTAR_ID,0))</f>
        <v/>
      </c>
      <c r="H43" s="1777"/>
      <c r="I43" s="1656"/>
      <c r="J43" s="1690"/>
      <c r="K43" s="1780"/>
      <c r="L43" s="1777" t="s">
        <v>327</v>
      </c>
      <c r="M43" s="4319"/>
      <c r="N43" s="270"/>
      <c r="O43" s="1542"/>
      <c r="P43" s="1542"/>
      <c r="AH43" s="1549">
        <v>0</v>
      </c>
    </row>
    <row r="44" spans="1:34" s="4133" customFormat="1" ht="18.75" hidden="1" customHeight="1">
      <c r="A44" s="1697"/>
      <c r="B44" s="1697"/>
      <c r="C44" s="304" t="s">
        <v>1188</v>
      </c>
      <c r="D44" s="4569"/>
      <c r="E44" s="4368"/>
      <c r="F44" s="4506"/>
      <c r="G44" s="4543"/>
      <c r="H44" s="1418"/>
      <c r="I44" s="586" t="s">
        <v>1189</v>
      </c>
      <c r="J44" s="506"/>
      <c r="K44" s="1418"/>
      <c r="L44" s="151"/>
      <c r="M44" s="4319"/>
      <c r="N44" s="270"/>
      <c r="O44" s="1542"/>
      <c r="P44" s="1542"/>
      <c r="AH44" s="1549">
        <v>0</v>
      </c>
    </row>
    <row r="45" spans="1:34" s="4133" customFormat="1" ht="0.75" hidden="1" customHeight="1">
      <c r="A45" s="1697"/>
      <c r="B45" s="1697"/>
      <c r="C45" s="304" t="s">
        <v>1194</v>
      </c>
      <c r="D45" s="4569"/>
      <c r="E45" s="4368"/>
      <c r="F45" s="4506"/>
      <c r="G45" s="335"/>
      <c r="H45" s="1418"/>
      <c r="I45" s="586"/>
      <c r="J45" s="506"/>
      <c r="K45" s="1418"/>
      <c r="L45" s="151"/>
      <c r="M45" s="4319"/>
      <c r="N45" s="270"/>
      <c r="O45" s="1542"/>
      <c r="P45" s="1542"/>
      <c r="AH45" s="1549">
        <v>0</v>
      </c>
    </row>
    <row r="46" spans="1:34" s="4133" customFormat="1" ht="18.75" hidden="1" customHeight="1">
      <c r="A46" s="1697" t="s">
        <v>214</v>
      </c>
      <c r="B46" s="1697" t="s">
        <v>215</v>
      </c>
      <c r="C46" s="304"/>
      <c r="D46" s="4569"/>
      <c r="E46" s="4368"/>
      <c r="F46" s="4506" t="str">
        <f>INDEX(PT_DIFFERENTIATION_VTAR,MATCH(A46,PT_DIFFERENTIATION_VTAR_ID,0))</f>
        <v>Плата за услуги по поддержанию резервной тепловой мощности при отсутствии потребления тепловой энергии</v>
      </c>
      <c r="G46" s="4543" t="str">
        <f>INDEX(PT_DIFFERENTIATION_NTAR,MATCH(B46,PT_DIFFERENTIATION_NTAR_ID,0))</f>
        <v/>
      </c>
      <c r="H46" s="1777"/>
      <c r="I46" s="1656"/>
      <c r="J46" s="1690"/>
      <c r="K46" s="1780"/>
      <c r="L46" s="1777" t="s">
        <v>327</v>
      </c>
      <c r="M46" s="4319"/>
      <c r="N46" s="270"/>
      <c r="O46" s="1542"/>
      <c r="P46" s="1542"/>
      <c r="AH46" s="1549">
        <v>0</v>
      </c>
    </row>
    <row r="47" spans="1:34" s="4133" customFormat="1" ht="18.75" hidden="1" customHeight="1">
      <c r="A47" s="1697"/>
      <c r="B47" s="1697"/>
      <c r="C47" s="304" t="s">
        <v>1188</v>
      </c>
      <c r="D47" s="4569"/>
      <c r="E47" s="4368"/>
      <c r="F47" s="4506"/>
      <c r="G47" s="4543"/>
      <c r="H47" s="1418"/>
      <c r="I47" s="586" t="s">
        <v>1189</v>
      </c>
      <c r="J47" s="506"/>
      <c r="K47" s="1418"/>
      <c r="L47" s="151"/>
      <c r="M47" s="4319"/>
      <c r="N47" s="270"/>
      <c r="O47" s="1542"/>
      <c r="P47" s="1542"/>
      <c r="AH47" s="1549">
        <v>0</v>
      </c>
    </row>
    <row r="48" spans="1:34" s="4133" customFormat="1" ht="0.75" hidden="1" customHeight="1">
      <c r="A48" s="1697"/>
      <c r="B48" s="1697"/>
      <c r="C48" s="304" t="s">
        <v>1194</v>
      </c>
      <c r="D48" s="4569"/>
      <c r="E48" s="4368"/>
      <c r="F48" s="4506"/>
      <c r="G48" s="335"/>
      <c r="H48" s="1418"/>
      <c r="I48" s="586"/>
      <c r="J48" s="506"/>
      <c r="K48" s="1418"/>
      <c r="L48" s="151"/>
      <c r="M48" s="4319"/>
      <c r="N48" s="270"/>
      <c r="O48" s="1542"/>
      <c r="P48" s="1542"/>
      <c r="AH48" s="1549">
        <v>0</v>
      </c>
    </row>
    <row r="49" spans="1:34" s="4133" customFormat="1" ht="18.75" hidden="1" customHeight="1">
      <c r="A49" s="1697" t="s">
        <v>220</v>
      </c>
      <c r="B49" s="1697" t="s">
        <v>221</v>
      </c>
      <c r="C49" s="304"/>
      <c r="D49" s="4569"/>
      <c r="E49" s="4368"/>
      <c r="F49" s="4506" t="str">
        <f>INDEX(PT_DIFFERENTIATION_VTAR,MATCH(A49,PT_DIFFERENTIATION_VTAR_ID,0))</f>
        <v>Плата за подключение (технологическое присоединение) к системе теплоснабжения</v>
      </c>
      <c r="G49" s="4543" t="str">
        <f>INDEX(PT_DIFFERENTIATION_NTAR,MATCH(B49,PT_DIFFERENTIATION_NTAR_ID,0))</f>
        <v/>
      </c>
      <c r="H49" s="1777"/>
      <c r="I49" s="1656"/>
      <c r="J49" s="1690"/>
      <c r="K49" s="1780"/>
      <c r="L49" s="1777" t="s">
        <v>327</v>
      </c>
      <c r="M49" s="4319"/>
      <c r="N49" s="270"/>
      <c r="O49" s="1542"/>
      <c r="P49" s="1542"/>
      <c r="AH49" s="1549">
        <v>0</v>
      </c>
    </row>
    <row r="50" spans="1:34" s="4133" customFormat="1" ht="18.75" hidden="1" customHeight="1">
      <c r="A50" s="1697"/>
      <c r="B50" s="1697"/>
      <c r="C50" s="304" t="s">
        <v>1188</v>
      </c>
      <c r="D50" s="4569"/>
      <c r="E50" s="4368"/>
      <c r="F50" s="4506"/>
      <c r="G50" s="4543"/>
      <c r="H50" s="1418"/>
      <c r="I50" s="586" t="s">
        <v>1189</v>
      </c>
      <c r="J50" s="506"/>
      <c r="K50" s="1418"/>
      <c r="L50" s="151"/>
      <c r="M50" s="4319"/>
      <c r="N50" s="270"/>
      <c r="O50" s="1542"/>
      <c r="P50" s="1542"/>
      <c r="AH50" s="1549">
        <v>0</v>
      </c>
    </row>
    <row r="51" spans="1:34" s="4133" customFormat="1" ht="0.75" hidden="1" customHeight="1">
      <c r="A51" s="1697"/>
      <c r="B51" s="1697"/>
      <c r="C51" s="304" t="s">
        <v>1194</v>
      </c>
      <c r="D51" s="4569"/>
      <c r="E51" s="4368"/>
      <c r="F51" s="4506"/>
      <c r="G51" s="335"/>
      <c r="H51" s="1418"/>
      <c r="I51" s="586"/>
      <c r="J51" s="506"/>
      <c r="K51" s="1418"/>
      <c r="L51" s="151"/>
      <c r="M51" s="4319"/>
      <c r="N51" s="270"/>
      <c r="O51" s="1542"/>
      <c r="P51" s="1542"/>
      <c r="AH51" s="1549">
        <v>0</v>
      </c>
    </row>
    <row r="52" spans="1:34" s="4133" customFormat="1" ht="18.75" hidden="1" customHeight="1">
      <c r="A52" s="1697" t="s">
        <v>226</v>
      </c>
      <c r="B52" s="1697" t="s">
        <v>227</v>
      </c>
      <c r="C52" s="304"/>
      <c r="D52" s="4569"/>
      <c r="E52" s="4368"/>
      <c r="F52" s="4506" t="str">
        <f>INDEX(PT_DIFFERENTIATION_VTAR,MATCH(A52,PT_DIFFERENTIATION_VTAR_ID,0))</f>
        <v>Плата за подключение (технологическое присоединение) к системе теплоснабжения (индивидуальная)</v>
      </c>
      <c r="G52" s="4543" t="str">
        <f>INDEX(PT_DIFFERENTIATION_NTAR,MATCH(B52,PT_DIFFERENTIATION_NTAR_ID,0))</f>
        <v/>
      </c>
      <c r="H52" s="1901"/>
      <c r="I52" s="1656"/>
      <c r="J52" s="1690"/>
      <c r="K52" s="1780"/>
      <c r="L52" s="1901" t="s">
        <v>327</v>
      </c>
      <c r="M52" s="4319"/>
      <c r="N52" s="270"/>
      <c r="O52" s="1542"/>
      <c r="P52" s="1542"/>
      <c r="AH52" s="1549">
        <v>0</v>
      </c>
    </row>
    <row r="53" spans="1:34" s="4133" customFormat="1" ht="18.75" hidden="1" customHeight="1">
      <c r="A53" s="1697"/>
      <c r="B53" s="1697"/>
      <c r="C53" s="304" t="s">
        <v>1188</v>
      </c>
      <c r="D53" s="4569"/>
      <c r="E53" s="4368"/>
      <c r="F53" s="4506"/>
      <c r="G53" s="4543"/>
      <c r="H53" s="1418"/>
      <c r="I53" s="586" t="s">
        <v>1189</v>
      </c>
      <c r="J53" s="506"/>
      <c r="K53" s="1418"/>
      <c r="L53" s="151"/>
      <c r="M53" s="4319"/>
      <c r="N53" s="270"/>
      <c r="O53" s="1542"/>
      <c r="P53" s="1542"/>
      <c r="AH53" s="1549">
        <v>0</v>
      </c>
    </row>
    <row r="54" spans="1:34" s="4133" customFormat="1" ht="0.75" hidden="1" customHeight="1">
      <c r="A54" s="1697"/>
      <c r="B54" s="1697"/>
      <c r="C54" s="304" t="s">
        <v>1194</v>
      </c>
      <c r="D54" s="4569"/>
      <c r="E54" s="4368"/>
      <c r="F54" s="4506"/>
      <c r="G54" s="335"/>
      <c r="H54" s="1418"/>
      <c r="I54" s="586"/>
      <c r="J54" s="506"/>
      <c r="K54" s="1418"/>
      <c r="L54" s="151"/>
      <c r="M54" s="4319"/>
      <c r="N54" s="270"/>
      <c r="O54" s="1542"/>
      <c r="P54" s="1542"/>
      <c r="AH54" s="1549">
        <v>0</v>
      </c>
    </row>
    <row r="55" spans="1:34" s="4133" customFormat="1" ht="18.75" hidden="1" customHeight="1">
      <c r="A55" s="1697" t="s">
        <v>246</v>
      </c>
      <c r="B55" s="1697" t="s">
        <v>247</v>
      </c>
      <c r="C55" s="304"/>
      <c r="D55" s="4569"/>
      <c r="E55" s="4368"/>
      <c r="F55" s="4506" t="str">
        <f>INDEX(PT_DIFFERENTIATION_VTAR,MATCH(A55,PT_DIFFERENTIATION_VTAR_ID,0))</f>
        <v>Тариф на питьевую воду (питьевое водоснабжение)</v>
      </c>
      <c r="G55" s="4543" t="str">
        <f>INDEX(PT_DIFFERENTIATION_NTAR,MATCH(B55,PT_DIFFERENTIATION_NTAR_ID,0))</f>
        <v/>
      </c>
      <c r="H55" s="1777"/>
      <c r="I55" s="1656"/>
      <c r="J55" s="1690"/>
      <c r="K55" s="1780"/>
      <c r="L55" s="1777" t="s">
        <v>327</v>
      </c>
      <c r="M55" s="4319"/>
      <c r="N55" s="270"/>
      <c r="O55" s="1542"/>
      <c r="P55" s="1542"/>
      <c r="AH55" s="1549">
        <v>0</v>
      </c>
    </row>
    <row r="56" spans="1:34" s="4133" customFormat="1" ht="18.75" hidden="1" customHeight="1">
      <c r="A56" s="1697"/>
      <c r="B56" s="1697"/>
      <c r="C56" s="304" t="s">
        <v>1188</v>
      </c>
      <c r="D56" s="4569"/>
      <c r="E56" s="4368"/>
      <c r="F56" s="4506"/>
      <c r="G56" s="4543"/>
      <c r="H56" s="1418"/>
      <c r="I56" s="586" t="s">
        <v>1189</v>
      </c>
      <c r="J56" s="506"/>
      <c r="K56" s="1418"/>
      <c r="L56" s="151"/>
      <c r="M56" s="4319"/>
      <c r="N56" s="270"/>
      <c r="O56" s="1542"/>
      <c r="P56" s="1542"/>
      <c r="AH56" s="1549">
        <v>0</v>
      </c>
    </row>
    <row r="57" spans="1:34" s="4133" customFormat="1" ht="0.75" hidden="1" customHeight="1">
      <c r="A57" s="1697"/>
      <c r="B57" s="1697"/>
      <c r="C57" s="304" t="s">
        <v>1194</v>
      </c>
      <c r="D57" s="4569"/>
      <c r="E57" s="4368"/>
      <c r="F57" s="4506"/>
      <c r="G57" s="335"/>
      <c r="H57" s="1418"/>
      <c r="I57" s="586"/>
      <c r="J57" s="506"/>
      <c r="K57" s="1418"/>
      <c r="L57" s="151"/>
      <c r="M57" s="4319"/>
      <c r="N57" s="270"/>
      <c r="O57" s="1542"/>
      <c r="P57" s="1542"/>
      <c r="AH57" s="1549">
        <v>0</v>
      </c>
    </row>
    <row r="58" spans="1:34" s="4133" customFormat="1" ht="18.75" hidden="1" customHeight="1">
      <c r="A58" s="1697" t="s">
        <v>251</v>
      </c>
      <c r="B58" s="1697" t="s">
        <v>252</v>
      </c>
      <c r="C58" s="304"/>
      <c r="D58" s="4569"/>
      <c r="E58" s="4368"/>
      <c r="F58" s="4506" t="str">
        <f>INDEX(PT_DIFFERENTIATION_VTAR,MATCH(A58,PT_DIFFERENTIATION_VTAR_ID,0))</f>
        <v>Тариф на техническую воду</v>
      </c>
      <c r="G58" s="4543" t="str">
        <f>INDEX(PT_DIFFERENTIATION_NTAR,MATCH(B58,PT_DIFFERENTIATION_NTAR_ID,0))</f>
        <v/>
      </c>
      <c r="H58" s="1777"/>
      <c r="I58" s="1656"/>
      <c r="J58" s="1690"/>
      <c r="K58" s="1780"/>
      <c r="L58" s="1777" t="s">
        <v>327</v>
      </c>
      <c r="M58" s="4319"/>
      <c r="N58" s="270"/>
      <c r="O58" s="1542"/>
      <c r="P58" s="1542"/>
      <c r="AH58" s="1549">
        <v>0</v>
      </c>
    </row>
    <row r="59" spans="1:34" s="4133" customFormat="1" ht="18.75" hidden="1" customHeight="1">
      <c r="A59" s="1697"/>
      <c r="B59" s="1697"/>
      <c r="C59" s="304" t="s">
        <v>1188</v>
      </c>
      <c r="D59" s="4569"/>
      <c r="E59" s="4368"/>
      <c r="F59" s="4506"/>
      <c r="G59" s="4543"/>
      <c r="H59" s="1418"/>
      <c r="I59" s="586" t="s">
        <v>1189</v>
      </c>
      <c r="J59" s="506"/>
      <c r="K59" s="1418"/>
      <c r="L59" s="151"/>
      <c r="M59" s="4319"/>
      <c r="N59" s="270"/>
      <c r="O59" s="1542"/>
      <c r="P59" s="1542"/>
      <c r="AH59" s="1549">
        <v>0</v>
      </c>
    </row>
    <row r="60" spans="1:34" s="4133" customFormat="1" ht="0.75" hidden="1" customHeight="1">
      <c r="A60" s="1697"/>
      <c r="B60" s="1697"/>
      <c r="C60" s="304" t="s">
        <v>1194</v>
      </c>
      <c r="D60" s="4569"/>
      <c r="E60" s="4368"/>
      <c r="F60" s="4506"/>
      <c r="G60" s="335"/>
      <c r="H60" s="1418"/>
      <c r="I60" s="586"/>
      <c r="J60" s="506"/>
      <c r="K60" s="1418"/>
      <c r="L60" s="151"/>
      <c r="M60" s="4319"/>
      <c r="N60" s="270"/>
      <c r="O60" s="1542"/>
      <c r="P60" s="1542"/>
      <c r="AH60" s="1549">
        <v>0</v>
      </c>
    </row>
    <row r="61" spans="1:34" s="4133" customFormat="1" ht="18.75" hidden="1" customHeight="1">
      <c r="A61" s="1697" t="s">
        <v>256</v>
      </c>
      <c r="B61" s="1697" t="s">
        <v>257</v>
      </c>
      <c r="C61" s="304"/>
      <c r="D61" s="4569"/>
      <c r="E61" s="4368"/>
      <c r="F61" s="4506" t="str">
        <f>INDEX(PT_DIFFERENTIATION_VTAR,MATCH(A61,PT_DIFFERENTIATION_VTAR_ID,0))</f>
        <v>Тариф на транспортировку воды</v>
      </c>
      <c r="G61" s="4543" t="str">
        <f>INDEX(PT_DIFFERENTIATION_NTAR,MATCH(B61,PT_DIFFERENTIATION_NTAR_ID,0))</f>
        <v/>
      </c>
      <c r="H61" s="1777"/>
      <c r="I61" s="1656"/>
      <c r="J61" s="1690"/>
      <c r="K61" s="1780"/>
      <c r="L61" s="1777" t="s">
        <v>327</v>
      </c>
      <c r="M61" s="4319"/>
      <c r="N61" s="270"/>
      <c r="O61" s="1542"/>
      <c r="P61" s="1542"/>
      <c r="AH61" s="1549">
        <v>0</v>
      </c>
    </row>
    <row r="62" spans="1:34" s="4133" customFormat="1" ht="18.75" hidden="1" customHeight="1">
      <c r="A62" s="1697"/>
      <c r="B62" s="1697"/>
      <c r="C62" s="304" t="s">
        <v>1188</v>
      </c>
      <c r="D62" s="4569"/>
      <c r="E62" s="4368"/>
      <c r="F62" s="4506"/>
      <c r="G62" s="4543"/>
      <c r="H62" s="1418"/>
      <c r="I62" s="586" t="s">
        <v>1189</v>
      </c>
      <c r="J62" s="506"/>
      <c r="K62" s="1418"/>
      <c r="L62" s="151"/>
      <c r="M62" s="4319"/>
      <c r="N62" s="270"/>
      <c r="O62" s="1542"/>
      <c r="P62" s="1542"/>
      <c r="AH62" s="1549">
        <v>0</v>
      </c>
    </row>
    <row r="63" spans="1:34" s="4133" customFormat="1" ht="0.75" hidden="1" customHeight="1">
      <c r="A63" s="1697"/>
      <c r="B63" s="1697"/>
      <c r="C63" s="304" t="s">
        <v>1194</v>
      </c>
      <c r="D63" s="4569"/>
      <c r="E63" s="4368"/>
      <c r="F63" s="4506"/>
      <c r="G63" s="335"/>
      <c r="H63" s="1418"/>
      <c r="I63" s="586"/>
      <c r="J63" s="506"/>
      <c r="K63" s="1418"/>
      <c r="L63" s="151"/>
      <c r="M63" s="4319"/>
      <c r="N63" s="270"/>
      <c r="O63" s="1542"/>
      <c r="P63" s="1542"/>
      <c r="AH63" s="1549">
        <v>0</v>
      </c>
    </row>
    <row r="64" spans="1:34" s="4133" customFormat="1" ht="18.75" hidden="1" customHeight="1">
      <c r="A64" s="1697" t="s">
        <v>261</v>
      </c>
      <c r="B64" s="1697" t="s">
        <v>262</v>
      </c>
      <c r="C64" s="304"/>
      <c r="D64" s="4569"/>
      <c r="E64" s="4368"/>
      <c r="F64" s="4506" t="str">
        <f>INDEX(PT_DIFFERENTIATION_VTAR,MATCH(A64,PT_DIFFERENTIATION_VTAR_ID,0))</f>
        <v>Тариф на подвоз воды</v>
      </c>
      <c r="G64" s="4543" t="str">
        <f>INDEX(PT_DIFFERENTIATION_NTAR,MATCH(B64,PT_DIFFERENTIATION_NTAR_ID,0))</f>
        <v/>
      </c>
      <c r="H64" s="1777"/>
      <c r="I64" s="1656"/>
      <c r="J64" s="1690"/>
      <c r="K64" s="1780"/>
      <c r="L64" s="1777" t="s">
        <v>327</v>
      </c>
      <c r="M64" s="4319"/>
      <c r="N64" s="270"/>
      <c r="O64" s="1542"/>
      <c r="P64" s="1542"/>
      <c r="AH64" s="1549">
        <v>0</v>
      </c>
    </row>
    <row r="65" spans="1:34" s="4133" customFormat="1" ht="18.75" hidden="1" customHeight="1">
      <c r="A65" s="1697"/>
      <c r="B65" s="1697"/>
      <c r="C65" s="304" t="s">
        <v>1188</v>
      </c>
      <c r="D65" s="4569"/>
      <c r="E65" s="4368"/>
      <c r="F65" s="4506"/>
      <c r="G65" s="4543"/>
      <c r="H65" s="1418"/>
      <c r="I65" s="586" t="s">
        <v>1189</v>
      </c>
      <c r="J65" s="506"/>
      <c r="K65" s="1418"/>
      <c r="L65" s="151"/>
      <c r="M65" s="4319"/>
      <c r="N65" s="270"/>
      <c r="O65" s="1542"/>
      <c r="P65" s="1542"/>
      <c r="AH65" s="1549">
        <v>0</v>
      </c>
    </row>
    <row r="66" spans="1:34" s="4133" customFormat="1" ht="0.75" hidden="1" customHeight="1">
      <c r="A66" s="1697"/>
      <c r="B66" s="1697"/>
      <c r="C66" s="304" t="s">
        <v>1194</v>
      </c>
      <c r="D66" s="4569"/>
      <c r="E66" s="4368"/>
      <c r="F66" s="4506"/>
      <c r="G66" s="335"/>
      <c r="H66" s="1418"/>
      <c r="I66" s="586"/>
      <c r="J66" s="506"/>
      <c r="K66" s="1418"/>
      <c r="L66" s="151"/>
      <c r="M66" s="4319"/>
      <c r="N66" s="270"/>
      <c r="O66" s="1542"/>
      <c r="P66" s="1542"/>
      <c r="AH66" s="1549">
        <v>0</v>
      </c>
    </row>
    <row r="67" spans="1:34" s="4133" customFormat="1" ht="18.75" hidden="1" customHeight="1">
      <c r="A67" s="1697" t="s">
        <v>266</v>
      </c>
      <c r="B67" s="1697" t="s">
        <v>267</v>
      </c>
      <c r="C67" s="304"/>
      <c r="D67" s="4569"/>
      <c r="E67" s="4368"/>
      <c r="F67" s="4506" t="str">
        <f>INDEX(PT_DIFFERENTIATION_VTAR,MATCH(A67,PT_DIFFERENTIATION_VTAR_ID,0))</f>
        <v>Тариф на подключение (технологическое присоединение) к централизованной системе холодного водоснабжения</v>
      </c>
      <c r="G67" s="4543" t="str">
        <f>INDEX(PT_DIFFERENTIATION_NTAR,MATCH(B67,PT_DIFFERENTIATION_NTAR_ID,0))</f>
        <v/>
      </c>
      <c r="H67" s="1777"/>
      <c r="I67" s="1656"/>
      <c r="J67" s="1690"/>
      <c r="K67" s="1780"/>
      <c r="L67" s="1777" t="s">
        <v>327</v>
      </c>
      <c r="M67" s="4319"/>
      <c r="N67" s="270"/>
      <c r="O67" s="1542"/>
      <c r="P67" s="1542"/>
      <c r="AH67" s="1549">
        <v>0</v>
      </c>
    </row>
    <row r="68" spans="1:34" s="4133" customFormat="1" ht="18.75" hidden="1" customHeight="1">
      <c r="A68" s="1697"/>
      <c r="B68" s="1697"/>
      <c r="C68" s="304" t="s">
        <v>1188</v>
      </c>
      <c r="D68" s="4569"/>
      <c r="E68" s="4368"/>
      <c r="F68" s="4506"/>
      <c r="G68" s="4543"/>
      <c r="H68" s="1418"/>
      <c r="I68" s="586" t="s">
        <v>1189</v>
      </c>
      <c r="J68" s="506"/>
      <c r="K68" s="1418"/>
      <c r="L68" s="151"/>
      <c r="M68" s="4319"/>
      <c r="N68" s="270"/>
      <c r="O68" s="1542"/>
      <c r="P68" s="1542"/>
      <c r="AH68" s="1549">
        <v>0</v>
      </c>
    </row>
    <row r="69" spans="1:34" s="4133" customFormat="1" ht="0.75" hidden="1" customHeight="1">
      <c r="A69" s="1697"/>
      <c r="B69" s="1697"/>
      <c r="C69" s="304" t="s">
        <v>1194</v>
      </c>
      <c r="D69" s="4569"/>
      <c r="E69" s="4368"/>
      <c r="F69" s="4506"/>
      <c r="G69" s="335"/>
      <c r="H69" s="1418"/>
      <c r="I69" s="586"/>
      <c r="J69" s="506"/>
      <c r="K69" s="1418"/>
      <c r="L69" s="151"/>
      <c r="M69" s="4319"/>
      <c r="N69" s="270"/>
      <c r="O69" s="1542"/>
      <c r="P69" s="1542"/>
      <c r="AH69" s="1549">
        <v>0</v>
      </c>
    </row>
    <row r="70" spans="1:34" s="4133" customFormat="1" ht="18.75" hidden="1" customHeight="1">
      <c r="A70" s="1697" t="s">
        <v>271</v>
      </c>
      <c r="B70" s="1697" t="s">
        <v>272</v>
      </c>
      <c r="C70" s="304"/>
      <c r="D70" s="4569"/>
      <c r="E70" s="4368"/>
      <c r="F70" s="4506" t="str">
        <f>INDEX(PT_DIFFERENTIATION_VTAR,MATCH(A70,PT_DIFFERENTIATION_VTAR_ID,0))</f>
        <v>Тариф на горячую воду (горячее водоснабжение)</v>
      </c>
      <c r="G70" s="4543" t="str">
        <f>INDEX(PT_DIFFERENTIATION_NTAR,MATCH(B70,PT_DIFFERENTIATION_NTAR_ID,0))</f>
        <v/>
      </c>
      <c r="H70" s="1777"/>
      <c r="I70" s="1656"/>
      <c r="J70" s="1690"/>
      <c r="K70" s="1780"/>
      <c r="L70" s="1777" t="s">
        <v>327</v>
      </c>
      <c r="M70" s="4319"/>
      <c r="N70" s="270"/>
      <c r="O70" s="1542"/>
      <c r="P70" s="1542"/>
      <c r="AH70" s="1549">
        <v>0</v>
      </c>
    </row>
    <row r="71" spans="1:34" s="4133" customFormat="1" ht="18.75" hidden="1" customHeight="1">
      <c r="A71" s="1697"/>
      <c r="B71" s="1697"/>
      <c r="C71" s="304" t="s">
        <v>1188</v>
      </c>
      <c r="D71" s="4569"/>
      <c r="E71" s="4368"/>
      <c r="F71" s="4506"/>
      <c r="G71" s="4543"/>
      <c r="H71" s="1418"/>
      <c r="I71" s="586" t="s">
        <v>1189</v>
      </c>
      <c r="J71" s="506"/>
      <c r="K71" s="1418"/>
      <c r="L71" s="151"/>
      <c r="M71" s="4319"/>
      <c r="N71" s="270"/>
      <c r="O71" s="1542"/>
      <c r="P71" s="1542"/>
      <c r="AH71" s="1549">
        <v>0</v>
      </c>
    </row>
    <row r="72" spans="1:34" s="4133" customFormat="1" ht="0.75" hidden="1" customHeight="1">
      <c r="A72" s="1697"/>
      <c r="B72" s="1697"/>
      <c r="C72" s="304" t="s">
        <v>1194</v>
      </c>
      <c r="D72" s="4569"/>
      <c r="E72" s="4368"/>
      <c r="F72" s="4506"/>
      <c r="G72" s="335"/>
      <c r="H72" s="1418"/>
      <c r="I72" s="586"/>
      <c r="J72" s="506"/>
      <c r="K72" s="1418"/>
      <c r="L72" s="151"/>
      <c r="M72" s="4319"/>
      <c r="N72" s="270"/>
      <c r="O72" s="1542"/>
      <c r="P72" s="1542"/>
      <c r="AH72" s="1549">
        <v>0</v>
      </c>
    </row>
    <row r="73" spans="1:34" s="4133" customFormat="1" ht="18.75" hidden="1" customHeight="1">
      <c r="A73" s="1697" t="s">
        <v>276</v>
      </c>
      <c r="B73" s="1697" t="s">
        <v>277</v>
      </c>
      <c r="C73" s="304"/>
      <c r="D73" s="4569"/>
      <c r="E73" s="4368"/>
      <c r="F73" s="4506" t="str">
        <f>INDEX(PT_DIFFERENTIATION_VTAR,MATCH(A73,PT_DIFFERENTIATION_VTAR_ID,0))</f>
        <v>Тариф на транспортировку горячей воды</v>
      </c>
      <c r="G73" s="4543" t="str">
        <f>INDEX(PT_DIFFERENTIATION_NTAR,MATCH(B73,PT_DIFFERENTIATION_NTAR_ID,0))</f>
        <v/>
      </c>
      <c r="H73" s="1777"/>
      <c r="I73" s="1656"/>
      <c r="J73" s="1690"/>
      <c r="K73" s="1780"/>
      <c r="L73" s="1777" t="s">
        <v>327</v>
      </c>
      <c r="M73" s="4319"/>
      <c r="N73" s="270"/>
      <c r="O73" s="1542"/>
      <c r="P73" s="1542"/>
      <c r="AH73" s="1549">
        <v>0</v>
      </c>
    </row>
    <row r="74" spans="1:34" s="4133" customFormat="1" ht="18.75" hidden="1" customHeight="1">
      <c r="A74" s="1697"/>
      <c r="B74" s="1697"/>
      <c r="C74" s="304" t="s">
        <v>1188</v>
      </c>
      <c r="D74" s="4569"/>
      <c r="E74" s="4368"/>
      <c r="F74" s="4506"/>
      <c r="G74" s="4543"/>
      <c r="H74" s="1418"/>
      <c r="I74" s="586" t="s">
        <v>1189</v>
      </c>
      <c r="J74" s="506"/>
      <c r="K74" s="1418"/>
      <c r="L74" s="151"/>
      <c r="M74" s="4319"/>
      <c r="N74" s="270"/>
      <c r="O74" s="1542"/>
      <c r="P74" s="1542"/>
      <c r="AH74" s="1549">
        <v>0</v>
      </c>
    </row>
    <row r="75" spans="1:34" s="4133" customFormat="1" ht="0.75" hidden="1" customHeight="1">
      <c r="A75" s="1697"/>
      <c r="B75" s="1697"/>
      <c r="C75" s="304" t="s">
        <v>1194</v>
      </c>
      <c r="D75" s="4569"/>
      <c r="E75" s="4368"/>
      <c r="F75" s="4506"/>
      <c r="G75" s="335"/>
      <c r="H75" s="1418"/>
      <c r="I75" s="586"/>
      <c r="J75" s="506"/>
      <c r="K75" s="1418"/>
      <c r="L75" s="151"/>
      <c r="M75" s="4319"/>
      <c r="N75" s="270"/>
      <c r="O75" s="1542"/>
      <c r="P75" s="1542"/>
      <c r="AH75" s="1549">
        <v>0</v>
      </c>
    </row>
    <row r="76" spans="1:34" s="4133" customFormat="1" ht="18.75" hidden="1" customHeight="1">
      <c r="A76" s="1697" t="s">
        <v>281</v>
      </c>
      <c r="B76" s="1697" t="s">
        <v>282</v>
      </c>
      <c r="C76" s="304"/>
      <c r="D76" s="4569"/>
      <c r="E76" s="4368"/>
      <c r="F76" s="4506" t="str">
        <f>INDEX(PT_DIFFERENTIATION_VTAR,MATCH(A76,PT_DIFFERENTIATION_VTAR_ID,0))</f>
        <v>Тариф на подключение (технологическое присоединение) к централизованной системе горячего водоснабжения</v>
      </c>
      <c r="G76" s="4543" t="str">
        <f>INDEX(PT_DIFFERENTIATION_NTAR,MATCH(B76,PT_DIFFERENTIATION_NTAR_ID,0))</f>
        <v/>
      </c>
      <c r="H76" s="1777"/>
      <c r="I76" s="1656"/>
      <c r="J76" s="1690"/>
      <c r="K76" s="1780"/>
      <c r="L76" s="1777" t="s">
        <v>327</v>
      </c>
      <c r="M76" s="4319"/>
      <c r="N76" s="270"/>
      <c r="O76" s="1542"/>
      <c r="P76" s="1542"/>
      <c r="AH76" s="1549">
        <v>0</v>
      </c>
    </row>
    <row r="77" spans="1:34" s="4133" customFormat="1" ht="18.75" hidden="1" customHeight="1">
      <c r="A77" s="1697"/>
      <c r="B77" s="1697"/>
      <c r="C77" s="304" t="s">
        <v>1188</v>
      </c>
      <c r="D77" s="4569"/>
      <c r="E77" s="4368"/>
      <c r="F77" s="4506"/>
      <c r="G77" s="4543"/>
      <c r="H77" s="1418"/>
      <c r="I77" s="586" t="s">
        <v>1189</v>
      </c>
      <c r="J77" s="506"/>
      <c r="K77" s="1418"/>
      <c r="L77" s="151"/>
      <c r="M77" s="4319"/>
      <c r="N77" s="270"/>
      <c r="O77" s="1542"/>
      <c r="P77" s="1542"/>
      <c r="AH77" s="1549">
        <v>0</v>
      </c>
    </row>
    <row r="78" spans="1:34" s="4133" customFormat="1" ht="0.75" hidden="1" customHeight="1">
      <c r="A78" s="1697"/>
      <c r="B78" s="1697"/>
      <c r="C78" s="304" t="s">
        <v>1194</v>
      </c>
      <c r="D78" s="4569"/>
      <c r="E78" s="4368"/>
      <c r="F78" s="4506"/>
      <c r="G78" s="335"/>
      <c r="H78" s="1418"/>
      <c r="I78" s="586"/>
      <c r="J78" s="506"/>
      <c r="K78" s="1418"/>
      <c r="L78" s="151"/>
      <c r="M78" s="4319"/>
      <c r="N78" s="270"/>
      <c r="O78" s="1542"/>
      <c r="P78" s="1542"/>
      <c r="AH78" s="1549">
        <v>0</v>
      </c>
    </row>
    <row r="79" spans="1:34" s="4133" customFormat="1" ht="18.75" hidden="1" customHeight="1">
      <c r="A79" s="1697" t="s">
        <v>286</v>
      </c>
      <c r="B79" s="1697" t="s">
        <v>287</v>
      </c>
      <c r="C79" s="304"/>
      <c r="D79" s="4569"/>
      <c r="E79" s="4368"/>
      <c r="F79" s="4506" t="str">
        <f>INDEX(PT_DIFFERENTIATION_VTAR,MATCH(A79,PT_DIFFERENTIATION_VTAR_ID,0))</f>
        <v>Тариф на водоотведение</v>
      </c>
      <c r="G79" s="4543" t="str">
        <f>INDEX(PT_DIFFERENTIATION_NTAR,MATCH(B79,PT_DIFFERENTIATION_NTAR_ID,0))</f>
        <v/>
      </c>
      <c r="H79" s="1777"/>
      <c r="I79" s="1656"/>
      <c r="J79" s="1690"/>
      <c r="K79" s="1780"/>
      <c r="L79" s="1777" t="s">
        <v>327</v>
      </c>
      <c r="M79" s="4319"/>
      <c r="N79" s="270"/>
      <c r="O79" s="1542"/>
      <c r="P79" s="1542"/>
      <c r="AH79" s="1549">
        <v>0</v>
      </c>
    </row>
    <row r="80" spans="1:34" s="4133" customFormat="1" ht="18.75" hidden="1" customHeight="1">
      <c r="A80" s="1697"/>
      <c r="B80" s="1697"/>
      <c r="C80" s="304" t="s">
        <v>1188</v>
      </c>
      <c r="D80" s="4569"/>
      <c r="E80" s="4368"/>
      <c r="F80" s="4506"/>
      <c r="G80" s="4543"/>
      <c r="H80" s="1418"/>
      <c r="I80" s="586" t="s">
        <v>1189</v>
      </c>
      <c r="J80" s="506"/>
      <c r="K80" s="1418"/>
      <c r="L80" s="151"/>
      <c r="M80" s="4319"/>
      <c r="N80" s="270"/>
      <c r="O80" s="1542"/>
      <c r="P80" s="1542"/>
      <c r="AH80" s="1549">
        <v>0</v>
      </c>
    </row>
    <row r="81" spans="1:34" s="4133" customFormat="1" ht="0.75" hidden="1" customHeight="1">
      <c r="A81" s="1697"/>
      <c r="B81" s="1697"/>
      <c r="C81" s="304" t="s">
        <v>1194</v>
      </c>
      <c r="D81" s="4569"/>
      <c r="E81" s="4368"/>
      <c r="F81" s="4506"/>
      <c r="G81" s="335"/>
      <c r="H81" s="1418"/>
      <c r="I81" s="586"/>
      <c r="J81" s="506"/>
      <c r="K81" s="1418"/>
      <c r="L81" s="151"/>
      <c r="M81" s="4319"/>
      <c r="N81" s="270"/>
      <c r="O81" s="1542"/>
      <c r="P81" s="1542"/>
      <c r="AH81" s="1549">
        <v>0</v>
      </c>
    </row>
    <row r="82" spans="1:34" s="4133" customFormat="1" ht="18.75" hidden="1" customHeight="1">
      <c r="A82" s="1697" t="s">
        <v>291</v>
      </c>
      <c r="B82" s="1697" t="s">
        <v>292</v>
      </c>
      <c r="C82" s="304"/>
      <c r="D82" s="4569"/>
      <c r="E82" s="4368"/>
      <c r="F82" s="4506" t="str">
        <f>INDEX(PT_DIFFERENTIATION_VTAR,MATCH(A82,PT_DIFFERENTIATION_VTAR_ID,0))</f>
        <v>Тариф на транспортировку сточных вод</v>
      </c>
      <c r="G82" s="4543" t="str">
        <f>INDEX(PT_DIFFERENTIATION_NTAR,MATCH(B82,PT_DIFFERENTIATION_NTAR_ID,0))</f>
        <v/>
      </c>
      <c r="H82" s="1777"/>
      <c r="I82" s="1656"/>
      <c r="J82" s="1690"/>
      <c r="K82" s="1780"/>
      <c r="L82" s="1777" t="s">
        <v>327</v>
      </c>
      <c r="M82" s="4319"/>
      <c r="N82" s="270"/>
      <c r="O82" s="1542"/>
      <c r="P82" s="1542"/>
      <c r="AH82" s="1549">
        <v>0</v>
      </c>
    </row>
    <row r="83" spans="1:34" s="4133" customFormat="1" ht="18.75" hidden="1" customHeight="1">
      <c r="A83" s="1697"/>
      <c r="B83" s="1697"/>
      <c r="C83" s="304" t="s">
        <v>1188</v>
      </c>
      <c r="D83" s="4569"/>
      <c r="E83" s="4368"/>
      <c r="F83" s="4506"/>
      <c r="G83" s="4543"/>
      <c r="H83" s="1418"/>
      <c r="I83" s="586" t="s">
        <v>1189</v>
      </c>
      <c r="J83" s="506"/>
      <c r="K83" s="1418"/>
      <c r="L83" s="151"/>
      <c r="M83" s="4319"/>
      <c r="N83" s="270"/>
      <c r="O83" s="1542"/>
      <c r="P83" s="1542"/>
      <c r="AH83" s="1549">
        <v>0</v>
      </c>
    </row>
    <row r="84" spans="1:34" s="4133" customFormat="1" ht="0.75" hidden="1" customHeight="1">
      <c r="A84" s="1697"/>
      <c r="B84" s="1697"/>
      <c r="C84" s="304" t="s">
        <v>1194</v>
      </c>
      <c r="D84" s="4569"/>
      <c r="E84" s="4368"/>
      <c r="F84" s="4506"/>
      <c r="G84" s="335"/>
      <c r="H84" s="1418"/>
      <c r="I84" s="586"/>
      <c r="J84" s="506"/>
      <c r="K84" s="1418"/>
      <c r="L84" s="151"/>
      <c r="M84" s="4319"/>
      <c r="N84" s="270"/>
      <c r="O84" s="1542"/>
      <c r="P84" s="1542"/>
      <c r="AH84" s="1549">
        <v>0</v>
      </c>
    </row>
    <row r="85" spans="1:34" s="4133" customFormat="1" ht="18.75" hidden="1" customHeight="1">
      <c r="A85" s="1697" t="s">
        <v>296</v>
      </c>
      <c r="B85" s="1697" t="s">
        <v>297</v>
      </c>
      <c r="C85" s="304"/>
      <c r="D85" s="4569"/>
      <c r="E85" s="4368"/>
      <c r="F85" s="4506" t="str">
        <f>INDEX(PT_DIFFERENTIATION_VTAR,MATCH(A85,PT_DIFFERENTIATION_VTAR_ID,0))</f>
        <v>Тариф на подключение (технологическое присоединение) к централизованной системе водоотведения</v>
      </c>
      <c r="G85" s="4543" t="str">
        <f>INDEX(PT_DIFFERENTIATION_NTAR,MATCH(B85,PT_DIFFERENTIATION_NTAR_ID,0))</f>
        <v/>
      </c>
      <c r="H85" s="1777"/>
      <c r="I85" s="1656"/>
      <c r="J85" s="1690"/>
      <c r="K85" s="1780"/>
      <c r="L85" s="1777" t="s">
        <v>327</v>
      </c>
      <c r="M85" s="4319"/>
      <c r="N85" s="270"/>
      <c r="O85" s="1542"/>
      <c r="P85" s="1542"/>
      <c r="AH85" s="1549">
        <v>0</v>
      </c>
    </row>
    <row r="86" spans="1:34" s="4133" customFormat="1" ht="18.75" hidden="1" customHeight="1">
      <c r="A86" s="1697"/>
      <c r="B86" s="1697"/>
      <c r="C86" s="304" t="s">
        <v>1188</v>
      </c>
      <c r="D86" s="4569"/>
      <c r="E86" s="4368"/>
      <c r="F86" s="4506"/>
      <c r="G86" s="4543"/>
      <c r="H86" s="1418"/>
      <c r="I86" s="586" t="s">
        <v>1189</v>
      </c>
      <c r="J86" s="506"/>
      <c r="K86" s="1418"/>
      <c r="L86" s="151"/>
      <c r="M86" s="4319"/>
      <c r="N86" s="270"/>
      <c r="O86" s="1542"/>
      <c r="P86" s="1542"/>
      <c r="AH86" s="1549">
        <v>0</v>
      </c>
    </row>
    <row r="87" spans="1:34" s="4133" customFormat="1" ht="1.1499999999999999" customHeight="1">
      <c r="A87" s="1697"/>
      <c r="B87" s="1697"/>
      <c r="C87" s="304" t="s">
        <v>1194</v>
      </c>
      <c r="D87" s="4569"/>
      <c r="E87" s="4368"/>
      <c r="F87" s="4506"/>
      <c r="G87" s="335"/>
      <c r="H87" s="1418"/>
      <c r="I87" s="586"/>
      <c r="J87" s="506"/>
      <c r="K87" s="1418"/>
      <c r="L87" s="151"/>
      <c r="M87" s="4319"/>
      <c r="N87" s="270"/>
      <c r="O87" s="1542"/>
      <c r="P87" s="1542"/>
      <c r="AH87" s="1549">
        <v>1</v>
      </c>
    </row>
    <row r="88" spans="1:34" ht="19.899999999999999" customHeight="1">
      <c r="A88" s="1697"/>
      <c r="B88" s="1697"/>
      <c r="D88" s="311"/>
      <c r="E88" s="85" t="s">
        <v>114</v>
      </c>
      <c r="F88" s="45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4568"/>
      <c r="H88" s="4568"/>
      <c r="I88" s="4568"/>
      <c r="J88" s="4568"/>
      <c r="K88" s="4568"/>
      <c r="L88" s="4568"/>
      <c r="M88" s="233"/>
      <c r="N88" s="270"/>
      <c r="AH88" s="309">
        <v>19</v>
      </c>
    </row>
    <row r="89" spans="1:34" ht="35.65" customHeight="1">
      <c r="A89" s="1697"/>
      <c r="B89" s="1697"/>
      <c r="D89" s="311"/>
      <c r="E89" s="334"/>
      <c r="F89" s="135" t="s">
        <v>327</v>
      </c>
      <c r="G89" s="135" t="s">
        <v>327</v>
      </c>
      <c r="H89" s="4378" t="s">
        <v>327</v>
      </c>
      <c r="I89" s="4392"/>
      <c r="J89" s="135" t="s">
        <v>327</v>
      </c>
      <c r="K89" s="135" t="s">
        <v>327</v>
      </c>
      <c r="L89" s="336"/>
      <c r="M89" s="281" t="s">
        <v>1195</v>
      </c>
      <c r="N89" s="270"/>
      <c r="AH89" s="309">
        <v>34</v>
      </c>
    </row>
    <row r="90" spans="1:34" ht="19.899999999999999" customHeight="1">
      <c r="A90" s="1697"/>
      <c r="B90" s="1697"/>
      <c r="D90" s="311"/>
      <c r="E90" s="85" t="s">
        <v>94</v>
      </c>
      <c r="F90" s="4568" t="s">
        <v>1196</v>
      </c>
      <c r="G90" s="4568"/>
      <c r="H90" s="4568"/>
      <c r="I90" s="4568"/>
      <c r="J90" s="4568"/>
      <c r="K90" s="4568"/>
      <c r="L90" s="4568"/>
      <c r="M90" s="233"/>
      <c r="N90" s="270"/>
      <c r="AH90" s="309">
        <v>19</v>
      </c>
    </row>
    <row r="91" spans="1:34" s="4133" customFormat="1" ht="60.75" hidden="1" customHeight="1">
      <c r="A91" s="1697" t="s">
        <v>158</v>
      </c>
      <c r="B91" s="1697" t="s">
        <v>159</v>
      </c>
      <c r="C91" s="304"/>
      <c r="D91" s="4569"/>
      <c r="E91" s="4368"/>
      <c r="F91" s="4506"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4543" t="str">
        <f>INDEX(PT_DIFFERENTIATION_NTAR,MATCH(B91,PT_DIFFERENTIATION_NTAR_ID,0))</f>
        <v/>
      </c>
      <c r="H91" s="1777"/>
      <c r="I91" s="1656"/>
      <c r="J91" s="1690"/>
      <c r="K91" s="1695"/>
      <c r="L91" s="1777" t="s">
        <v>327</v>
      </c>
      <c r="M91" s="4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0"/>
      <c r="O91" s="1542"/>
      <c r="P91" s="1542"/>
      <c r="AH91" s="1549">
        <v>0</v>
      </c>
    </row>
    <row r="92" spans="1:34" s="4133" customFormat="1" ht="18.75" hidden="1" customHeight="1">
      <c r="A92" s="1697"/>
      <c r="B92" s="1697"/>
      <c r="C92" s="304" t="s">
        <v>1190</v>
      </c>
      <c r="D92" s="4569"/>
      <c r="E92" s="4368"/>
      <c r="F92" s="4506"/>
      <c r="G92" s="4543"/>
      <c r="H92" s="1418"/>
      <c r="I92" s="586" t="s">
        <v>1189</v>
      </c>
      <c r="J92" s="506"/>
      <c r="K92" s="1418"/>
      <c r="L92" s="151"/>
      <c r="M92" s="4319"/>
      <c r="N92" s="270"/>
      <c r="O92" s="1542"/>
      <c r="P92" s="1542"/>
      <c r="AH92" s="1549">
        <v>0</v>
      </c>
    </row>
    <row r="93" spans="1:34" s="4133" customFormat="1" ht="0.75" hidden="1" customHeight="1">
      <c r="A93" s="1697"/>
      <c r="B93" s="1697"/>
      <c r="C93" s="304" t="s">
        <v>1197</v>
      </c>
      <c r="D93" s="4569"/>
      <c r="E93" s="4368"/>
      <c r="F93" s="4506"/>
      <c r="G93" s="335"/>
      <c r="H93" s="1418"/>
      <c r="I93" s="586"/>
      <c r="J93" s="506"/>
      <c r="K93" s="1418"/>
      <c r="L93" s="151"/>
      <c r="M93" s="4319"/>
      <c r="N93" s="270"/>
      <c r="O93" s="1542"/>
      <c r="P93" s="1542"/>
      <c r="AH93" s="1549">
        <v>0</v>
      </c>
    </row>
    <row r="94" spans="1:34" s="4133" customFormat="1" ht="45" hidden="1" customHeight="1">
      <c r="A94" s="1697" t="s">
        <v>167</v>
      </c>
      <c r="B94" s="1697" t="s">
        <v>168</v>
      </c>
      <c r="C94" s="304"/>
      <c r="D94" s="4569"/>
      <c r="E94" s="4368"/>
      <c r="F94" s="4506"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4543" t="str">
        <f>INDEX(PT_DIFFERENTIATION_NTAR,MATCH(B94,PT_DIFFERENTIATION_NTAR_ID,0))</f>
        <v>Тарифы на тепловую энергию, поставляемую потребителям</v>
      </c>
      <c r="H94" s="1777"/>
      <c r="I94" s="1656"/>
      <c r="J94" s="1690"/>
      <c r="K94" s="1695"/>
      <c r="L94" s="1777" t="s">
        <v>327</v>
      </c>
      <c r="M94" s="4320"/>
      <c r="N94" s="270"/>
      <c r="O94" s="1542"/>
      <c r="P94" s="1542"/>
      <c r="AH94" s="1549">
        <v>0</v>
      </c>
    </row>
    <row r="95" spans="1:34" s="4133" customFormat="1" ht="18.75" hidden="1" customHeight="1">
      <c r="A95" s="1697"/>
      <c r="B95" s="1697"/>
      <c r="C95" s="304" t="s">
        <v>1190</v>
      </c>
      <c r="D95" s="4569"/>
      <c r="E95" s="4368"/>
      <c r="F95" s="4506"/>
      <c r="G95" s="4543"/>
      <c r="H95" s="1418"/>
      <c r="I95" s="586" t="s">
        <v>1189</v>
      </c>
      <c r="J95" s="506"/>
      <c r="K95" s="1418"/>
      <c r="L95" s="151"/>
      <c r="M95" s="1776"/>
      <c r="N95" s="270"/>
      <c r="O95" s="1542"/>
      <c r="P95" s="1542"/>
      <c r="AH95" s="1549">
        <v>0</v>
      </c>
    </row>
    <row r="96" spans="1:34" s="4214" customFormat="1" ht="18.75" customHeight="1">
      <c r="A96" s="2988" t="s">
        <v>167</v>
      </c>
      <c r="B96" s="2988" t="s">
        <v>178</v>
      </c>
      <c r="C96" s="4068"/>
      <c r="D96" s="4570"/>
      <c r="E96" s="4571"/>
      <c r="F96" s="4571"/>
      <c r="G96" s="4543" t="str">
        <f>INDEX(PT_DIFFERENTIATION_NTAR,MATCH(B96,PT_DIFFERENTIATION_NTAR_ID,0))</f>
        <v>Льготные тарифы на тепловую энергию, поставляемую группе потребителей "население"</v>
      </c>
      <c r="H96" s="2526"/>
      <c r="I96" s="4069"/>
      <c r="J96" s="4070"/>
      <c r="K96" s="4084"/>
      <c r="L96" s="2526" t="s">
        <v>327</v>
      </c>
      <c r="M96" s="4072"/>
      <c r="N96" s="4073"/>
      <c r="O96" s="2994"/>
      <c r="P96" s="2994"/>
      <c r="Q96" s="2055"/>
      <c r="R96" s="2055"/>
      <c r="S96" s="2055"/>
      <c r="T96" s="2055"/>
      <c r="U96" s="2055"/>
      <c r="V96" s="2055"/>
      <c r="W96" s="2055"/>
      <c r="X96" s="2055"/>
      <c r="Y96" s="2055"/>
      <c r="Z96" s="2055"/>
      <c r="AA96" s="2055"/>
      <c r="AB96" s="2055"/>
      <c r="AC96" s="2055"/>
      <c r="AD96" s="2055"/>
      <c r="AE96" s="2055"/>
      <c r="AF96" s="2055"/>
      <c r="AG96" s="2055"/>
      <c r="AH96" s="2055">
        <v>0</v>
      </c>
    </row>
    <row r="97" spans="1:34" s="4214" customFormat="1" ht="18.75" customHeight="1">
      <c r="A97" s="2988"/>
      <c r="B97" s="2988"/>
      <c r="C97" s="4068" t="s">
        <v>1190</v>
      </c>
      <c r="D97" s="4570"/>
      <c r="E97" s="4571"/>
      <c r="F97" s="4571"/>
      <c r="G97" s="4543"/>
      <c r="H97" s="4085"/>
      <c r="I97" s="4086" t="s">
        <v>1189</v>
      </c>
      <c r="J97" s="4087"/>
      <c r="K97" s="4088"/>
      <c r="L97" s="4089"/>
      <c r="M97" s="4072"/>
      <c r="N97" s="4073"/>
      <c r="O97" s="2994"/>
      <c r="P97" s="2994"/>
      <c r="Q97" s="2055"/>
      <c r="R97" s="2055"/>
      <c r="S97" s="2055"/>
      <c r="T97" s="2055"/>
      <c r="U97" s="2055"/>
      <c r="V97" s="2055"/>
      <c r="W97" s="2055"/>
      <c r="X97" s="2055"/>
      <c r="Y97" s="2055"/>
      <c r="Z97" s="2055"/>
      <c r="AA97" s="2055"/>
      <c r="AB97" s="2055"/>
      <c r="AC97" s="2055"/>
      <c r="AD97" s="2055"/>
      <c r="AE97" s="2055"/>
      <c r="AF97" s="2055"/>
      <c r="AG97" s="2055"/>
      <c r="AH97" s="2055">
        <v>0</v>
      </c>
    </row>
    <row r="98" spans="1:34" s="4214" customFormat="1" ht="18.75" customHeight="1">
      <c r="A98" s="2988" t="s">
        <v>167</v>
      </c>
      <c r="B98" s="2988" t="s">
        <v>184</v>
      </c>
      <c r="C98" s="4068"/>
      <c r="D98" s="4570"/>
      <c r="E98" s="4571"/>
      <c r="F98" s="4571"/>
      <c r="G98" s="4543" t="str">
        <f>INDEX(PT_DIFFERENTIATION_NTAR,MATCH(B98,PT_DIFFERENTIATION_NTAR_ID,0))</f>
        <v>Льготные тарифы на тепловую энергию, поставляемую группе потребителей "потребители (кроме населения)"</v>
      </c>
      <c r="H98" s="2526"/>
      <c r="I98" s="4069"/>
      <c r="J98" s="4070"/>
      <c r="K98" s="4084"/>
      <c r="L98" s="2526" t="s">
        <v>327</v>
      </c>
      <c r="M98" s="4072"/>
      <c r="N98" s="4073"/>
      <c r="O98" s="2994"/>
      <c r="P98" s="2994"/>
      <c r="Q98" s="2055"/>
      <c r="R98" s="2055"/>
      <c r="S98" s="2055"/>
      <c r="T98" s="2055"/>
      <c r="U98" s="2055"/>
      <c r="V98" s="2055"/>
      <c r="W98" s="2055"/>
      <c r="X98" s="2055"/>
      <c r="Y98" s="2055"/>
      <c r="Z98" s="2055"/>
      <c r="AA98" s="2055"/>
      <c r="AB98" s="2055"/>
      <c r="AC98" s="2055"/>
      <c r="AD98" s="2055"/>
      <c r="AE98" s="2055"/>
      <c r="AF98" s="2055"/>
      <c r="AG98" s="2055"/>
      <c r="AH98" s="2055">
        <v>0</v>
      </c>
    </row>
    <row r="99" spans="1:34" s="4214" customFormat="1" ht="18.75" customHeight="1">
      <c r="A99" s="2988"/>
      <c r="B99" s="2988"/>
      <c r="C99" s="4068" t="s">
        <v>1190</v>
      </c>
      <c r="D99" s="4570"/>
      <c r="E99" s="4571"/>
      <c r="F99" s="4571"/>
      <c r="G99" s="4543"/>
      <c r="H99" s="4090"/>
      <c r="I99" s="4091" t="s">
        <v>1189</v>
      </c>
      <c r="J99" s="4092"/>
      <c r="K99" s="4093"/>
      <c r="L99" s="4094"/>
      <c r="M99" s="4072"/>
      <c r="N99" s="4073"/>
      <c r="O99" s="2994"/>
      <c r="P99" s="2994"/>
      <c r="Q99" s="2055"/>
      <c r="R99" s="2055"/>
      <c r="S99" s="2055"/>
      <c r="T99" s="2055"/>
      <c r="U99" s="2055"/>
      <c r="V99" s="2055"/>
      <c r="W99" s="2055"/>
      <c r="X99" s="2055"/>
      <c r="Y99" s="2055"/>
      <c r="Z99" s="2055"/>
      <c r="AA99" s="2055"/>
      <c r="AB99" s="2055"/>
      <c r="AC99" s="2055"/>
      <c r="AD99" s="2055"/>
      <c r="AE99" s="2055"/>
      <c r="AF99" s="2055"/>
      <c r="AG99" s="2055"/>
      <c r="AH99" s="2055">
        <v>0</v>
      </c>
    </row>
    <row r="100" spans="1:34" s="4133" customFormat="1" ht="0.75" hidden="1" customHeight="1">
      <c r="A100" s="1697"/>
      <c r="B100" s="1697"/>
      <c r="C100" s="304" t="s">
        <v>1197</v>
      </c>
      <c r="D100" s="4569"/>
      <c r="E100" s="4368"/>
      <c r="F100" s="4506"/>
      <c r="G100" s="335"/>
      <c r="H100" s="1418"/>
      <c r="I100" s="586"/>
      <c r="J100" s="506"/>
      <c r="K100" s="1418"/>
      <c r="L100" s="151"/>
      <c r="M100" s="277"/>
      <c r="N100" s="270"/>
      <c r="O100" s="1542"/>
      <c r="P100" s="1542"/>
      <c r="AH100" s="1549">
        <v>0</v>
      </c>
    </row>
    <row r="101" spans="1:34" s="4133" customFormat="1" ht="45" hidden="1" customHeight="1">
      <c r="A101" s="1697" t="s">
        <v>190</v>
      </c>
      <c r="B101" s="1697" t="s">
        <v>191</v>
      </c>
      <c r="C101" s="304"/>
      <c r="D101" s="4569"/>
      <c r="E101" s="4368"/>
      <c r="F101" s="4506" t="str">
        <f>INDEX(PT_DIFFERENTIATION_VTAR,MATCH(A101,PT_DIFFERENTIATION_VTAR_ID,0))</f>
        <v>Тарифы на теплоноситель, поставляемый теплоснабжающими организациями потребителям, другим теплоснабжающим организациям</v>
      </c>
      <c r="G101" s="4543" t="str">
        <f>INDEX(PT_DIFFERENTIATION_NTAR,MATCH(B101,PT_DIFFERENTIATION_NTAR_ID,0))</f>
        <v/>
      </c>
      <c r="H101" s="1777"/>
      <c r="I101" s="1656"/>
      <c r="J101" s="1690"/>
      <c r="K101" s="1695"/>
      <c r="L101" s="1777" t="s">
        <v>327</v>
      </c>
      <c r="M101" s="277"/>
      <c r="N101" s="270"/>
      <c r="O101" s="1542"/>
      <c r="P101" s="1542"/>
      <c r="AH101" s="1549">
        <v>0</v>
      </c>
    </row>
    <row r="102" spans="1:34" s="4133" customFormat="1" ht="18.75" hidden="1" customHeight="1">
      <c r="A102" s="1697"/>
      <c r="B102" s="1697"/>
      <c r="C102" s="304" t="s">
        <v>1190</v>
      </c>
      <c r="D102" s="4569"/>
      <c r="E102" s="4368"/>
      <c r="F102" s="4506"/>
      <c r="G102" s="4543"/>
      <c r="H102" s="1418"/>
      <c r="I102" s="586" t="s">
        <v>1189</v>
      </c>
      <c r="J102" s="506"/>
      <c r="K102" s="1418"/>
      <c r="L102" s="151"/>
      <c r="M102" s="277"/>
      <c r="N102" s="270"/>
      <c r="O102" s="1542"/>
      <c r="P102" s="1542"/>
      <c r="AH102" s="1549">
        <v>0</v>
      </c>
    </row>
    <row r="103" spans="1:34" s="4133" customFormat="1" ht="0.75" hidden="1" customHeight="1">
      <c r="A103" s="1697"/>
      <c r="B103" s="1697"/>
      <c r="C103" s="304" t="s">
        <v>1197</v>
      </c>
      <c r="D103" s="4569"/>
      <c r="E103" s="4368"/>
      <c r="F103" s="4506"/>
      <c r="G103" s="335"/>
      <c r="H103" s="1418"/>
      <c r="I103" s="586"/>
      <c r="J103" s="506"/>
      <c r="K103" s="1418"/>
      <c r="L103" s="151"/>
      <c r="M103" s="277"/>
      <c r="N103" s="270"/>
      <c r="O103" s="1542"/>
      <c r="P103" s="1542"/>
      <c r="AH103" s="1549">
        <v>0</v>
      </c>
    </row>
    <row r="104" spans="1:34" s="4133" customFormat="1" ht="45" hidden="1" customHeight="1">
      <c r="A104" s="1697" t="s">
        <v>196</v>
      </c>
      <c r="B104" s="1697" t="s">
        <v>197</v>
      </c>
      <c r="C104" s="304"/>
      <c r="D104" s="4569"/>
      <c r="E104" s="4368"/>
      <c r="F104" s="4506"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4543" t="str">
        <f>INDEX(PT_DIFFERENTIATION_NTAR,MATCH(B104,PT_DIFFERENTIATION_NTAR_ID,0))</f>
        <v/>
      </c>
      <c r="H104" s="1777"/>
      <c r="I104" s="1656"/>
      <c r="J104" s="1690"/>
      <c r="K104" s="1695"/>
      <c r="L104" s="1777" t="s">
        <v>327</v>
      </c>
      <c r="M104" s="277"/>
      <c r="N104" s="270"/>
      <c r="O104" s="1542"/>
      <c r="P104" s="1542"/>
      <c r="AH104" s="1549">
        <v>0</v>
      </c>
    </row>
    <row r="105" spans="1:34" s="4133" customFormat="1" ht="18.75" hidden="1" customHeight="1">
      <c r="A105" s="1697"/>
      <c r="B105" s="1697"/>
      <c r="C105" s="304" t="s">
        <v>1190</v>
      </c>
      <c r="D105" s="4569"/>
      <c r="E105" s="4368"/>
      <c r="F105" s="4506"/>
      <c r="G105" s="4543"/>
      <c r="H105" s="1418"/>
      <c r="I105" s="586" t="s">
        <v>1189</v>
      </c>
      <c r="J105" s="506"/>
      <c r="K105" s="1418"/>
      <c r="L105" s="151"/>
      <c r="M105" s="277"/>
      <c r="N105" s="270"/>
      <c r="O105" s="1542"/>
      <c r="P105" s="1542"/>
      <c r="AH105" s="1549">
        <v>0</v>
      </c>
    </row>
    <row r="106" spans="1:34" s="4133" customFormat="1" ht="0.75" hidden="1" customHeight="1">
      <c r="A106" s="1697"/>
      <c r="B106" s="1697"/>
      <c r="C106" s="304" t="s">
        <v>1197</v>
      </c>
      <c r="D106" s="4569"/>
      <c r="E106" s="4368"/>
      <c r="F106" s="4506"/>
      <c r="G106" s="335"/>
      <c r="H106" s="1418"/>
      <c r="I106" s="586"/>
      <c r="J106" s="506"/>
      <c r="K106" s="1418"/>
      <c r="L106" s="151"/>
      <c r="M106" s="277"/>
      <c r="N106" s="270"/>
      <c r="O106" s="1542"/>
      <c r="P106" s="1542"/>
      <c r="AH106" s="1549">
        <v>0</v>
      </c>
    </row>
    <row r="107" spans="1:34" s="4133" customFormat="1" ht="18.75" hidden="1" customHeight="1">
      <c r="A107" s="1697" t="s">
        <v>202</v>
      </c>
      <c r="B107" s="1697" t="s">
        <v>203</v>
      </c>
      <c r="C107" s="304"/>
      <c r="D107" s="4569"/>
      <c r="E107" s="4368"/>
      <c r="F107" s="4506" t="str">
        <f>INDEX(PT_DIFFERENTIATION_VTAR,MATCH(A107,PT_DIFFERENTIATION_VTAR_ID,0))</f>
        <v>Тарифы на услуги по передаче тепловой энергии</v>
      </c>
      <c r="G107" s="4543" t="str">
        <f>INDEX(PT_DIFFERENTIATION_NTAR,MATCH(B107,PT_DIFFERENTIATION_NTAR_ID,0))</f>
        <v/>
      </c>
      <c r="H107" s="1777"/>
      <c r="I107" s="1656"/>
      <c r="J107" s="1690"/>
      <c r="K107" s="1695"/>
      <c r="L107" s="1777" t="s">
        <v>327</v>
      </c>
      <c r="M107" s="277"/>
      <c r="N107" s="270"/>
      <c r="O107" s="1542"/>
      <c r="P107" s="1542"/>
      <c r="AH107" s="1549">
        <v>0</v>
      </c>
    </row>
    <row r="108" spans="1:34" s="4133" customFormat="1" ht="18.75" hidden="1" customHeight="1">
      <c r="A108" s="1697"/>
      <c r="B108" s="1697"/>
      <c r="C108" s="304" t="s">
        <v>1190</v>
      </c>
      <c r="D108" s="4569"/>
      <c r="E108" s="4368"/>
      <c r="F108" s="4506"/>
      <c r="G108" s="4543"/>
      <c r="H108" s="1418"/>
      <c r="I108" s="586" t="s">
        <v>1189</v>
      </c>
      <c r="J108" s="506"/>
      <c r="K108" s="1418"/>
      <c r="L108" s="151"/>
      <c r="M108" s="277"/>
      <c r="N108" s="270"/>
      <c r="O108" s="1542"/>
      <c r="P108" s="1542"/>
      <c r="AH108" s="1549">
        <v>0</v>
      </c>
    </row>
    <row r="109" spans="1:34" s="4133" customFormat="1" ht="0.75" hidden="1" customHeight="1">
      <c r="A109" s="1697"/>
      <c r="B109" s="1697"/>
      <c r="C109" s="304" t="s">
        <v>1197</v>
      </c>
      <c r="D109" s="4569"/>
      <c r="E109" s="4368"/>
      <c r="F109" s="4506"/>
      <c r="G109" s="335"/>
      <c r="H109" s="1418"/>
      <c r="I109" s="586"/>
      <c r="J109" s="506"/>
      <c r="K109" s="1418"/>
      <c r="L109" s="151"/>
      <c r="M109" s="277"/>
      <c r="N109" s="270"/>
      <c r="O109" s="1542"/>
      <c r="P109" s="1542"/>
      <c r="AH109" s="1549">
        <v>0</v>
      </c>
    </row>
    <row r="110" spans="1:34" s="4133" customFormat="1" ht="18.75" hidden="1" customHeight="1">
      <c r="A110" s="1697" t="s">
        <v>208</v>
      </c>
      <c r="B110" s="1697" t="s">
        <v>209</v>
      </c>
      <c r="C110" s="304"/>
      <c r="D110" s="4569"/>
      <c r="E110" s="4368"/>
      <c r="F110" s="4506" t="str">
        <f>INDEX(PT_DIFFERENTIATION_VTAR,MATCH(A110,PT_DIFFERENTIATION_VTAR_ID,0))</f>
        <v>Тарифы на услуги по передаче теплоносителя</v>
      </c>
      <c r="G110" s="4543" t="str">
        <f>INDEX(PT_DIFFERENTIATION_NTAR,MATCH(B110,PT_DIFFERENTIATION_NTAR_ID,0))</f>
        <v/>
      </c>
      <c r="H110" s="1777"/>
      <c r="I110" s="1656"/>
      <c r="J110" s="1690"/>
      <c r="K110" s="1695"/>
      <c r="L110" s="1777" t="s">
        <v>327</v>
      </c>
      <c r="M110" s="277"/>
      <c r="N110" s="270"/>
      <c r="O110" s="1542"/>
      <c r="P110" s="1542"/>
      <c r="AH110" s="1549">
        <v>0</v>
      </c>
    </row>
    <row r="111" spans="1:34" s="4133" customFormat="1" ht="18.75" hidden="1" customHeight="1">
      <c r="A111" s="1697"/>
      <c r="B111" s="1697"/>
      <c r="C111" s="304" t="s">
        <v>1190</v>
      </c>
      <c r="D111" s="4569"/>
      <c r="E111" s="4368"/>
      <c r="F111" s="4506"/>
      <c r="G111" s="4543"/>
      <c r="H111" s="1418"/>
      <c r="I111" s="586" t="s">
        <v>1189</v>
      </c>
      <c r="J111" s="506"/>
      <c r="K111" s="1418"/>
      <c r="L111" s="151"/>
      <c r="M111" s="277"/>
      <c r="N111" s="270"/>
      <c r="O111" s="1542"/>
      <c r="P111" s="1542"/>
      <c r="AH111" s="1549">
        <v>0</v>
      </c>
    </row>
    <row r="112" spans="1:34" s="4133" customFormat="1" ht="0.75" hidden="1" customHeight="1">
      <c r="A112" s="1697"/>
      <c r="B112" s="1697"/>
      <c r="C112" s="304" t="s">
        <v>1197</v>
      </c>
      <c r="D112" s="4569"/>
      <c r="E112" s="4368"/>
      <c r="F112" s="4506"/>
      <c r="G112" s="335"/>
      <c r="H112" s="1418"/>
      <c r="I112" s="586"/>
      <c r="J112" s="506"/>
      <c r="K112" s="1418"/>
      <c r="L112" s="151"/>
      <c r="M112" s="277"/>
      <c r="N112" s="270"/>
      <c r="O112" s="1542"/>
      <c r="P112" s="1542"/>
      <c r="AH112" s="1549">
        <v>0</v>
      </c>
    </row>
    <row r="113" spans="1:34" s="4133" customFormat="1" ht="18.75" hidden="1" customHeight="1">
      <c r="A113" s="1697" t="s">
        <v>214</v>
      </c>
      <c r="B113" s="1697" t="s">
        <v>215</v>
      </c>
      <c r="C113" s="304"/>
      <c r="D113" s="4569"/>
      <c r="E113" s="4368"/>
      <c r="F113" s="4506" t="str">
        <f>INDEX(PT_DIFFERENTIATION_VTAR,MATCH(A113,PT_DIFFERENTIATION_VTAR_ID,0))</f>
        <v>Плата за услуги по поддержанию резервной тепловой мощности при отсутствии потребления тепловой энергии</v>
      </c>
      <c r="G113" s="4543" t="str">
        <f>INDEX(PT_DIFFERENTIATION_NTAR,MATCH(B113,PT_DIFFERENTIATION_NTAR_ID,0))</f>
        <v/>
      </c>
      <c r="H113" s="1777"/>
      <c r="I113" s="1656"/>
      <c r="J113" s="1690"/>
      <c r="K113" s="1695"/>
      <c r="L113" s="1777" t="s">
        <v>327</v>
      </c>
      <c r="M113" s="277"/>
      <c r="N113" s="270"/>
      <c r="O113" s="1542"/>
      <c r="P113" s="1542"/>
      <c r="AH113" s="1549">
        <v>0</v>
      </c>
    </row>
    <row r="114" spans="1:34" s="4133" customFormat="1" ht="18.75" hidden="1" customHeight="1">
      <c r="A114" s="1697"/>
      <c r="B114" s="1697"/>
      <c r="C114" s="304" t="s">
        <v>1190</v>
      </c>
      <c r="D114" s="4569"/>
      <c r="E114" s="4368"/>
      <c r="F114" s="4506"/>
      <c r="G114" s="4543"/>
      <c r="H114" s="1418"/>
      <c r="I114" s="586" t="s">
        <v>1189</v>
      </c>
      <c r="J114" s="506"/>
      <c r="K114" s="1418"/>
      <c r="L114" s="151"/>
      <c r="M114" s="277"/>
      <c r="N114" s="270"/>
      <c r="O114" s="1542"/>
      <c r="P114" s="1542"/>
      <c r="AH114" s="1549">
        <v>0</v>
      </c>
    </row>
    <row r="115" spans="1:34" s="4133" customFormat="1" ht="0.75" hidden="1" customHeight="1">
      <c r="A115" s="1697"/>
      <c r="B115" s="1697"/>
      <c r="C115" s="304" t="s">
        <v>1197</v>
      </c>
      <c r="D115" s="4569"/>
      <c r="E115" s="4368"/>
      <c r="F115" s="4506"/>
      <c r="G115" s="335"/>
      <c r="H115" s="1418"/>
      <c r="I115" s="586"/>
      <c r="J115" s="506"/>
      <c r="K115" s="1418"/>
      <c r="L115" s="151"/>
      <c r="M115" s="277"/>
      <c r="N115" s="270"/>
      <c r="O115" s="1542"/>
      <c r="P115" s="1542"/>
      <c r="AH115" s="1549">
        <v>0</v>
      </c>
    </row>
    <row r="116" spans="1:34" s="4133" customFormat="1" ht="18.75" hidden="1" customHeight="1">
      <c r="A116" s="1697" t="s">
        <v>220</v>
      </c>
      <c r="B116" s="1697" t="s">
        <v>221</v>
      </c>
      <c r="C116" s="304"/>
      <c r="D116" s="4569"/>
      <c r="E116" s="4368"/>
      <c r="F116" s="4506" t="str">
        <f>INDEX(PT_DIFFERENTIATION_VTAR,MATCH(A116,PT_DIFFERENTIATION_VTAR_ID,0))</f>
        <v>Плата за подключение (технологическое присоединение) к системе теплоснабжения</v>
      </c>
      <c r="G116" s="4543" t="str">
        <f>INDEX(PT_DIFFERENTIATION_NTAR,MATCH(B116,PT_DIFFERENTIATION_NTAR_ID,0))</f>
        <v/>
      </c>
      <c r="H116" s="1777"/>
      <c r="I116" s="1656"/>
      <c r="J116" s="1690"/>
      <c r="K116" s="1695"/>
      <c r="L116" s="1777" t="s">
        <v>327</v>
      </c>
      <c r="M116" s="277"/>
      <c r="N116" s="270"/>
      <c r="O116" s="1542"/>
      <c r="P116" s="1542"/>
      <c r="AH116" s="1549">
        <v>0</v>
      </c>
    </row>
    <row r="117" spans="1:34" s="4133" customFormat="1" ht="18.75" hidden="1" customHeight="1">
      <c r="A117" s="1697"/>
      <c r="B117" s="1697"/>
      <c r="C117" s="304" t="s">
        <v>1190</v>
      </c>
      <c r="D117" s="4569"/>
      <c r="E117" s="4368"/>
      <c r="F117" s="4506"/>
      <c r="G117" s="4543"/>
      <c r="H117" s="1418"/>
      <c r="I117" s="586" t="s">
        <v>1189</v>
      </c>
      <c r="J117" s="506"/>
      <c r="K117" s="1418"/>
      <c r="L117" s="151"/>
      <c r="M117" s="277"/>
      <c r="N117" s="270"/>
      <c r="O117" s="1542"/>
      <c r="P117" s="1542"/>
      <c r="AH117" s="1549">
        <v>0</v>
      </c>
    </row>
    <row r="118" spans="1:34" s="4133" customFormat="1" ht="0.75" hidden="1" customHeight="1">
      <c r="A118" s="1697"/>
      <c r="B118" s="1697"/>
      <c r="C118" s="304" t="s">
        <v>1197</v>
      </c>
      <c r="D118" s="4569"/>
      <c r="E118" s="4368"/>
      <c r="F118" s="4506"/>
      <c r="G118" s="335"/>
      <c r="H118" s="1418"/>
      <c r="I118" s="586"/>
      <c r="J118" s="506"/>
      <c r="K118" s="1418"/>
      <c r="L118" s="151"/>
      <c r="M118" s="277"/>
      <c r="N118" s="270"/>
      <c r="O118" s="1542"/>
      <c r="P118" s="1542"/>
      <c r="AH118" s="1549">
        <v>0</v>
      </c>
    </row>
    <row r="119" spans="1:34" s="4133" customFormat="1" ht="18.75" hidden="1" customHeight="1">
      <c r="A119" s="1697" t="s">
        <v>226</v>
      </c>
      <c r="B119" s="1697" t="s">
        <v>227</v>
      </c>
      <c r="C119" s="304"/>
      <c r="D119" s="4569"/>
      <c r="E119" s="4368"/>
      <c r="F119" s="4506" t="str">
        <f>INDEX(PT_DIFFERENTIATION_VTAR,MATCH(A119,PT_DIFFERENTIATION_VTAR_ID,0))</f>
        <v>Плата за подключение (технологическое присоединение) к системе теплоснабжения (индивидуальная)</v>
      </c>
      <c r="G119" s="4543" t="str">
        <f>INDEX(PT_DIFFERENTIATION_NTAR,MATCH(B119,PT_DIFFERENTIATION_NTAR_ID,0))</f>
        <v/>
      </c>
      <c r="H119" s="1901"/>
      <c r="I119" s="1656"/>
      <c r="J119" s="1690"/>
      <c r="K119" s="1695"/>
      <c r="L119" s="1901" t="s">
        <v>327</v>
      </c>
      <c r="M119" s="277"/>
      <c r="N119" s="270"/>
      <c r="O119" s="1542"/>
      <c r="P119" s="1542"/>
      <c r="AH119" s="1549">
        <v>0</v>
      </c>
    </row>
    <row r="120" spans="1:34" s="4133" customFormat="1" ht="18.75" hidden="1" customHeight="1">
      <c r="A120" s="1697"/>
      <c r="B120" s="1697"/>
      <c r="C120" s="304" t="s">
        <v>1190</v>
      </c>
      <c r="D120" s="4569"/>
      <c r="E120" s="4368"/>
      <c r="F120" s="4506"/>
      <c r="G120" s="4543"/>
      <c r="H120" s="1418"/>
      <c r="I120" s="586" t="s">
        <v>1189</v>
      </c>
      <c r="J120" s="506"/>
      <c r="K120" s="1418"/>
      <c r="L120" s="151"/>
      <c r="M120" s="277"/>
      <c r="N120" s="270"/>
      <c r="O120" s="1542"/>
      <c r="P120" s="1542"/>
      <c r="AH120" s="1549">
        <v>0</v>
      </c>
    </row>
    <row r="121" spans="1:34" s="4133" customFormat="1" ht="0.75" hidden="1" customHeight="1">
      <c r="A121" s="1697"/>
      <c r="B121" s="1697"/>
      <c r="C121" s="304" t="s">
        <v>1197</v>
      </c>
      <c r="D121" s="4569"/>
      <c r="E121" s="4368"/>
      <c r="F121" s="4506"/>
      <c r="G121" s="335"/>
      <c r="H121" s="1418"/>
      <c r="I121" s="586"/>
      <c r="J121" s="506"/>
      <c r="K121" s="1418"/>
      <c r="L121" s="151"/>
      <c r="M121" s="277"/>
      <c r="N121" s="270"/>
      <c r="O121" s="1542"/>
      <c r="P121" s="1542"/>
      <c r="AH121" s="1549">
        <v>0</v>
      </c>
    </row>
    <row r="122" spans="1:34" s="4133" customFormat="1" ht="18.75" hidden="1" customHeight="1">
      <c r="A122" s="1697" t="s">
        <v>246</v>
      </c>
      <c r="B122" s="1697" t="s">
        <v>247</v>
      </c>
      <c r="C122" s="304"/>
      <c r="D122" s="4569"/>
      <c r="E122" s="4368"/>
      <c r="F122" s="4506" t="str">
        <f>INDEX(PT_DIFFERENTIATION_VTAR,MATCH(A122,PT_DIFFERENTIATION_VTAR_ID,0))</f>
        <v>Тариф на питьевую воду (питьевое водоснабжение)</v>
      </c>
      <c r="G122" s="4543" t="str">
        <f>INDEX(PT_DIFFERENTIATION_NTAR,MATCH(B122,PT_DIFFERENTIATION_NTAR_ID,0))</f>
        <v/>
      </c>
      <c r="H122" s="1777"/>
      <c r="I122" s="1656"/>
      <c r="J122" s="1690"/>
      <c r="K122" s="1695"/>
      <c r="L122" s="1777" t="s">
        <v>327</v>
      </c>
      <c r="M122" s="277"/>
      <c r="N122" s="270"/>
      <c r="O122" s="1542"/>
      <c r="P122" s="1542"/>
      <c r="AH122" s="1549">
        <v>0</v>
      </c>
    </row>
    <row r="123" spans="1:34" s="4133" customFormat="1" ht="18.75" hidden="1" customHeight="1">
      <c r="A123" s="1697"/>
      <c r="B123" s="1697"/>
      <c r="C123" s="304" t="s">
        <v>1190</v>
      </c>
      <c r="D123" s="4569"/>
      <c r="E123" s="4368"/>
      <c r="F123" s="4506"/>
      <c r="G123" s="4543"/>
      <c r="H123" s="1418"/>
      <c r="I123" s="586" t="s">
        <v>1189</v>
      </c>
      <c r="J123" s="506"/>
      <c r="K123" s="1418"/>
      <c r="L123" s="151"/>
      <c r="M123" s="277"/>
      <c r="N123" s="270"/>
      <c r="O123" s="1542"/>
      <c r="P123" s="1542"/>
      <c r="AH123" s="1549">
        <v>0</v>
      </c>
    </row>
    <row r="124" spans="1:34" s="4133" customFormat="1" ht="0.75" hidden="1" customHeight="1">
      <c r="A124" s="1697"/>
      <c r="B124" s="1697"/>
      <c r="C124" s="304" t="s">
        <v>1197</v>
      </c>
      <c r="D124" s="4569"/>
      <c r="E124" s="4368"/>
      <c r="F124" s="4506"/>
      <c r="G124" s="335"/>
      <c r="H124" s="1418"/>
      <c r="I124" s="586"/>
      <c r="J124" s="506"/>
      <c r="K124" s="1418"/>
      <c r="L124" s="151"/>
      <c r="M124" s="277"/>
      <c r="N124" s="270"/>
      <c r="O124" s="1542"/>
      <c r="P124" s="1542"/>
      <c r="AH124" s="1549">
        <v>0</v>
      </c>
    </row>
    <row r="125" spans="1:34" s="4133" customFormat="1" ht="18.75" hidden="1" customHeight="1">
      <c r="A125" s="1697" t="s">
        <v>251</v>
      </c>
      <c r="B125" s="1697" t="s">
        <v>252</v>
      </c>
      <c r="C125" s="304"/>
      <c r="D125" s="4569"/>
      <c r="E125" s="4368"/>
      <c r="F125" s="4506" t="str">
        <f>INDEX(PT_DIFFERENTIATION_VTAR,MATCH(A125,PT_DIFFERENTIATION_VTAR_ID,0))</f>
        <v>Тариф на техническую воду</v>
      </c>
      <c r="G125" s="4543" t="str">
        <f>INDEX(PT_DIFFERENTIATION_NTAR,MATCH(B125,PT_DIFFERENTIATION_NTAR_ID,0))</f>
        <v/>
      </c>
      <c r="H125" s="1777"/>
      <c r="I125" s="1656"/>
      <c r="J125" s="1690"/>
      <c r="K125" s="1695"/>
      <c r="L125" s="1777" t="s">
        <v>327</v>
      </c>
      <c r="M125" s="277"/>
      <c r="N125" s="270"/>
      <c r="O125" s="1542"/>
      <c r="P125" s="1542"/>
      <c r="AH125" s="1549">
        <v>0</v>
      </c>
    </row>
    <row r="126" spans="1:34" s="4133" customFormat="1" ht="18.75" hidden="1" customHeight="1">
      <c r="A126" s="1697"/>
      <c r="B126" s="1697"/>
      <c r="C126" s="304" t="s">
        <v>1190</v>
      </c>
      <c r="D126" s="4569"/>
      <c r="E126" s="4368"/>
      <c r="F126" s="4506"/>
      <c r="G126" s="4543"/>
      <c r="H126" s="1418"/>
      <c r="I126" s="586" t="s">
        <v>1189</v>
      </c>
      <c r="J126" s="506"/>
      <c r="K126" s="1418"/>
      <c r="L126" s="151"/>
      <c r="M126" s="277"/>
      <c r="N126" s="270"/>
      <c r="O126" s="1542"/>
      <c r="P126" s="1542"/>
      <c r="AH126" s="1549">
        <v>0</v>
      </c>
    </row>
    <row r="127" spans="1:34" s="4133" customFormat="1" ht="0.75" hidden="1" customHeight="1">
      <c r="A127" s="1697"/>
      <c r="B127" s="1697"/>
      <c r="C127" s="304" t="s">
        <v>1197</v>
      </c>
      <c r="D127" s="4569"/>
      <c r="E127" s="4368"/>
      <c r="F127" s="4506"/>
      <c r="G127" s="335"/>
      <c r="H127" s="1418"/>
      <c r="I127" s="586"/>
      <c r="J127" s="506"/>
      <c r="K127" s="1418"/>
      <c r="L127" s="151"/>
      <c r="M127" s="277"/>
      <c r="N127" s="270"/>
      <c r="O127" s="1542"/>
      <c r="P127" s="1542"/>
      <c r="AH127" s="1549">
        <v>0</v>
      </c>
    </row>
    <row r="128" spans="1:34" s="4133" customFormat="1" ht="18.75" hidden="1" customHeight="1">
      <c r="A128" s="1697" t="s">
        <v>256</v>
      </c>
      <c r="B128" s="1697" t="s">
        <v>257</v>
      </c>
      <c r="C128" s="304"/>
      <c r="D128" s="4569"/>
      <c r="E128" s="4368"/>
      <c r="F128" s="4506" t="str">
        <f>INDEX(PT_DIFFERENTIATION_VTAR,MATCH(A128,PT_DIFFERENTIATION_VTAR_ID,0))</f>
        <v>Тариф на транспортировку воды</v>
      </c>
      <c r="G128" s="4543" t="str">
        <f>INDEX(PT_DIFFERENTIATION_NTAR,MATCH(B128,PT_DIFFERENTIATION_NTAR_ID,0))</f>
        <v/>
      </c>
      <c r="H128" s="1777"/>
      <c r="I128" s="1656"/>
      <c r="J128" s="1690"/>
      <c r="K128" s="1695"/>
      <c r="L128" s="1777" t="s">
        <v>327</v>
      </c>
      <c r="M128" s="277"/>
      <c r="N128" s="270"/>
      <c r="O128" s="1542"/>
      <c r="P128" s="1542"/>
      <c r="AH128" s="1549">
        <v>0</v>
      </c>
    </row>
    <row r="129" spans="1:34" s="4133" customFormat="1" ht="18.75" hidden="1" customHeight="1">
      <c r="A129" s="1697"/>
      <c r="B129" s="1697"/>
      <c r="C129" s="304" t="s">
        <v>1190</v>
      </c>
      <c r="D129" s="4569"/>
      <c r="E129" s="4368"/>
      <c r="F129" s="4506"/>
      <c r="G129" s="4543"/>
      <c r="H129" s="1418"/>
      <c r="I129" s="586" t="s">
        <v>1189</v>
      </c>
      <c r="J129" s="506"/>
      <c r="K129" s="1418"/>
      <c r="L129" s="151"/>
      <c r="M129" s="277"/>
      <c r="N129" s="270"/>
      <c r="O129" s="1542"/>
      <c r="P129" s="1542"/>
      <c r="AH129" s="1549">
        <v>0</v>
      </c>
    </row>
    <row r="130" spans="1:34" s="4133" customFormat="1" ht="0.75" hidden="1" customHeight="1">
      <c r="A130" s="1697"/>
      <c r="B130" s="1697"/>
      <c r="C130" s="304" t="s">
        <v>1197</v>
      </c>
      <c r="D130" s="4569"/>
      <c r="E130" s="4368"/>
      <c r="F130" s="4506"/>
      <c r="G130" s="335"/>
      <c r="H130" s="1418"/>
      <c r="I130" s="586"/>
      <c r="J130" s="506"/>
      <c r="K130" s="1418"/>
      <c r="L130" s="151"/>
      <c r="M130" s="277"/>
      <c r="N130" s="270"/>
      <c r="O130" s="1542"/>
      <c r="P130" s="1542"/>
      <c r="AH130" s="1549">
        <v>0</v>
      </c>
    </row>
    <row r="131" spans="1:34" s="4133" customFormat="1" ht="18.75" hidden="1" customHeight="1">
      <c r="A131" s="1697" t="s">
        <v>261</v>
      </c>
      <c r="B131" s="1697" t="s">
        <v>262</v>
      </c>
      <c r="C131" s="304"/>
      <c r="D131" s="4569"/>
      <c r="E131" s="4368"/>
      <c r="F131" s="4506" t="str">
        <f>INDEX(PT_DIFFERENTIATION_VTAR,MATCH(A131,PT_DIFFERENTIATION_VTAR_ID,0))</f>
        <v>Тариф на подвоз воды</v>
      </c>
      <c r="G131" s="4543" t="str">
        <f>INDEX(PT_DIFFERENTIATION_NTAR,MATCH(B131,PT_DIFFERENTIATION_NTAR_ID,0))</f>
        <v/>
      </c>
      <c r="H131" s="1777"/>
      <c r="I131" s="1656"/>
      <c r="J131" s="1690"/>
      <c r="K131" s="1695"/>
      <c r="L131" s="1777" t="s">
        <v>327</v>
      </c>
      <c r="M131" s="277"/>
      <c r="N131" s="270"/>
      <c r="O131" s="1542"/>
      <c r="P131" s="1542"/>
      <c r="AH131" s="1549">
        <v>0</v>
      </c>
    </row>
    <row r="132" spans="1:34" s="4133" customFormat="1" ht="18.75" hidden="1" customHeight="1">
      <c r="A132" s="1697"/>
      <c r="B132" s="1697"/>
      <c r="C132" s="304" t="s">
        <v>1190</v>
      </c>
      <c r="D132" s="4569"/>
      <c r="E132" s="4368"/>
      <c r="F132" s="4506"/>
      <c r="G132" s="4543"/>
      <c r="H132" s="1418"/>
      <c r="I132" s="586" t="s">
        <v>1189</v>
      </c>
      <c r="J132" s="506"/>
      <c r="K132" s="1418"/>
      <c r="L132" s="151"/>
      <c r="M132" s="277"/>
      <c r="N132" s="270"/>
      <c r="O132" s="1542"/>
      <c r="P132" s="1542"/>
      <c r="AH132" s="1549">
        <v>0</v>
      </c>
    </row>
    <row r="133" spans="1:34" s="4133" customFormat="1" ht="0.75" hidden="1" customHeight="1">
      <c r="A133" s="1697"/>
      <c r="B133" s="1697"/>
      <c r="C133" s="304" t="s">
        <v>1197</v>
      </c>
      <c r="D133" s="4569"/>
      <c r="E133" s="4368"/>
      <c r="F133" s="4506"/>
      <c r="G133" s="335"/>
      <c r="H133" s="1418"/>
      <c r="I133" s="586"/>
      <c r="J133" s="506"/>
      <c r="K133" s="1418"/>
      <c r="L133" s="151"/>
      <c r="M133" s="277"/>
      <c r="N133" s="270"/>
      <c r="O133" s="1542"/>
      <c r="P133" s="1542"/>
      <c r="AH133" s="1549">
        <v>0</v>
      </c>
    </row>
    <row r="134" spans="1:34" s="4133" customFormat="1" ht="18.75" hidden="1" customHeight="1">
      <c r="A134" s="1697" t="s">
        <v>266</v>
      </c>
      <c r="B134" s="1697" t="s">
        <v>267</v>
      </c>
      <c r="C134" s="304"/>
      <c r="D134" s="4569"/>
      <c r="E134" s="4368"/>
      <c r="F134" s="4506"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4543" t="str">
        <f>INDEX(PT_DIFFERENTIATION_NTAR,MATCH(B134,PT_DIFFERENTIATION_NTAR_ID,0))</f>
        <v/>
      </c>
      <c r="H134" s="1777"/>
      <c r="I134" s="1656"/>
      <c r="J134" s="1690"/>
      <c r="K134" s="1695"/>
      <c r="L134" s="1777" t="s">
        <v>327</v>
      </c>
      <c r="M134" s="277"/>
      <c r="N134" s="270"/>
      <c r="O134" s="1542"/>
      <c r="P134" s="1542"/>
      <c r="AH134" s="1549">
        <v>0</v>
      </c>
    </row>
    <row r="135" spans="1:34" s="4133" customFormat="1" ht="18.75" hidden="1" customHeight="1">
      <c r="A135" s="1697"/>
      <c r="B135" s="1697"/>
      <c r="C135" s="304" t="s">
        <v>1190</v>
      </c>
      <c r="D135" s="4569"/>
      <c r="E135" s="4368"/>
      <c r="F135" s="4506"/>
      <c r="G135" s="4543"/>
      <c r="H135" s="1418"/>
      <c r="I135" s="586" t="s">
        <v>1189</v>
      </c>
      <c r="J135" s="506"/>
      <c r="K135" s="1418"/>
      <c r="L135" s="151"/>
      <c r="M135" s="277"/>
      <c r="N135" s="270"/>
      <c r="O135" s="1542"/>
      <c r="P135" s="1542"/>
      <c r="AH135" s="1549">
        <v>0</v>
      </c>
    </row>
    <row r="136" spans="1:34" s="4133" customFormat="1" ht="0.75" hidden="1" customHeight="1">
      <c r="A136" s="1697"/>
      <c r="B136" s="1697"/>
      <c r="C136" s="304" t="s">
        <v>1197</v>
      </c>
      <c r="D136" s="4569"/>
      <c r="E136" s="4368"/>
      <c r="F136" s="4506"/>
      <c r="G136" s="335"/>
      <c r="H136" s="1418"/>
      <c r="I136" s="586"/>
      <c r="J136" s="506"/>
      <c r="K136" s="1418"/>
      <c r="L136" s="151"/>
      <c r="M136" s="277"/>
      <c r="N136" s="270"/>
      <c r="O136" s="1542"/>
      <c r="P136" s="1542"/>
      <c r="AH136" s="1549">
        <v>0</v>
      </c>
    </row>
    <row r="137" spans="1:34" s="4133" customFormat="1" ht="18.75" hidden="1" customHeight="1">
      <c r="A137" s="1697" t="s">
        <v>271</v>
      </c>
      <c r="B137" s="1697" t="s">
        <v>272</v>
      </c>
      <c r="C137" s="304"/>
      <c r="D137" s="4569"/>
      <c r="E137" s="4368"/>
      <c r="F137" s="4506" t="str">
        <f>INDEX(PT_DIFFERENTIATION_VTAR,MATCH(A137,PT_DIFFERENTIATION_VTAR_ID,0))</f>
        <v>Тариф на горячую воду (горячее водоснабжение)</v>
      </c>
      <c r="G137" s="4543" t="str">
        <f>INDEX(PT_DIFFERENTIATION_NTAR,MATCH(B137,PT_DIFFERENTIATION_NTAR_ID,0))</f>
        <v/>
      </c>
      <c r="H137" s="1777"/>
      <c r="I137" s="1656"/>
      <c r="J137" s="1690"/>
      <c r="K137" s="1695"/>
      <c r="L137" s="1777" t="s">
        <v>327</v>
      </c>
      <c r="M137" s="277"/>
      <c r="N137" s="270"/>
      <c r="O137" s="1542"/>
      <c r="P137" s="1542"/>
      <c r="AH137" s="1549">
        <v>0</v>
      </c>
    </row>
    <row r="138" spans="1:34" s="4133" customFormat="1" ht="18.75" hidden="1" customHeight="1">
      <c r="A138" s="1697"/>
      <c r="B138" s="1697"/>
      <c r="C138" s="304" t="s">
        <v>1190</v>
      </c>
      <c r="D138" s="4569"/>
      <c r="E138" s="4368"/>
      <c r="F138" s="4506"/>
      <c r="G138" s="4543"/>
      <c r="H138" s="1418"/>
      <c r="I138" s="586" t="s">
        <v>1189</v>
      </c>
      <c r="J138" s="506"/>
      <c r="K138" s="1418"/>
      <c r="L138" s="151"/>
      <c r="M138" s="277"/>
      <c r="N138" s="270"/>
      <c r="O138" s="1542"/>
      <c r="P138" s="1542"/>
      <c r="AH138" s="1549">
        <v>0</v>
      </c>
    </row>
    <row r="139" spans="1:34" s="4133" customFormat="1" ht="0.75" hidden="1" customHeight="1">
      <c r="A139" s="1697"/>
      <c r="B139" s="1697"/>
      <c r="C139" s="304" t="s">
        <v>1197</v>
      </c>
      <c r="D139" s="4569"/>
      <c r="E139" s="4368"/>
      <c r="F139" s="4506"/>
      <c r="G139" s="335"/>
      <c r="H139" s="1418"/>
      <c r="I139" s="586"/>
      <c r="J139" s="506"/>
      <c r="K139" s="1418"/>
      <c r="L139" s="151"/>
      <c r="M139" s="277"/>
      <c r="N139" s="270"/>
      <c r="O139" s="1542"/>
      <c r="P139" s="1542"/>
      <c r="AH139" s="1549">
        <v>0</v>
      </c>
    </row>
    <row r="140" spans="1:34" s="4133" customFormat="1" ht="18.75" hidden="1" customHeight="1">
      <c r="A140" s="1697" t="s">
        <v>276</v>
      </c>
      <c r="B140" s="1697" t="s">
        <v>277</v>
      </c>
      <c r="C140" s="304"/>
      <c r="D140" s="4569"/>
      <c r="E140" s="4368"/>
      <c r="F140" s="4506" t="str">
        <f>INDEX(PT_DIFFERENTIATION_VTAR,MATCH(A140,PT_DIFFERENTIATION_VTAR_ID,0))</f>
        <v>Тариф на транспортировку горячей воды</v>
      </c>
      <c r="G140" s="4543" t="str">
        <f>INDEX(PT_DIFFERENTIATION_NTAR,MATCH(B140,PT_DIFFERENTIATION_NTAR_ID,0))</f>
        <v/>
      </c>
      <c r="H140" s="1777"/>
      <c r="I140" s="1656"/>
      <c r="J140" s="1690"/>
      <c r="K140" s="1695"/>
      <c r="L140" s="1777" t="s">
        <v>327</v>
      </c>
      <c r="M140" s="277"/>
      <c r="N140" s="270"/>
      <c r="O140" s="1542"/>
      <c r="P140" s="1542"/>
      <c r="AH140" s="1549">
        <v>0</v>
      </c>
    </row>
    <row r="141" spans="1:34" s="4133" customFormat="1" ht="18.75" hidden="1" customHeight="1">
      <c r="A141" s="1697"/>
      <c r="B141" s="1697"/>
      <c r="C141" s="304" t="s">
        <v>1190</v>
      </c>
      <c r="D141" s="4569"/>
      <c r="E141" s="4368"/>
      <c r="F141" s="4506"/>
      <c r="G141" s="4543"/>
      <c r="H141" s="1418"/>
      <c r="I141" s="586" t="s">
        <v>1189</v>
      </c>
      <c r="J141" s="506"/>
      <c r="K141" s="1418"/>
      <c r="L141" s="151"/>
      <c r="M141" s="277"/>
      <c r="N141" s="270"/>
      <c r="O141" s="1542"/>
      <c r="P141" s="1542"/>
      <c r="AH141" s="1549">
        <v>0</v>
      </c>
    </row>
    <row r="142" spans="1:34" s="4133" customFormat="1" ht="0.75" hidden="1" customHeight="1">
      <c r="A142" s="1697"/>
      <c r="B142" s="1697"/>
      <c r="C142" s="304" t="s">
        <v>1197</v>
      </c>
      <c r="D142" s="4569"/>
      <c r="E142" s="4368"/>
      <c r="F142" s="4506"/>
      <c r="G142" s="335"/>
      <c r="H142" s="1418"/>
      <c r="I142" s="586"/>
      <c r="J142" s="506"/>
      <c r="K142" s="1418"/>
      <c r="L142" s="151"/>
      <c r="M142" s="277"/>
      <c r="N142" s="270"/>
      <c r="O142" s="1542"/>
      <c r="P142" s="1542"/>
      <c r="AH142" s="1549">
        <v>0</v>
      </c>
    </row>
    <row r="143" spans="1:34" s="4133" customFormat="1" ht="18.75" hidden="1" customHeight="1">
      <c r="A143" s="1697" t="s">
        <v>281</v>
      </c>
      <c r="B143" s="1697" t="s">
        <v>282</v>
      </c>
      <c r="C143" s="304"/>
      <c r="D143" s="4569"/>
      <c r="E143" s="4368"/>
      <c r="F143" s="4506" t="str">
        <f>INDEX(PT_DIFFERENTIATION_VTAR,MATCH(A143,PT_DIFFERENTIATION_VTAR_ID,0))</f>
        <v>Тариф на подключение (технологическое присоединение) к централизованной системе горячего водоснабжения</v>
      </c>
      <c r="G143" s="4543" t="str">
        <f>INDEX(PT_DIFFERENTIATION_NTAR,MATCH(B143,PT_DIFFERENTIATION_NTAR_ID,0))</f>
        <v/>
      </c>
      <c r="H143" s="1777"/>
      <c r="I143" s="1656"/>
      <c r="J143" s="1690"/>
      <c r="K143" s="1695"/>
      <c r="L143" s="1777" t="s">
        <v>327</v>
      </c>
      <c r="M143" s="277"/>
      <c r="N143" s="270"/>
      <c r="O143" s="1542"/>
      <c r="P143" s="1542"/>
      <c r="AH143" s="1549">
        <v>0</v>
      </c>
    </row>
    <row r="144" spans="1:34" s="4133" customFormat="1" ht="18.75" hidden="1" customHeight="1">
      <c r="A144" s="1697"/>
      <c r="B144" s="1697"/>
      <c r="C144" s="304" t="s">
        <v>1190</v>
      </c>
      <c r="D144" s="4569"/>
      <c r="E144" s="4368"/>
      <c r="F144" s="4506"/>
      <c r="G144" s="4543"/>
      <c r="H144" s="1418"/>
      <c r="I144" s="586" t="s">
        <v>1189</v>
      </c>
      <c r="J144" s="506"/>
      <c r="K144" s="1418"/>
      <c r="L144" s="151"/>
      <c r="M144" s="277"/>
      <c r="N144" s="270"/>
      <c r="O144" s="1542"/>
      <c r="P144" s="1542"/>
      <c r="AH144" s="1549">
        <v>0</v>
      </c>
    </row>
    <row r="145" spans="1:34" s="4133" customFormat="1" ht="0.75" hidden="1" customHeight="1">
      <c r="A145" s="1697"/>
      <c r="B145" s="1697"/>
      <c r="C145" s="304" t="s">
        <v>1197</v>
      </c>
      <c r="D145" s="4569"/>
      <c r="E145" s="4368"/>
      <c r="F145" s="4506"/>
      <c r="G145" s="335"/>
      <c r="H145" s="1418"/>
      <c r="I145" s="586"/>
      <c r="J145" s="506"/>
      <c r="K145" s="1418"/>
      <c r="L145" s="151"/>
      <c r="M145" s="277"/>
      <c r="N145" s="270"/>
      <c r="O145" s="1542"/>
      <c r="P145" s="1542"/>
      <c r="AH145" s="1549">
        <v>0</v>
      </c>
    </row>
    <row r="146" spans="1:34" s="4133" customFormat="1" ht="18.75" hidden="1" customHeight="1">
      <c r="A146" s="1697" t="s">
        <v>286</v>
      </c>
      <c r="B146" s="1697" t="s">
        <v>287</v>
      </c>
      <c r="C146" s="304"/>
      <c r="D146" s="4569"/>
      <c r="E146" s="4368"/>
      <c r="F146" s="4506" t="str">
        <f>INDEX(PT_DIFFERENTIATION_VTAR,MATCH(A146,PT_DIFFERENTIATION_VTAR_ID,0))</f>
        <v>Тариф на водоотведение</v>
      </c>
      <c r="G146" s="4543" t="str">
        <f>INDEX(PT_DIFFERENTIATION_NTAR,MATCH(B146,PT_DIFFERENTIATION_NTAR_ID,0))</f>
        <v/>
      </c>
      <c r="H146" s="1777"/>
      <c r="I146" s="1656"/>
      <c r="J146" s="1690"/>
      <c r="K146" s="1695"/>
      <c r="L146" s="1777" t="s">
        <v>327</v>
      </c>
      <c r="M146" s="277"/>
      <c r="N146" s="270"/>
      <c r="O146" s="1542"/>
      <c r="P146" s="1542"/>
      <c r="AH146" s="1549">
        <v>0</v>
      </c>
    </row>
    <row r="147" spans="1:34" s="4133" customFormat="1" ht="18.75" hidden="1" customHeight="1">
      <c r="A147" s="1697"/>
      <c r="B147" s="1697"/>
      <c r="C147" s="304" t="s">
        <v>1190</v>
      </c>
      <c r="D147" s="4569"/>
      <c r="E147" s="4368"/>
      <c r="F147" s="4506"/>
      <c r="G147" s="4543"/>
      <c r="H147" s="1418"/>
      <c r="I147" s="586" t="s">
        <v>1189</v>
      </c>
      <c r="J147" s="506"/>
      <c r="K147" s="1418"/>
      <c r="L147" s="151"/>
      <c r="M147" s="277"/>
      <c r="N147" s="270"/>
      <c r="O147" s="1542"/>
      <c r="P147" s="1542"/>
      <c r="AH147" s="1549">
        <v>0</v>
      </c>
    </row>
    <row r="148" spans="1:34" s="4133" customFormat="1" ht="0.75" hidden="1" customHeight="1">
      <c r="A148" s="1697"/>
      <c r="B148" s="1697"/>
      <c r="C148" s="304" t="s">
        <v>1197</v>
      </c>
      <c r="D148" s="4569"/>
      <c r="E148" s="4368"/>
      <c r="F148" s="4506"/>
      <c r="G148" s="335"/>
      <c r="H148" s="1418"/>
      <c r="I148" s="586"/>
      <c r="J148" s="506"/>
      <c r="K148" s="1418"/>
      <c r="L148" s="151"/>
      <c r="M148" s="277"/>
      <c r="N148" s="270"/>
      <c r="O148" s="1542"/>
      <c r="P148" s="1542"/>
      <c r="AH148" s="1549">
        <v>0</v>
      </c>
    </row>
    <row r="149" spans="1:34" s="4133" customFormat="1" ht="18.75" hidden="1" customHeight="1">
      <c r="A149" s="1697" t="s">
        <v>291</v>
      </c>
      <c r="B149" s="1697" t="s">
        <v>292</v>
      </c>
      <c r="C149" s="304"/>
      <c r="D149" s="4569"/>
      <c r="E149" s="4368"/>
      <c r="F149" s="4506" t="str">
        <f>INDEX(PT_DIFFERENTIATION_VTAR,MATCH(A149,PT_DIFFERENTIATION_VTAR_ID,0))</f>
        <v>Тариф на транспортировку сточных вод</v>
      </c>
      <c r="G149" s="4543" t="str">
        <f>INDEX(PT_DIFFERENTIATION_NTAR,MATCH(B149,PT_DIFFERENTIATION_NTAR_ID,0))</f>
        <v/>
      </c>
      <c r="H149" s="1777"/>
      <c r="I149" s="1656"/>
      <c r="J149" s="1690"/>
      <c r="K149" s="1695"/>
      <c r="L149" s="1777" t="s">
        <v>327</v>
      </c>
      <c r="M149" s="277"/>
      <c r="N149" s="270"/>
      <c r="O149" s="1542"/>
      <c r="P149" s="1542"/>
      <c r="AH149" s="1549">
        <v>0</v>
      </c>
    </row>
    <row r="150" spans="1:34" s="4133" customFormat="1" ht="18.75" hidden="1" customHeight="1">
      <c r="A150" s="1697"/>
      <c r="B150" s="1697"/>
      <c r="C150" s="304" t="s">
        <v>1190</v>
      </c>
      <c r="D150" s="4569"/>
      <c r="E150" s="4368"/>
      <c r="F150" s="4506"/>
      <c r="G150" s="4543"/>
      <c r="H150" s="1418"/>
      <c r="I150" s="586" t="s">
        <v>1189</v>
      </c>
      <c r="J150" s="506"/>
      <c r="K150" s="1418"/>
      <c r="L150" s="151"/>
      <c r="M150" s="277"/>
      <c r="N150" s="270"/>
      <c r="O150" s="1542"/>
      <c r="P150" s="1542"/>
      <c r="AH150" s="1549">
        <v>0</v>
      </c>
    </row>
    <row r="151" spans="1:34" s="4133" customFormat="1" ht="0.75" hidden="1" customHeight="1">
      <c r="A151" s="1697"/>
      <c r="B151" s="1697"/>
      <c r="C151" s="304" t="s">
        <v>1197</v>
      </c>
      <c r="D151" s="4569"/>
      <c r="E151" s="4368"/>
      <c r="F151" s="4506"/>
      <c r="G151" s="335"/>
      <c r="H151" s="1418"/>
      <c r="I151" s="586"/>
      <c r="J151" s="506"/>
      <c r="K151" s="1418"/>
      <c r="L151" s="151"/>
      <c r="M151" s="277"/>
      <c r="N151" s="270"/>
      <c r="O151" s="1542"/>
      <c r="P151" s="1542"/>
      <c r="AH151" s="1549">
        <v>0</v>
      </c>
    </row>
    <row r="152" spans="1:34" s="4133" customFormat="1" ht="18.75" hidden="1" customHeight="1">
      <c r="A152" s="1697" t="s">
        <v>296</v>
      </c>
      <c r="B152" s="1697" t="s">
        <v>297</v>
      </c>
      <c r="C152" s="304"/>
      <c r="D152" s="4569"/>
      <c r="E152" s="4368"/>
      <c r="F152" s="4506" t="str">
        <f>INDEX(PT_DIFFERENTIATION_VTAR,MATCH(A152,PT_DIFFERENTIATION_VTAR_ID,0))</f>
        <v>Тариф на подключение (технологическое присоединение) к централизованной системе водоотведения</v>
      </c>
      <c r="G152" s="4543" t="str">
        <f>INDEX(PT_DIFFERENTIATION_NTAR,MATCH(B152,PT_DIFFERENTIATION_NTAR_ID,0))</f>
        <v/>
      </c>
      <c r="H152" s="1777"/>
      <c r="I152" s="1656"/>
      <c r="J152" s="1690"/>
      <c r="K152" s="1695"/>
      <c r="L152" s="1777" t="s">
        <v>327</v>
      </c>
      <c r="M152" s="277"/>
      <c r="N152" s="270"/>
      <c r="O152" s="1542"/>
      <c r="P152" s="1542"/>
      <c r="AH152" s="1549">
        <v>0</v>
      </c>
    </row>
    <row r="153" spans="1:34" s="4133" customFormat="1" ht="18.75" hidden="1" customHeight="1">
      <c r="A153" s="1697"/>
      <c r="B153" s="1697"/>
      <c r="C153" s="304" t="s">
        <v>1190</v>
      </c>
      <c r="D153" s="4569"/>
      <c r="E153" s="4368"/>
      <c r="F153" s="4506"/>
      <c r="G153" s="4543"/>
      <c r="H153" s="1418"/>
      <c r="I153" s="586" t="s">
        <v>1189</v>
      </c>
      <c r="J153" s="506"/>
      <c r="K153" s="1418"/>
      <c r="L153" s="151"/>
      <c r="M153" s="277"/>
      <c r="N153" s="270"/>
      <c r="O153" s="1542"/>
      <c r="P153" s="1542"/>
      <c r="AH153" s="1549">
        <v>0</v>
      </c>
    </row>
    <row r="154" spans="1:34" s="4133" customFormat="1" ht="1.1499999999999999" customHeight="1">
      <c r="A154" s="1697"/>
      <c r="B154" s="1697"/>
      <c r="C154" s="304" t="s">
        <v>1197</v>
      </c>
      <c r="D154" s="4569"/>
      <c r="E154" s="4368"/>
      <c r="F154" s="4506"/>
      <c r="G154" s="335"/>
      <c r="H154" s="1418"/>
      <c r="I154" s="586"/>
      <c r="J154" s="506"/>
      <c r="K154" s="1418"/>
      <c r="L154" s="151"/>
      <c r="M154" s="277"/>
      <c r="N154" s="270"/>
      <c r="O154" s="1542"/>
      <c r="P154" s="1542"/>
      <c r="AH154" s="1549">
        <v>1</v>
      </c>
    </row>
    <row r="155" spans="1:34" ht="19.899999999999999" customHeight="1">
      <c r="A155" s="1697"/>
      <c r="B155" s="1697"/>
      <c r="D155" s="311"/>
      <c r="E155" s="85" t="s">
        <v>95</v>
      </c>
      <c r="F155" s="45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4568"/>
      <c r="H155" s="4568"/>
      <c r="I155" s="4568"/>
      <c r="J155" s="4568"/>
      <c r="K155" s="4568"/>
      <c r="L155" s="4568"/>
      <c r="M155" s="233"/>
      <c r="N155" s="270"/>
      <c r="AH155" s="309">
        <v>19</v>
      </c>
    </row>
    <row r="156" spans="1:34" s="4133" customFormat="1" ht="60.75" hidden="1" customHeight="1">
      <c r="A156" s="1697" t="s">
        <v>158</v>
      </c>
      <c r="B156" s="1697" t="s">
        <v>159</v>
      </c>
      <c r="C156" s="304"/>
      <c r="D156" s="4569"/>
      <c r="E156" s="4368"/>
      <c r="F156" s="4506"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4543" t="str">
        <f>INDEX(PT_DIFFERENTIATION_NTAR,MATCH(B156,PT_DIFFERENTIATION_NTAR_ID,0))</f>
        <v/>
      </c>
      <c r="H156" s="1777"/>
      <c r="I156" s="1656"/>
      <c r="J156" s="1690"/>
      <c r="K156" s="1695"/>
      <c r="L156" s="1777" t="s">
        <v>327</v>
      </c>
      <c r="M156" s="4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0"/>
      <c r="O156" s="1542"/>
      <c r="P156" s="1542"/>
      <c r="AH156" s="1549">
        <v>0</v>
      </c>
    </row>
    <row r="157" spans="1:34" s="4133" customFormat="1" ht="18.75" hidden="1" customHeight="1">
      <c r="A157" s="1697"/>
      <c r="B157" s="1697"/>
      <c r="C157" s="304" t="s">
        <v>1190</v>
      </c>
      <c r="D157" s="4569"/>
      <c r="E157" s="4368"/>
      <c r="F157" s="4506"/>
      <c r="G157" s="4543"/>
      <c r="H157" s="1418"/>
      <c r="I157" s="586" t="s">
        <v>1189</v>
      </c>
      <c r="J157" s="506"/>
      <c r="K157" s="1418"/>
      <c r="L157" s="151"/>
      <c r="M157" s="4319"/>
      <c r="N157" s="270"/>
      <c r="O157" s="1542"/>
      <c r="P157" s="1542"/>
      <c r="AH157" s="1549">
        <v>0</v>
      </c>
    </row>
    <row r="158" spans="1:34" s="4133" customFormat="1" ht="0.75" hidden="1" customHeight="1">
      <c r="A158" s="1697"/>
      <c r="B158" s="1697"/>
      <c r="C158" s="304" t="s">
        <v>1197</v>
      </c>
      <c r="D158" s="4569"/>
      <c r="E158" s="4368"/>
      <c r="F158" s="4506"/>
      <c r="G158" s="335"/>
      <c r="H158" s="1418"/>
      <c r="I158" s="586"/>
      <c r="J158" s="506"/>
      <c r="K158" s="1418"/>
      <c r="L158" s="151"/>
      <c r="M158" s="4319"/>
      <c r="N158" s="270"/>
      <c r="O158" s="1542"/>
      <c r="P158" s="1542"/>
      <c r="AH158" s="1549">
        <v>0</v>
      </c>
    </row>
    <row r="159" spans="1:34" s="4133" customFormat="1" ht="45" hidden="1" customHeight="1">
      <c r="A159" s="1697" t="s">
        <v>167</v>
      </c>
      <c r="B159" s="1697" t="s">
        <v>168</v>
      </c>
      <c r="C159" s="304"/>
      <c r="D159" s="4569"/>
      <c r="E159" s="4368"/>
      <c r="F159" s="4506"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4543" t="str">
        <f>INDEX(PT_DIFFERENTIATION_NTAR,MATCH(B159,PT_DIFFERENTIATION_NTAR_ID,0))</f>
        <v>Тарифы на тепловую энергию, поставляемую потребителям</v>
      </c>
      <c r="H159" s="1777"/>
      <c r="I159" s="1656"/>
      <c r="J159" s="1690"/>
      <c r="K159" s="1695"/>
      <c r="L159" s="1777" t="s">
        <v>327</v>
      </c>
      <c r="M159" s="4320"/>
      <c r="N159" s="270"/>
      <c r="O159" s="1542"/>
      <c r="P159" s="1542"/>
      <c r="AH159" s="1549">
        <v>0</v>
      </c>
    </row>
    <row r="160" spans="1:34" s="4133" customFormat="1" ht="18.75" hidden="1" customHeight="1">
      <c r="A160" s="1697"/>
      <c r="B160" s="1697"/>
      <c r="C160" s="304" t="s">
        <v>1190</v>
      </c>
      <c r="D160" s="4569"/>
      <c r="E160" s="4368"/>
      <c r="F160" s="4506"/>
      <c r="G160" s="4543"/>
      <c r="H160" s="1418"/>
      <c r="I160" s="586" t="s">
        <v>1189</v>
      </c>
      <c r="J160" s="506"/>
      <c r="K160" s="1418"/>
      <c r="L160" s="151"/>
      <c r="M160" s="1776"/>
      <c r="N160" s="270"/>
      <c r="O160" s="1542"/>
      <c r="P160" s="1542"/>
      <c r="AH160" s="1549">
        <v>0</v>
      </c>
    </row>
    <row r="161" spans="1:34" s="4214" customFormat="1" ht="18.75" customHeight="1">
      <c r="A161" s="2988" t="s">
        <v>167</v>
      </c>
      <c r="B161" s="2988" t="s">
        <v>178</v>
      </c>
      <c r="C161" s="4068"/>
      <c r="D161" s="4570"/>
      <c r="E161" s="4571"/>
      <c r="F161" s="4571"/>
      <c r="G161" s="4543" t="str">
        <f>INDEX(PT_DIFFERENTIATION_NTAR,MATCH(B161,PT_DIFFERENTIATION_NTAR_ID,0))</f>
        <v>Льготные тарифы на тепловую энергию, поставляемую группе потребителей "население"</v>
      </c>
      <c r="H161" s="2526"/>
      <c r="I161" s="4069"/>
      <c r="J161" s="4070"/>
      <c r="K161" s="4084"/>
      <c r="L161" s="2526" t="s">
        <v>327</v>
      </c>
      <c r="M161" s="4072"/>
      <c r="N161" s="4073"/>
      <c r="O161" s="2994"/>
      <c r="P161" s="2994"/>
      <c r="Q161" s="2055"/>
      <c r="R161" s="2055"/>
      <c r="S161" s="2055"/>
      <c r="T161" s="2055"/>
      <c r="U161" s="2055"/>
      <c r="V161" s="2055"/>
      <c r="W161" s="2055"/>
      <c r="X161" s="2055"/>
      <c r="Y161" s="2055"/>
      <c r="Z161" s="2055"/>
      <c r="AA161" s="2055"/>
      <c r="AB161" s="2055"/>
      <c r="AC161" s="2055"/>
      <c r="AD161" s="2055"/>
      <c r="AE161" s="2055"/>
      <c r="AF161" s="2055"/>
      <c r="AG161" s="2055"/>
      <c r="AH161" s="2055">
        <v>0</v>
      </c>
    </row>
    <row r="162" spans="1:34" s="4214" customFormat="1" ht="18.75" customHeight="1">
      <c r="A162" s="2988"/>
      <c r="B162" s="2988"/>
      <c r="C162" s="4068" t="s">
        <v>1190</v>
      </c>
      <c r="D162" s="4570"/>
      <c r="E162" s="4571"/>
      <c r="F162" s="4571"/>
      <c r="G162" s="4543"/>
      <c r="H162" s="4095"/>
      <c r="I162" s="4096" t="s">
        <v>1189</v>
      </c>
      <c r="J162" s="4097"/>
      <c r="K162" s="4098"/>
      <c r="L162" s="4099"/>
      <c r="M162" s="4072"/>
      <c r="N162" s="4073"/>
      <c r="O162" s="2994"/>
      <c r="P162" s="2994"/>
      <c r="Q162" s="2055"/>
      <c r="R162" s="2055"/>
      <c r="S162" s="2055"/>
      <c r="T162" s="2055"/>
      <c r="U162" s="2055"/>
      <c r="V162" s="2055"/>
      <c r="W162" s="2055"/>
      <c r="X162" s="2055"/>
      <c r="Y162" s="2055"/>
      <c r="Z162" s="2055"/>
      <c r="AA162" s="2055"/>
      <c r="AB162" s="2055"/>
      <c r="AC162" s="2055"/>
      <c r="AD162" s="2055"/>
      <c r="AE162" s="2055"/>
      <c r="AF162" s="2055"/>
      <c r="AG162" s="2055"/>
      <c r="AH162" s="2055">
        <v>0</v>
      </c>
    </row>
    <row r="163" spans="1:34" s="4214" customFormat="1" ht="18.75" customHeight="1">
      <c r="A163" s="2988" t="s">
        <v>167</v>
      </c>
      <c r="B163" s="2988" t="s">
        <v>184</v>
      </c>
      <c r="C163" s="4068"/>
      <c r="D163" s="4570"/>
      <c r="E163" s="4571"/>
      <c r="F163" s="4571"/>
      <c r="G163" s="4543" t="str">
        <f>INDEX(PT_DIFFERENTIATION_NTAR,MATCH(B163,PT_DIFFERENTIATION_NTAR_ID,0))</f>
        <v>Льготные тарифы на тепловую энергию, поставляемую группе потребителей "потребители (кроме населения)"</v>
      </c>
      <c r="H163" s="2526"/>
      <c r="I163" s="4069"/>
      <c r="J163" s="4070"/>
      <c r="K163" s="4084"/>
      <c r="L163" s="2526" t="s">
        <v>327</v>
      </c>
      <c r="M163" s="4072"/>
      <c r="N163" s="4073"/>
      <c r="O163" s="2994"/>
      <c r="P163" s="2994"/>
      <c r="Q163" s="2055"/>
      <c r="R163" s="2055"/>
      <c r="S163" s="2055"/>
      <c r="T163" s="2055"/>
      <c r="U163" s="2055"/>
      <c r="V163" s="2055"/>
      <c r="W163" s="2055"/>
      <c r="X163" s="2055"/>
      <c r="Y163" s="2055"/>
      <c r="Z163" s="2055"/>
      <c r="AA163" s="2055"/>
      <c r="AB163" s="2055"/>
      <c r="AC163" s="2055"/>
      <c r="AD163" s="2055"/>
      <c r="AE163" s="2055"/>
      <c r="AF163" s="2055"/>
      <c r="AG163" s="2055"/>
      <c r="AH163" s="2055">
        <v>0</v>
      </c>
    </row>
    <row r="164" spans="1:34" s="4214" customFormat="1" ht="18.75" customHeight="1">
      <c r="A164" s="2988"/>
      <c r="B164" s="2988"/>
      <c r="C164" s="4068" t="s">
        <v>1190</v>
      </c>
      <c r="D164" s="4570"/>
      <c r="E164" s="4571"/>
      <c r="F164" s="4571"/>
      <c r="G164" s="4543"/>
      <c r="H164" s="4100"/>
      <c r="I164" s="4101" t="s">
        <v>1189</v>
      </c>
      <c r="J164" s="4102"/>
      <c r="K164" s="4103"/>
      <c r="L164" s="4104"/>
      <c r="M164" s="4072"/>
      <c r="N164" s="4073"/>
      <c r="O164" s="2994"/>
      <c r="P164" s="2994"/>
      <c r="Q164" s="2055"/>
      <c r="R164" s="2055"/>
      <c r="S164" s="2055"/>
      <c r="T164" s="2055"/>
      <c r="U164" s="2055"/>
      <c r="V164" s="2055"/>
      <c r="W164" s="2055"/>
      <c r="X164" s="2055"/>
      <c r="Y164" s="2055"/>
      <c r="Z164" s="2055"/>
      <c r="AA164" s="2055"/>
      <c r="AB164" s="2055"/>
      <c r="AC164" s="2055"/>
      <c r="AD164" s="2055"/>
      <c r="AE164" s="2055"/>
      <c r="AF164" s="2055"/>
      <c r="AG164" s="2055"/>
      <c r="AH164" s="2055">
        <v>0</v>
      </c>
    </row>
    <row r="165" spans="1:34" s="4133" customFormat="1" ht="0.75" hidden="1" customHeight="1">
      <c r="A165" s="1697"/>
      <c r="B165" s="1697"/>
      <c r="C165" s="304" t="s">
        <v>1197</v>
      </c>
      <c r="D165" s="4569"/>
      <c r="E165" s="4368"/>
      <c r="F165" s="4506"/>
      <c r="G165" s="335"/>
      <c r="H165" s="1418"/>
      <c r="I165" s="586"/>
      <c r="J165" s="506"/>
      <c r="K165" s="1418"/>
      <c r="L165" s="151"/>
      <c r="M165" s="277"/>
      <c r="N165" s="270"/>
      <c r="O165" s="1542"/>
      <c r="P165" s="1542"/>
      <c r="AH165" s="1549">
        <v>0</v>
      </c>
    </row>
    <row r="166" spans="1:34" s="4133" customFormat="1" ht="45" hidden="1" customHeight="1">
      <c r="A166" s="1697" t="s">
        <v>190</v>
      </c>
      <c r="B166" s="1697" t="s">
        <v>191</v>
      </c>
      <c r="C166" s="304"/>
      <c r="D166" s="4569"/>
      <c r="E166" s="4368"/>
      <c r="F166" s="4506"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4543" t="str">
        <f>INDEX(PT_DIFFERENTIATION_NTAR,MATCH(B166,PT_DIFFERENTIATION_NTAR_ID,0))</f>
        <v/>
      </c>
      <c r="H166" s="1777"/>
      <c r="I166" s="1656"/>
      <c r="J166" s="1690"/>
      <c r="K166" s="1695"/>
      <c r="L166" s="1777" t="s">
        <v>327</v>
      </c>
      <c r="M166" s="277"/>
      <c r="N166" s="270"/>
      <c r="O166" s="1542"/>
      <c r="P166" s="1542"/>
      <c r="AH166" s="1549">
        <v>0</v>
      </c>
    </row>
    <row r="167" spans="1:34" s="4133" customFormat="1" ht="18.75" hidden="1" customHeight="1">
      <c r="A167" s="1697"/>
      <c r="B167" s="1697"/>
      <c r="C167" s="304" t="s">
        <v>1190</v>
      </c>
      <c r="D167" s="4569"/>
      <c r="E167" s="4368"/>
      <c r="F167" s="4506"/>
      <c r="G167" s="4543"/>
      <c r="H167" s="1418"/>
      <c r="I167" s="586" t="s">
        <v>1189</v>
      </c>
      <c r="J167" s="506"/>
      <c r="K167" s="1418"/>
      <c r="L167" s="151"/>
      <c r="M167" s="277"/>
      <c r="N167" s="270"/>
      <c r="O167" s="1542"/>
      <c r="P167" s="1542"/>
      <c r="AH167" s="1549">
        <v>0</v>
      </c>
    </row>
    <row r="168" spans="1:34" s="4133" customFormat="1" ht="0.75" hidden="1" customHeight="1">
      <c r="A168" s="1697"/>
      <c r="B168" s="1697"/>
      <c r="C168" s="304" t="s">
        <v>1197</v>
      </c>
      <c r="D168" s="4569"/>
      <c r="E168" s="4368"/>
      <c r="F168" s="4506"/>
      <c r="G168" s="335"/>
      <c r="H168" s="1418"/>
      <c r="I168" s="586"/>
      <c r="J168" s="506"/>
      <c r="K168" s="1418"/>
      <c r="L168" s="151"/>
      <c r="M168" s="277"/>
      <c r="N168" s="270"/>
      <c r="O168" s="1542"/>
      <c r="P168" s="1542"/>
      <c r="AH168" s="1549">
        <v>0</v>
      </c>
    </row>
    <row r="169" spans="1:34" s="4133" customFormat="1" ht="45" hidden="1" customHeight="1">
      <c r="A169" s="1697" t="s">
        <v>196</v>
      </c>
      <c r="B169" s="1697" t="s">
        <v>197</v>
      </c>
      <c r="C169" s="304"/>
      <c r="D169" s="4569"/>
      <c r="E169" s="4368"/>
      <c r="F169" s="4506"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4543" t="str">
        <f>INDEX(PT_DIFFERENTIATION_NTAR,MATCH(B169,PT_DIFFERENTIATION_NTAR_ID,0))</f>
        <v/>
      </c>
      <c r="H169" s="1777"/>
      <c r="I169" s="1656"/>
      <c r="J169" s="1690"/>
      <c r="K169" s="1695"/>
      <c r="L169" s="1777" t="s">
        <v>327</v>
      </c>
      <c r="M169" s="277"/>
      <c r="N169" s="270"/>
      <c r="O169" s="1542"/>
      <c r="P169" s="1542"/>
      <c r="AH169" s="1549">
        <v>0</v>
      </c>
    </row>
    <row r="170" spans="1:34" s="4133" customFormat="1" ht="18.75" hidden="1" customHeight="1">
      <c r="A170" s="1697"/>
      <c r="B170" s="1697"/>
      <c r="C170" s="304" t="s">
        <v>1190</v>
      </c>
      <c r="D170" s="4569"/>
      <c r="E170" s="4368"/>
      <c r="F170" s="4506"/>
      <c r="G170" s="4543"/>
      <c r="H170" s="1418"/>
      <c r="I170" s="586" t="s">
        <v>1189</v>
      </c>
      <c r="J170" s="506"/>
      <c r="K170" s="1418"/>
      <c r="L170" s="151"/>
      <c r="M170" s="277"/>
      <c r="N170" s="270"/>
      <c r="O170" s="1542"/>
      <c r="P170" s="1542"/>
      <c r="AH170" s="1549">
        <v>0</v>
      </c>
    </row>
    <row r="171" spans="1:34" s="4133" customFormat="1" ht="0.75" hidden="1" customHeight="1">
      <c r="A171" s="1697"/>
      <c r="B171" s="1697"/>
      <c r="C171" s="304" t="s">
        <v>1197</v>
      </c>
      <c r="D171" s="4569"/>
      <c r="E171" s="4368"/>
      <c r="F171" s="4506"/>
      <c r="G171" s="335"/>
      <c r="H171" s="1418"/>
      <c r="I171" s="586"/>
      <c r="J171" s="506"/>
      <c r="K171" s="1418"/>
      <c r="L171" s="151"/>
      <c r="M171" s="277"/>
      <c r="N171" s="270"/>
      <c r="O171" s="1542"/>
      <c r="P171" s="1542"/>
      <c r="AH171" s="1549">
        <v>0</v>
      </c>
    </row>
    <row r="172" spans="1:34" s="4133" customFormat="1" ht="18.75" hidden="1" customHeight="1">
      <c r="A172" s="1697" t="s">
        <v>202</v>
      </c>
      <c r="B172" s="1697" t="s">
        <v>203</v>
      </c>
      <c r="C172" s="304"/>
      <c r="D172" s="4569"/>
      <c r="E172" s="4368"/>
      <c r="F172" s="4506" t="str">
        <f>INDEX(PT_DIFFERENTIATION_VTAR,MATCH(A172,PT_DIFFERENTIATION_VTAR_ID,0))</f>
        <v>Тарифы на услуги по передаче тепловой энергии</v>
      </c>
      <c r="G172" s="4543" t="str">
        <f>INDEX(PT_DIFFERENTIATION_NTAR,MATCH(B172,PT_DIFFERENTIATION_NTAR_ID,0))</f>
        <v/>
      </c>
      <c r="H172" s="1777"/>
      <c r="I172" s="1656"/>
      <c r="J172" s="1690"/>
      <c r="K172" s="1695"/>
      <c r="L172" s="1777" t="s">
        <v>327</v>
      </c>
      <c r="M172" s="277"/>
      <c r="N172" s="270"/>
      <c r="O172" s="1542"/>
      <c r="P172" s="1542"/>
      <c r="AH172" s="1549">
        <v>0</v>
      </c>
    </row>
    <row r="173" spans="1:34" s="4133" customFormat="1" ht="18.75" hidden="1" customHeight="1">
      <c r="A173" s="1697"/>
      <c r="B173" s="1697"/>
      <c r="C173" s="304" t="s">
        <v>1190</v>
      </c>
      <c r="D173" s="4569"/>
      <c r="E173" s="4368"/>
      <c r="F173" s="4506"/>
      <c r="G173" s="4543"/>
      <c r="H173" s="1418"/>
      <c r="I173" s="586" t="s">
        <v>1189</v>
      </c>
      <c r="J173" s="506"/>
      <c r="K173" s="1418"/>
      <c r="L173" s="151"/>
      <c r="M173" s="277"/>
      <c r="N173" s="270"/>
      <c r="O173" s="1542"/>
      <c r="P173" s="1542"/>
      <c r="AH173" s="1549">
        <v>0</v>
      </c>
    </row>
    <row r="174" spans="1:34" s="4133" customFormat="1" ht="0.75" hidden="1" customHeight="1">
      <c r="A174" s="1697"/>
      <c r="B174" s="1697"/>
      <c r="C174" s="304" t="s">
        <v>1197</v>
      </c>
      <c r="D174" s="4569"/>
      <c r="E174" s="4368"/>
      <c r="F174" s="4506"/>
      <c r="G174" s="335"/>
      <c r="H174" s="1418"/>
      <c r="I174" s="586"/>
      <c r="J174" s="506"/>
      <c r="K174" s="1418"/>
      <c r="L174" s="151"/>
      <c r="M174" s="277"/>
      <c r="N174" s="270"/>
      <c r="O174" s="1542"/>
      <c r="P174" s="1542"/>
      <c r="AH174" s="1549">
        <v>0</v>
      </c>
    </row>
    <row r="175" spans="1:34" s="4133" customFormat="1" ht="18.75" hidden="1" customHeight="1">
      <c r="A175" s="1697" t="s">
        <v>208</v>
      </c>
      <c r="B175" s="1697" t="s">
        <v>209</v>
      </c>
      <c r="C175" s="304"/>
      <c r="D175" s="4569"/>
      <c r="E175" s="4368"/>
      <c r="F175" s="4506" t="str">
        <f>INDEX(PT_DIFFERENTIATION_VTAR,MATCH(A175,PT_DIFFERENTIATION_VTAR_ID,0))</f>
        <v>Тарифы на услуги по передаче теплоносителя</v>
      </c>
      <c r="G175" s="4543" t="str">
        <f>INDEX(PT_DIFFERENTIATION_NTAR,MATCH(B175,PT_DIFFERENTIATION_NTAR_ID,0))</f>
        <v/>
      </c>
      <c r="H175" s="1777"/>
      <c r="I175" s="1656"/>
      <c r="J175" s="1690"/>
      <c r="K175" s="1695"/>
      <c r="L175" s="1777" t="s">
        <v>327</v>
      </c>
      <c r="M175" s="277"/>
      <c r="N175" s="270"/>
      <c r="O175" s="1542"/>
      <c r="P175" s="1542"/>
      <c r="AH175" s="1549">
        <v>0</v>
      </c>
    </row>
    <row r="176" spans="1:34" s="4133" customFormat="1" ht="18.75" hidden="1" customHeight="1">
      <c r="A176" s="1697"/>
      <c r="B176" s="1697"/>
      <c r="C176" s="304" t="s">
        <v>1190</v>
      </c>
      <c r="D176" s="4569"/>
      <c r="E176" s="4368"/>
      <c r="F176" s="4506"/>
      <c r="G176" s="4543"/>
      <c r="H176" s="1418"/>
      <c r="I176" s="586" t="s">
        <v>1189</v>
      </c>
      <c r="J176" s="506"/>
      <c r="K176" s="1418"/>
      <c r="L176" s="151"/>
      <c r="M176" s="277"/>
      <c r="N176" s="270"/>
      <c r="O176" s="1542"/>
      <c r="P176" s="1542"/>
      <c r="AH176" s="1549">
        <v>0</v>
      </c>
    </row>
    <row r="177" spans="1:34" s="4133" customFormat="1" ht="0.75" hidden="1" customHeight="1">
      <c r="A177" s="1697"/>
      <c r="B177" s="1697"/>
      <c r="C177" s="304" t="s">
        <v>1197</v>
      </c>
      <c r="D177" s="4569"/>
      <c r="E177" s="4368"/>
      <c r="F177" s="4506"/>
      <c r="G177" s="335"/>
      <c r="H177" s="1418"/>
      <c r="I177" s="586"/>
      <c r="J177" s="506"/>
      <c r="K177" s="1418"/>
      <c r="L177" s="151"/>
      <c r="M177" s="277"/>
      <c r="N177" s="270"/>
      <c r="O177" s="1542"/>
      <c r="P177" s="1542"/>
      <c r="AH177" s="1549">
        <v>0</v>
      </c>
    </row>
    <row r="178" spans="1:34" s="4133" customFormat="1" ht="18.75" hidden="1" customHeight="1">
      <c r="A178" s="1697" t="s">
        <v>214</v>
      </c>
      <c r="B178" s="1697" t="s">
        <v>215</v>
      </c>
      <c r="C178" s="304"/>
      <c r="D178" s="4569"/>
      <c r="E178" s="4368"/>
      <c r="F178" s="4506" t="str">
        <f>INDEX(PT_DIFFERENTIATION_VTAR,MATCH(A178,PT_DIFFERENTIATION_VTAR_ID,0))</f>
        <v>Плата за услуги по поддержанию резервной тепловой мощности при отсутствии потребления тепловой энергии</v>
      </c>
      <c r="G178" s="4543" t="str">
        <f>INDEX(PT_DIFFERENTIATION_NTAR,MATCH(B178,PT_DIFFERENTIATION_NTAR_ID,0))</f>
        <v/>
      </c>
      <c r="H178" s="1777"/>
      <c r="I178" s="1656"/>
      <c r="J178" s="1690"/>
      <c r="K178" s="1695"/>
      <c r="L178" s="1777" t="s">
        <v>327</v>
      </c>
      <c r="M178" s="277"/>
      <c r="N178" s="270"/>
      <c r="O178" s="1542"/>
      <c r="P178" s="1542"/>
      <c r="AH178" s="1549">
        <v>0</v>
      </c>
    </row>
    <row r="179" spans="1:34" s="4133" customFormat="1" ht="18.75" hidden="1" customHeight="1">
      <c r="A179" s="1697"/>
      <c r="B179" s="1697"/>
      <c r="C179" s="304" t="s">
        <v>1190</v>
      </c>
      <c r="D179" s="4569"/>
      <c r="E179" s="4368"/>
      <c r="F179" s="4506"/>
      <c r="G179" s="4543"/>
      <c r="H179" s="1418"/>
      <c r="I179" s="586" t="s">
        <v>1189</v>
      </c>
      <c r="J179" s="506"/>
      <c r="K179" s="1418"/>
      <c r="L179" s="151"/>
      <c r="M179" s="277"/>
      <c r="N179" s="270"/>
      <c r="O179" s="1542"/>
      <c r="P179" s="1542"/>
      <c r="AH179" s="1549">
        <v>0</v>
      </c>
    </row>
    <row r="180" spans="1:34" s="4133" customFormat="1" ht="0.75" hidden="1" customHeight="1">
      <c r="A180" s="1697"/>
      <c r="B180" s="1697"/>
      <c r="C180" s="304" t="s">
        <v>1197</v>
      </c>
      <c r="D180" s="4569"/>
      <c r="E180" s="4368"/>
      <c r="F180" s="4506"/>
      <c r="G180" s="335"/>
      <c r="H180" s="1418"/>
      <c r="I180" s="586"/>
      <c r="J180" s="506"/>
      <c r="K180" s="1418"/>
      <c r="L180" s="151"/>
      <c r="M180" s="277"/>
      <c r="N180" s="270"/>
      <c r="O180" s="1542"/>
      <c r="P180" s="1542"/>
      <c r="AH180" s="1549">
        <v>0</v>
      </c>
    </row>
    <row r="181" spans="1:34" s="4133" customFormat="1" ht="18.75" hidden="1" customHeight="1">
      <c r="A181" s="1697" t="s">
        <v>220</v>
      </c>
      <c r="B181" s="1697" t="s">
        <v>221</v>
      </c>
      <c r="C181" s="304"/>
      <c r="D181" s="4569"/>
      <c r="E181" s="4368"/>
      <c r="F181" s="4506" t="str">
        <f>INDEX(PT_DIFFERENTIATION_VTAR,MATCH(A181,PT_DIFFERENTIATION_VTAR_ID,0))</f>
        <v>Плата за подключение (технологическое присоединение) к системе теплоснабжения</v>
      </c>
      <c r="G181" s="4543" t="str">
        <f>INDEX(PT_DIFFERENTIATION_NTAR,MATCH(B181,PT_DIFFERENTIATION_NTAR_ID,0))</f>
        <v/>
      </c>
      <c r="H181" s="1777"/>
      <c r="I181" s="1656"/>
      <c r="J181" s="1690"/>
      <c r="K181" s="1695"/>
      <c r="L181" s="1777" t="s">
        <v>327</v>
      </c>
      <c r="M181" s="277"/>
      <c r="N181" s="270"/>
      <c r="O181" s="1542"/>
      <c r="P181" s="1542"/>
      <c r="AH181" s="1549">
        <v>0</v>
      </c>
    </row>
    <row r="182" spans="1:34" s="4133" customFormat="1" ht="18.75" hidden="1" customHeight="1">
      <c r="A182" s="1697"/>
      <c r="B182" s="1697"/>
      <c r="C182" s="304" t="s">
        <v>1190</v>
      </c>
      <c r="D182" s="4569"/>
      <c r="E182" s="4368"/>
      <c r="F182" s="4506"/>
      <c r="G182" s="4543"/>
      <c r="H182" s="1418"/>
      <c r="I182" s="586" t="s">
        <v>1189</v>
      </c>
      <c r="J182" s="506"/>
      <c r="K182" s="1418"/>
      <c r="L182" s="151"/>
      <c r="M182" s="277"/>
      <c r="N182" s="270"/>
      <c r="O182" s="1542"/>
      <c r="P182" s="1542"/>
      <c r="AH182" s="1549">
        <v>0</v>
      </c>
    </row>
    <row r="183" spans="1:34" s="4133" customFormat="1" ht="0.75" hidden="1" customHeight="1">
      <c r="A183" s="1697"/>
      <c r="B183" s="1697"/>
      <c r="C183" s="304" t="s">
        <v>1197</v>
      </c>
      <c r="D183" s="4569"/>
      <c r="E183" s="4368"/>
      <c r="F183" s="4506"/>
      <c r="G183" s="335"/>
      <c r="H183" s="1418"/>
      <c r="I183" s="586"/>
      <c r="J183" s="506"/>
      <c r="K183" s="1418"/>
      <c r="L183" s="151"/>
      <c r="M183" s="277"/>
      <c r="N183" s="270"/>
      <c r="O183" s="1542"/>
      <c r="P183" s="1542"/>
      <c r="AH183" s="1549">
        <v>0</v>
      </c>
    </row>
    <row r="184" spans="1:34" s="4133" customFormat="1" ht="18.75" hidden="1" customHeight="1">
      <c r="A184" s="1697" t="s">
        <v>226</v>
      </c>
      <c r="B184" s="1697" t="s">
        <v>227</v>
      </c>
      <c r="C184" s="304"/>
      <c r="D184" s="4569"/>
      <c r="E184" s="4368"/>
      <c r="F184" s="4506" t="str">
        <f>INDEX(PT_DIFFERENTIATION_VTAR,MATCH(A184,PT_DIFFERENTIATION_VTAR_ID,0))</f>
        <v>Плата за подключение (технологическое присоединение) к системе теплоснабжения (индивидуальная)</v>
      </c>
      <c r="G184" s="4543" t="str">
        <f>INDEX(PT_DIFFERENTIATION_NTAR,MATCH(B184,PT_DIFFERENTIATION_NTAR_ID,0))</f>
        <v/>
      </c>
      <c r="H184" s="1901"/>
      <c r="I184" s="1656"/>
      <c r="J184" s="1690"/>
      <c r="K184" s="1695"/>
      <c r="L184" s="1901" t="s">
        <v>327</v>
      </c>
      <c r="M184" s="277"/>
      <c r="N184" s="270"/>
      <c r="O184" s="1542"/>
      <c r="P184" s="1542"/>
      <c r="AH184" s="1549">
        <v>0</v>
      </c>
    </row>
    <row r="185" spans="1:34" s="4133" customFormat="1" ht="18.75" hidden="1" customHeight="1">
      <c r="A185" s="1697"/>
      <c r="B185" s="1697"/>
      <c r="C185" s="304" t="s">
        <v>1190</v>
      </c>
      <c r="D185" s="4569"/>
      <c r="E185" s="4368"/>
      <c r="F185" s="4506"/>
      <c r="G185" s="4543"/>
      <c r="H185" s="1418"/>
      <c r="I185" s="586" t="s">
        <v>1189</v>
      </c>
      <c r="J185" s="506"/>
      <c r="K185" s="1418"/>
      <c r="L185" s="151"/>
      <c r="M185" s="277"/>
      <c r="N185" s="270"/>
      <c r="O185" s="1542"/>
      <c r="P185" s="1542"/>
      <c r="AH185" s="1549">
        <v>0</v>
      </c>
    </row>
    <row r="186" spans="1:34" s="4133" customFormat="1" ht="0.75" hidden="1" customHeight="1">
      <c r="A186" s="1697"/>
      <c r="B186" s="1697"/>
      <c r="C186" s="304" t="s">
        <v>1197</v>
      </c>
      <c r="D186" s="4569"/>
      <c r="E186" s="4368"/>
      <c r="F186" s="4506"/>
      <c r="G186" s="335"/>
      <c r="H186" s="1418"/>
      <c r="I186" s="586"/>
      <c r="J186" s="506"/>
      <c r="K186" s="1418"/>
      <c r="L186" s="151"/>
      <c r="M186" s="277"/>
      <c r="N186" s="270"/>
      <c r="O186" s="1542"/>
      <c r="P186" s="1542"/>
      <c r="AH186" s="1549">
        <v>0</v>
      </c>
    </row>
    <row r="187" spans="1:34" s="4133" customFormat="1" ht="18.75" hidden="1" customHeight="1">
      <c r="A187" s="1697" t="s">
        <v>246</v>
      </c>
      <c r="B187" s="1697" t="s">
        <v>247</v>
      </c>
      <c r="C187" s="304"/>
      <c r="D187" s="4569"/>
      <c r="E187" s="4368"/>
      <c r="F187" s="4506" t="str">
        <f>INDEX(PT_DIFFERENTIATION_VTAR,MATCH(A187,PT_DIFFERENTIATION_VTAR_ID,0))</f>
        <v>Тариф на питьевую воду (питьевое водоснабжение)</v>
      </c>
      <c r="G187" s="4543" t="str">
        <f>INDEX(PT_DIFFERENTIATION_NTAR,MATCH(B187,PT_DIFFERENTIATION_NTAR_ID,0))</f>
        <v/>
      </c>
      <c r="H187" s="1777"/>
      <c r="I187" s="1656"/>
      <c r="J187" s="1690"/>
      <c r="K187" s="1695"/>
      <c r="L187" s="1777" t="s">
        <v>327</v>
      </c>
      <c r="M187" s="277"/>
      <c r="N187" s="270"/>
      <c r="O187" s="1542"/>
      <c r="P187" s="1542"/>
      <c r="AH187" s="1549">
        <v>0</v>
      </c>
    </row>
    <row r="188" spans="1:34" s="4133" customFormat="1" ht="18.75" hidden="1" customHeight="1">
      <c r="A188" s="1697"/>
      <c r="B188" s="1697"/>
      <c r="C188" s="304" t="s">
        <v>1190</v>
      </c>
      <c r="D188" s="4569"/>
      <c r="E188" s="4368"/>
      <c r="F188" s="4506"/>
      <c r="G188" s="4543"/>
      <c r="H188" s="1418"/>
      <c r="I188" s="586" t="s">
        <v>1189</v>
      </c>
      <c r="J188" s="506"/>
      <c r="K188" s="1418"/>
      <c r="L188" s="151"/>
      <c r="M188" s="277"/>
      <c r="N188" s="270"/>
      <c r="O188" s="1542"/>
      <c r="P188" s="1542"/>
      <c r="AH188" s="1549">
        <v>0</v>
      </c>
    </row>
    <row r="189" spans="1:34" s="4133" customFormat="1" ht="0.75" hidden="1" customHeight="1">
      <c r="A189" s="1697"/>
      <c r="B189" s="1697"/>
      <c r="C189" s="304" t="s">
        <v>1197</v>
      </c>
      <c r="D189" s="4569"/>
      <c r="E189" s="4368"/>
      <c r="F189" s="4506"/>
      <c r="G189" s="335"/>
      <c r="H189" s="1418"/>
      <c r="I189" s="586"/>
      <c r="J189" s="506"/>
      <c r="K189" s="1418"/>
      <c r="L189" s="151"/>
      <c r="M189" s="277"/>
      <c r="N189" s="270"/>
      <c r="O189" s="1542"/>
      <c r="P189" s="1542"/>
      <c r="AH189" s="1549">
        <v>0</v>
      </c>
    </row>
    <row r="190" spans="1:34" s="4133" customFormat="1" ht="18.75" hidden="1" customHeight="1">
      <c r="A190" s="1697" t="s">
        <v>251</v>
      </c>
      <c r="B190" s="1697" t="s">
        <v>252</v>
      </c>
      <c r="C190" s="304"/>
      <c r="D190" s="4569"/>
      <c r="E190" s="4368"/>
      <c r="F190" s="4506" t="str">
        <f>INDEX(PT_DIFFERENTIATION_VTAR,MATCH(A190,PT_DIFFERENTIATION_VTAR_ID,0))</f>
        <v>Тариф на техническую воду</v>
      </c>
      <c r="G190" s="4543" t="str">
        <f>INDEX(PT_DIFFERENTIATION_NTAR,MATCH(B190,PT_DIFFERENTIATION_NTAR_ID,0))</f>
        <v/>
      </c>
      <c r="H190" s="1777"/>
      <c r="I190" s="1656"/>
      <c r="J190" s="1690"/>
      <c r="K190" s="1695"/>
      <c r="L190" s="1777" t="s">
        <v>327</v>
      </c>
      <c r="M190" s="277"/>
      <c r="N190" s="270"/>
      <c r="O190" s="1542"/>
      <c r="P190" s="1542"/>
      <c r="AH190" s="1549">
        <v>0</v>
      </c>
    </row>
    <row r="191" spans="1:34" s="4133" customFormat="1" ht="18.75" hidden="1" customHeight="1">
      <c r="A191" s="1697"/>
      <c r="B191" s="1697"/>
      <c r="C191" s="304" t="s">
        <v>1190</v>
      </c>
      <c r="D191" s="4569"/>
      <c r="E191" s="4368"/>
      <c r="F191" s="4506"/>
      <c r="G191" s="4543"/>
      <c r="H191" s="1418"/>
      <c r="I191" s="586" t="s">
        <v>1189</v>
      </c>
      <c r="J191" s="506"/>
      <c r="K191" s="1418"/>
      <c r="L191" s="151"/>
      <c r="M191" s="277"/>
      <c r="N191" s="270"/>
      <c r="O191" s="1542"/>
      <c r="P191" s="1542"/>
      <c r="AH191" s="1549">
        <v>0</v>
      </c>
    </row>
    <row r="192" spans="1:34" s="4133" customFormat="1" ht="0.75" hidden="1" customHeight="1">
      <c r="A192" s="1697"/>
      <c r="B192" s="1697"/>
      <c r="C192" s="304" t="s">
        <v>1197</v>
      </c>
      <c r="D192" s="4569"/>
      <c r="E192" s="4368"/>
      <c r="F192" s="4506"/>
      <c r="G192" s="335"/>
      <c r="H192" s="1418"/>
      <c r="I192" s="586"/>
      <c r="J192" s="506"/>
      <c r="K192" s="1418"/>
      <c r="L192" s="151"/>
      <c r="M192" s="277"/>
      <c r="N192" s="270"/>
      <c r="O192" s="1542"/>
      <c r="P192" s="1542"/>
      <c r="AH192" s="1549">
        <v>0</v>
      </c>
    </row>
    <row r="193" spans="1:34" s="4133" customFormat="1" ht="18.75" hidden="1" customHeight="1">
      <c r="A193" s="1697" t="s">
        <v>256</v>
      </c>
      <c r="B193" s="1697" t="s">
        <v>257</v>
      </c>
      <c r="C193" s="304"/>
      <c r="D193" s="4569"/>
      <c r="E193" s="4368"/>
      <c r="F193" s="4506" t="str">
        <f>INDEX(PT_DIFFERENTIATION_VTAR,MATCH(A193,PT_DIFFERENTIATION_VTAR_ID,0))</f>
        <v>Тариф на транспортировку воды</v>
      </c>
      <c r="G193" s="4543" t="str">
        <f>INDEX(PT_DIFFERENTIATION_NTAR,MATCH(B193,PT_DIFFERENTIATION_NTAR_ID,0))</f>
        <v/>
      </c>
      <c r="H193" s="1777"/>
      <c r="I193" s="1656"/>
      <c r="J193" s="1690"/>
      <c r="K193" s="1695"/>
      <c r="L193" s="1777" t="s">
        <v>327</v>
      </c>
      <c r="M193" s="277"/>
      <c r="N193" s="270"/>
      <c r="O193" s="1542"/>
      <c r="P193" s="1542"/>
      <c r="AH193" s="1549">
        <v>0</v>
      </c>
    </row>
    <row r="194" spans="1:34" s="4133" customFormat="1" ht="18.75" hidden="1" customHeight="1">
      <c r="A194" s="1697"/>
      <c r="B194" s="1697"/>
      <c r="C194" s="304" t="s">
        <v>1190</v>
      </c>
      <c r="D194" s="4569"/>
      <c r="E194" s="4368"/>
      <c r="F194" s="4506"/>
      <c r="G194" s="4543"/>
      <c r="H194" s="1418"/>
      <c r="I194" s="586" t="s">
        <v>1189</v>
      </c>
      <c r="J194" s="506"/>
      <c r="K194" s="1418"/>
      <c r="L194" s="151"/>
      <c r="M194" s="277"/>
      <c r="N194" s="270"/>
      <c r="O194" s="1542"/>
      <c r="P194" s="1542"/>
      <c r="AH194" s="1549">
        <v>0</v>
      </c>
    </row>
    <row r="195" spans="1:34" s="4133" customFormat="1" ht="0.75" hidden="1" customHeight="1">
      <c r="A195" s="1697"/>
      <c r="B195" s="1697"/>
      <c r="C195" s="304" t="s">
        <v>1197</v>
      </c>
      <c r="D195" s="4569"/>
      <c r="E195" s="4368"/>
      <c r="F195" s="4506"/>
      <c r="G195" s="335"/>
      <c r="H195" s="1418"/>
      <c r="I195" s="586"/>
      <c r="J195" s="506"/>
      <c r="K195" s="1418"/>
      <c r="L195" s="151"/>
      <c r="M195" s="277"/>
      <c r="N195" s="270"/>
      <c r="O195" s="1542"/>
      <c r="P195" s="1542"/>
      <c r="AH195" s="1549">
        <v>0</v>
      </c>
    </row>
    <row r="196" spans="1:34" s="4133" customFormat="1" ht="18.75" hidden="1" customHeight="1">
      <c r="A196" s="1697" t="s">
        <v>261</v>
      </c>
      <c r="B196" s="1697" t="s">
        <v>262</v>
      </c>
      <c r="C196" s="304"/>
      <c r="D196" s="4569"/>
      <c r="E196" s="4368"/>
      <c r="F196" s="4506" t="str">
        <f>INDEX(PT_DIFFERENTIATION_VTAR,MATCH(A196,PT_DIFFERENTIATION_VTAR_ID,0))</f>
        <v>Тариф на подвоз воды</v>
      </c>
      <c r="G196" s="4543" t="str">
        <f>INDEX(PT_DIFFERENTIATION_NTAR,MATCH(B196,PT_DIFFERENTIATION_NTAR_ID,0))</f>
        <v/>
      </c>
      <c r="H196" s="1777"/>
      <c r="I196" s="1656"/>
      <c r="J196" s="1690"/>
      <c r="K196" s="1695"/>
      <c r="L196" s="1777" t="s">
        <v>327</v>
      </c>
      <c r="M196" s="277"/>
      <c r="N196" s="270"/>
      <c r="O196" s="1542"/>
      <c r="P196" s="1542"/>
      <c r="AH196" s="1549">
        <v>0</v>
      </c>
    </row>
    <row r="197" spans="1:34" s="4133" customFormat="1" ht="18.75" hidden="1" customHeight="1">
      <c r="A197" s="1697"/>
      <c r="B197" s="1697"/>
      <c r="C197" s="304" t="s">
        <v>1190</v>
      </c>
      <c r="D197" s="4569"/>
      <c r="E197" s="4368"/>
      <c r="F197" s="4506"/>
      <c r="G197" s="4543"/>
      <c r="H197" s="1418"/>
      <c r="I197" s="586" t="s">
        <v>1189</v>
      </c>
      <c r="J197" s="506"/>
      <c r="K197" s="1418"/>
      <c r="L197" s="151"/>
      <c r="M197" s="277"/>
      <c r="N197" s="270"/>
      <c r="O197" s="1542"/>
      <c r="P197" s="1542"/>
      <c r="AH197" s="1549">
        <v>0</v>
      </c>
    </row>
    <row r="198" spans="1:34" s="4133" customFormat="1" ht="0.75" hidden="1" customHeight="1">
      <c r="A198" s="1697"/>
      <c r="B198" s="1697"/>
      <c r="C198" s="304" t="s">
        <v>1197</v>
      </c>
      <c r="D198" s="4569"/>
      <c r="E198" s="4368"/>
      <c r="F198" s="4506"/>
      <c r="G198" s="335"/>
      <c r="H198" s="1418"/>
      <c r="I198" s="586"/>
      <c r="J198" s="506"/>
      <c r="K198" s="1418"/>
      <c r="L198" s="151"/>
      <c r="M198" s="277"/>
      <c r="N198" s="270"/>
      <c r="O198" s="1542"/>
      <c r="P198" s="1542"/>
      <c r="AH198" s="1549">
        <v>0</v>
      </c>
    </row>
    <row r="199" spans="1:34" s="4133" customFormat="1" ht="18.75" hidden="1" customHeight="1">
      <c r="A199" s="1697" t="s">
        <v>266</v>
      </c>
      <c r="B199" s="1697" t="s">
        <v>267</v>
      </c>
      <c r="C199" s="304"/>
      <c r="D199" s="4569"/>
      <c r="E199" s="4368"/>
      <c r="F199" s="4506"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4543" t="str">
        <f>INDEX(PT_DIFFERENTIATION_NTAR,MATCH(B199,PT_DIFFERENTIATION_NTAR_ID,0))</f>
        <v/>
      </c>
      <c r="H199" s="1777"/>
      <c r="I199" s="1656"/>
      <c r="J199" s="1690"/>
      <c r="K199" s="1695"/>
      <c r="L199" s="1777" t="s">
        <v>327</v>
      </c>
      <c r="M199" s="277"/>
      <c r="N199" s="270"/>
      <c r="O199" s="1542"/>
      <c r="P199" s="1542"/>
      <c r="AH199" s="1549">
        <v>0</v>
      </c>
    </row>
    <row r="200" spans="1:34" s="4133" customFormat="1" ht="18.75" hidden="1" customHeight="1">
      <c r="A200" s="1697"/>
      <c r="B200" s="1697"/>
      <c r="C200" s="304" t="s">
        <v>1190</v>
      </c>
      <c r="D200" s="4569"/>
      <c r="E200" s="4368"/>
      <c r="F200" s="4506"/>
      <c r="G200" s="4543"/>
      <c r="H200" s="1418"/>
      <c r="I200" s="586" t="s">
        <v>1189</v>
      </c>
      <c r="J200" s="506"/>
      <c r="K200" s="1418"/>
      <c r="L200" s="151"/>
      <c r="M200" s="277"/>
      <c r="N200" s="270"/>
      <c r="O200" s="1542"/>
      <c r="P200" s="1542"/>
      <c r="AH200" s="1549">
        <v>0</v>
      </c>
    </row>
    <row r="201" spans="1:34" s="4133" customFormat="1" ht="0.75" hidden="1" customHeight="1">
      <c r="A201" s="1697"/>
      <c r="B201" s="1697"/>
      <c r="C201" s="304" t="s">
        <v>1197</v>
      </c>
      <c r="D201" s="4569"/>
      <c r="E201" s="4368"/>
      <c r="F201" s="4506"/>
      <c r="G201" s="335"/>
      <c r="H201" s="1418"/>
      <c r="I201" s="586"/>
      <c r="J201" s="506"/>
      <c r="K201" s="1418"/>
      <c r="L201" s="151"/>
      <c r="M201" s="277"/>
      <c r="N201" s="270"/>
      <c r="O201" s="1542"/>
      <c r="P201" s="1542"/>
      <c r="AH201" s="1549">
        <v>0</v>
      </c>
    </row>
    <row r="202" spans="1:34" s="4133" customFormat="1" ht="18.75" hidden="1" customHeight="1">
      <c r="A202" s="1697" t="s">
        <v>271</v>
      </c>
      <c r="B202" s="1697" t="s">
        <v>272</v>
      </c>
      <c r="C202" s="304"/>
      <c r="D202" s="4569"/>
      <c r="E202" s="4368"/>
      <c r="F202" s="4506" t="str">
        <f>INDEX(PT_DIFFERENTIATION_VTAR,MATCH(A202,PT_DIFFERENTIATION_VTAR_ID,0))</f>
        <v>Тариф на горячую воду (горячее водоснабжение)</v>
      </c>
      <c r="G202" s="4543" t="str">
        <f>INDEX(PT_DIFFERENTIATION_NTAR,MATCH(B202,PT_DIFFERENTIATION_NTAR_ID,0))</f>
        <v/>
      </c>
      <c r="H202" s="1777"/>
      <c r="I202" s="1656"/>
      <c r="J202" s="1690"/>
      <c r="K202" s="1695"/>
      <c r="L202" s="1777" t="s">
        <v>327</v>
      </c>
      <c r="M202" s="277"/>
      <c r="N202" s="270"/>
      <c r="O202" s="1542"/>
      <c r="P202" s="1542"/>
      <c r="AH202" s="1549">
        <v>0</v>
      </c>
    </row>
    <row r="203" spans="1:34" s="4133" customFormat="1" ht="18.75" hidden="1" customHeight="1">
      <c r="A203" s="1697"/>
      <c r="B203" s="1697"/>
      <c r="C203" s="304" t="s">
        <v>1190</v>
      </c>
      <c r="D203" s="4569"/>
      <c r="E203" s="4368"/>
      <c r="F203" s="4506"/>
      <c r="G203" s="4543"/>
      <c r="H203" s="1418"/>
      <c r="I203" s="586" t="s">
        <v>1189</v>
      </c>
      <c r="J203" s="506"/>
      <c r="K203" s="1418"/>
      <c r="L203" s="151"/>
      <c r="M203" s="277"/>
      <c r="N203" s="270"/>
      <c r="O203" s="1542"/>
      <c r="P203" s="1542"/>
      <c r="AH203" s="1549">
        <v>0</v>
      </c>
    </row>
    <row r="204" spans="1:34" s="4133" customFormat="1" ht="0.75" hidden="1" customHeight="1">
      <c r="A204" s="1697"/>
      <c r="B204" s="1697"/>
      <c r="C204" s="304" t="s">
        <v>1197</v>
      </c>
      <c r="D204" s="4569"/>
      <c r="E204" s="4368"/>
      <c r="F204" s="4506"/>
      <c r="G204" s="335"/>
      <c r="H204" s="1418"/>
      <c r="I204" s="586"/>
      <c r="J204" s="506"/>
      <c r="K204" s="1418"/>
      <c r="L204" s="151"/>
      <c r="M204" s="277"/>
      <c r="N204" s="270"/>
      <c r="O204" s="1542"/>
      <c r="P204" s="1542"/>
      <c r="AH204" s="1549">
        <v>0</v>
      </c>
    </row>
    <row r="205" spans="1:34" s="4133" customFormat="1" ht="18.75" hidden="1" customHeight="1">
      <c r="A205" s="1697" t="s">
        <v>276</v>
      </c>
      <c r="B205" s="1697" t="s">
        <v>277</v>
      </c>
      <c r="C205" s="304"/>
      <c r="D205" s="4569"/>
      <c r="E205" s="4368"/>
      <c r="F205" s="4506" t="str">
        <f>INDEX(PT_DIFFERENTIATION_VTAR,MATCH(A205,PT_DIFFERENTIATION_VTAR_ID,0))</f>
        <v>Тариф на транспортировку горячей воды</v>
      </c>
      <c r="G205" s="4543" t="str">
        <f>INDEX(PT_DIFFERENTIATION_NTAR,MATCH(B205,PT_DIFFERENTIATION_NTAR_ID,0))</f>
        <v/>
      </c>
      <c r="H205" s="1777"/>
      <c r="I205" s="1656"/>
      <c r="J205" s="1690"/>
      <c r="K205" s="1695"/>
      <c r="L205" s="1777" t="s">
        <v>327</v>
      </c>
      <c r="M205" s="277"/>
      <c r="N205" s="270"/>
      <c r="O205" s="1542"/>
      <c r="P205" s="1542"/>
      <c r="AH205" s="1549">
        <v>0</v>
      </c>
    </row>
    <row r="206" spans="1:34" s="4133" customFormat="1" ht="18.75" hidden="1" customHeight="1">
      <c r="A206" s="1697"/>
      <c r="B206" s="1697"/>
      <c r="C206" s="304" t="s">
        <v>1190</v>
      </c>
      <c r="D206" s="4569"/>
      <c r="E206" s="4368"/>
      <c r="F206" s="4506"/>
      <c r="G206" s="4543"/>
      <c r="H206" s="1418"/>
      <c r="I206" s="586" t="s">
        <v>1189</v>
      </c>
      <c r="J206" s="506"/>
      <c r="K206" s="1418"/>
      <c r="L206" s="151"/>
      <c r="M206" s="277"/>
      <c r="N206" s="270"/>
      <c r="O206" s="1542"/>
      <c r="P206" s="1542"/>
      <c r="AH206" s="1549">
        <v>0</v>
      </c>
    </row>
    <row r="207" spans="1:34" s="4133" customFormat="1" ht="0.75" hidden="1" customHeight="1">
      <c r="A207" s="1697"/>
      <c r="B207" s="1697"/>
      <c r="C207" s="304" t="s">
        <v>1197</v>
      </c>
      <c r="D207" s="4569"/>
      <c r="E207" s="4368"/>
      <c r="F207" s="4506"/>
      <c r="G207" s="335"/>
      <c r="H207" s="1418"/>
      <c r="I207" s="586"/>
      <c r="J207" s="506"/>
      <c r="K207" s="1418"/>
      <c r="L207" s="151"/>
      <c r="M207" s="277"/>
      <c r="N207" s="270"/>
      <c r="O207" s="1542"/>
      <c r="P207" s="1542"/>
      <c r="AH207" s="1549">
        <v>0</v>
      </c>
    </row>
    <row r="208" spans="1:34" s="4133" customFormat="1" ht="18.75" hidden="1" customHeight="1">
      <c r="A208" s="1697" t="s">
        <v>281</v>
      </c>
      <c r="B208" s="1697" t="s">
        <v>282</v>
      </c>
      <c r="C208" s="304"/>
      <c r="D208" s="4569"/>
      <c r="E208" s="4368"/>
      <c r="F208" s="4506" t="str">
        <f>INDEX(PT_DIFFERENTIATION_VTAR,MATCH(A208,PT_DIFFERENTIATION_VTAR_ID,0))</f>
        <v>Тариф на подключение (технологическое присоединение) к централизованной системе горячего водоснабжения</v>
      </c>
      <c r="G208" s="4543" t="str">
        <f>INDEX(PT_DIFFERENTIATION_NTAR,MATCH(B208,PT_DIFFERENTIATION_NTAR_ID,0))</f>
        <v/>
      </c>
      <c r="H208" s="1777"/>
      <c r="I208" s="1656"/>
      <c r="J208" s="1690"/>
      <c r="K208" s="1695"/>
      <c r="L208" s="1777" t="s">
        <v>327</v>
      </c>
      <c r="M208" s="277"/>
      <c r="N208" s="270"/>
      <c r="O208" s="1542"/>
      <c r="P208" s="1542"/>
      <c r="AH208" s="1549">
        <v>0</v>
      </c>
    </row>
    <row r="209" spans="1:34" s="4133" customFormat="1" ht="18.75" hidden="1" customHeight="1">
      <c r="A209" s="1697"/>
      <c r="B209" s="1697"/>
      <c r="C209" s="304" t="s">
        <v>1190</v>
      </c>
      <c r="D209" s="4569"/>
      <c r="E209" s="4368"/>
      <c r="F209" s="4506"/>
      <c r="G209" s="4543"/>
      <c r="H209" s="1418"/>
      <c r="I209" s="586" t="s">
        <v>1189</v>
      </c>
      <c r="J209" s="506"/>
      <c r="K209" s="1418"/>
      <c r="L209" s="151"/>
      <c r="M209" s="277"/>
      <c r="N209" s="270"/>
      <c r="O209" s="1542"/>
      <c r="P209" s="1542"/>
      <c r="AH209" s="1549">
        <v>0</v>
      </c>
    </row>
    <row r="210" spans="1:34" s="4133" customFormat="1" ht="0.75" hidden="1" customHeight="1">
      <c r="A210" s="1697"/>
      <c r="B210" s="1697"/>
      <c r="C210" s="304" t="s">
        <v>1197</v>
      </c>
      <c r="D210" s="4569"/>
      <c r="E210" s="4368"/>
      <c r="F210" s="4506"/>
      <c r="G210" s="335"/>
      <c r="H210" s="1418"/>
      <c r="I210" s="586"/>
      <c r="J210" s="506"/>
      <c r="K210" s="1418"/>
      <c r="L210" s="151"/>
      <c r="M210" s="277"/>
      <c r="N210" s="270"/>
      <c r="O210" s="1542"/>
      <c r="P210" s="1542"/>
      <c r="AH210" s="1549">
        <v>0</v>
      </c>
    </row>
    <row r="211" spans="1:34" s="4133" customFormat="1" ht="18.75" hidden="1" customHeight="1">
      <c r="A211" s="1697" t="s">
        <v>286</v>
      </c>
      <c r="B211" s="1697" t="s">
        <v>287</v>
      </c>
      <c r="C211" s="304"/>
      <c r="D211" s="4569"/>
      <c r="E211" s="4368"/>
      <c r="F211" s="4506" t="str">
        <f>INDEX(PT_DIFFERENTIATION_VTAR,MATCH(A211,PT_DIFFERENTIATION_VTAR_ID,0))</f>
        <v>Тариф на водоотведение</v>
      </c>
      <c r="G211" s="4543" t="str">
        <f>INDEX(PT_DIFFERENTIATION_NTAR,MATCH(B211,PT_DIFFERENTIATION_NTAR_ID,0))</f>
        <v/>
      </c>
      <c r="H211" s="1777"/>
      <c r="I211" s="1656"/>
      <c r="J211" s="1690"/>
      <c r="K211" s="1695"/>
      <c r="L211" s="1777" t="s">
        <v>327</v>
      </c>
      <c r="M211" s="277"/>
      <c r="N211" s="270"/>
      <c r="O211" s="1542"/>
      <c r="P211" s="1542"/>
      <c r="AH211" s="1549">
        <v>0</v>
      </c>
    </row>
    <row r="212" spans="1:34" s="4133" customFormat="1" ht="18.75" hidden="1" customHeight="1">
      <c r="A212" s="1697"/>
      <c r="B212" s="1697"/>
      <c r="C212" s="304" t="s">
        <v>1190</v>
      </c>
      <c r="D212" s="4569"/>
      <c r="E212" s="4368"/>
      <c r="F212" s="4506"/>
      <c r="G212" s="4543"/>
      <c r="H212" s="1418"/>
      <c r="I212" s="586" t="s">
        <v>1189</v>
      </c>
      <c r="J212" s="506"/>
      <c r="K212" s="1418"/>
      <c r="L212" s="151"/>
      <c r="M212" s="277"/>
      <c r="N212" s="270"/>
      <c r="O212" s="1542"/>
      <c r="P212" s="1542"/>
      <c r="AH212" s="1549">
        <v>0</v>
      </c>
    </row>
    <row r="213" spans="1:34" s="4133" customFormat="1" ht="0.75" hidden="1" customHeight="1">
      <c r="A213" s="1697"/>
      <c r="B213" s="1697"/>
      <c r="C213" s="304" t="s">
        <v>1197</v>
      </c>
      <c r="D213" s="4569"/>
      <c r="E213" s="4368"/>
      <c r="F213" s="4506"/>
      <c r="G213" s="335"/>
      <c r="H213" s="1418"/>
      <c r="I213" s="586"/>
      <c r="J213" s="506"/>
      <c r="K213" s="1418"/>
      <c r="L213" s="151"/>
      <c r="M213" s="277"/>
      <c r="N213" s="270"/>
      <c r="O213" s="1542"/>
      <c r="P213" s="1542"/>
      <c r="AH213" s="1549">
        <v>0</v>
      </c>
    </row>
    <row r="214" spans="1:34" s="4133" customFormat="1" ht="18.75" hidden="1" customHeight="1">
      <c r="A214" s="1697" t="s">
        <v>291</v>
      </c>
      <c r="B214" s="1697" t="s">
        <v>292</v>
      </c>
      <c r="C214" s="304"/>
      <c r="D214" s="4569"/>
      <c r="E214" s="4368"/>
      <c r="F214" s="4506" t="str">
        <f>INDEX(PT_DIFFERENTIATION_VTAR,MATCH(A214,PT_DIFFERENTIATION_VTAR_ID,0))</f>
        <v>Тариф на транспортировку сточных вод</v>
      </c>
      <c r="G214" s="4543" t="str">
        <f>INDEX(PT_DIFFERENTIATION_NTAR,MATCH(B214,PT_DIFFERENTIATION_NTAR_ID,0))</f>
        <v/>
      </c>
      <c r="H214" s="1777"/>
      <c r="I214" s="1656"/>
      <c r="J214" s="1690"/>
      <c r="K214" s="1695"/>
      <c r="L214" s="1777" t="s">
        <v>327</v>
      </c>
      <c r="M214" s="277"/>
      <c r="N214" s="270"/>
      <c r="O214" s="1542"/>
      <c r="P214" s="1542"/>
      <c r="AH214" s="1549">
        <v>0</v>
      </c>
    </row>
    <row r="215" spans="1:34" s="4133" customFormat="1" ht="18.75" hidden="1" customHeight="1">
      <c r="A215" s="1697"/>
      <c r="B215" s="1697"/>
      <c r="C215" s="304" t="s">
        <v>1190</v>
      </c>
      <c r="D215" s="4569"/>
      <c r="E215" s="4368"/>
      <c r="F215" s="4506"/>
      <c r="G215" s="4543"/>
      <c r="H215" s="1418"/>
      <c r="I215" s="586" t="s">
        <v>1189</v>
      </c>
      <c r="J215" s="506"/>
      <c r="K215" s="1418"/>
      <c r="L215" s="151"/>
      <c r="M215" s="277"/>
      <c r="N215" s="270"/>
      <c r="O215" s="1542"/>
      <c r="P215" s="1542"/>
      <c r="AH215" s="1549">
        <v>0</v>
      </c>
    </row>
    <row r="216" spans="1:34" s="4133" customFormat="1" ht="0.75" hidden="1" customHeight="1">
      <c r="A216" s="1697"/>
      <c r="B216" s="1697"/>
      <c r="C216" s="304" t="s">
        <v>1197</v>
      </c>
      <c r="D216" s="4569"/>
      <c r="E216" s="4368"/>
      <c r="F216" s="4506"/>
      <c r="G216" s="335"/>
      <c r="H216" s="1418"/>
      <c r="I216" s="586"/>
      <c r="J216" s="506"/>
      <c r="K216" s="1418"/>
      <c r="L216" s="151"/>
      <c r="M216" s="277"/>
      <c r="N216" s="270"/>
      <c r="O216" s="1542"/>
      <c r="P216" s="1542"/>
      <c r="AH216" s="1549">
        <v>0</v>
      </c>
    </row>
    <row r="217" spans="1:34" s="4133" customFormat="1" ht="18.75" hidden="1" customHeight="1">
      <c r="A217" s="1697" t="s">
        <v>296</v>
      </c>
      <c r="B217" s="1697" t="s">
        <v>297</v>
      </c>
      <c r="C217" s="304"/>
      <c r="D217" s="4569"/>
      <c r="E217" s="4368"/>
      <c r="F217" s="4506" t="str">
        <f>INDEX(PT_DIFFERENTIATION_VTAR,MATCH(A217,PT_DIFFERENTIATION_VTAR_ID,0))</f>
        <v>Тариф на подключение (технологическое присоединение) к централизованной системе водоотведения</v>
      </c>
      <c r="G217" s="4543" t="str">
        <f>INDEX(PT_DIFFERENTIATION_NTAR,MATCH(B217,PT_DIFFERENTIATION_NTAR_ID,0))</f>
        <v/>
      </c>
      <c r="H217" s="1777"/>
      <c r="I217" s="1656"/>
      <c r="J217" s="1690"/>
      <c r="K217" s="1695"/>
      <c r="L217" s="1777" t="s">
        <v>327</v>
      </c>
      <c r="M217" s="277"/>
      <c r="N217" s="270"/>
      <c r="O217" s="1542"/>
      <c r="P217" s="1542"/>
      <c r="AH217" s="1549">
        <v>0</v>
      </c>
    </row>
    <row r="218" spans="1:34" s="4133" customFormat="1" ht="18.75" hidden="1" customHeight="1">
      <c r="A218" s="1697"/>
      <c r="B218" s="1697"/>
      <c r="C218" s="304" t="s">
        <v>1190</v>
      </c>
      <c r="D218" s="4569"/>
      <c r="E218" s="4368"/>
      <c r="F218" s="4506"/>
      <c r="G218" s="4543"/>
      <c r="H218" s="1418"/>
      <c r="I218" s="586" t="s">
        <v>1189</v>
      </c>
      <c r="J218" s="506"/>
      <c r="K218" s="1418"/>
      <c r="L218" s="151"/>
      <c r="M218" s="277"/>
      <c r="N218" s="270"/>
      <c r="O218" s="1542"/>
      <c r="P218" s="1542"/>
      <c r="AH218" s="1549">
        <v>0</v>
      </c>
    </row>
    <row r="219" spans="1:34" s="4133" customFormat="1" ht="1.1499999999999999" customHeight="1">
      <c r="A219" s="1697"/>
      <c r="B219" s="1697"/>
      <c r="C219" s="304" t="s">
        <v>1197</v>
      </c>
      <c r="D219" s="4569"/>
      <c r="E219" s="4368"/>
      <c r="F219" s="4506"/>
      <c r="G219" s="335"/>
      <c r="H219" s="1418"/>
      <c r="I219" s="586"/>
      <c r="J219" s="506"/>
      <c r="K219" s="1418"/>
      <c r="L219" s="151"/>
      <c r="M219" s="277"/>
      <c r="N219" s="270"/>
      <c r="O219" s="1542"/>
      <c r="P219" s="1542"/>
      <c r="AH219" s="1549">
        <v>1</v>
      </c>
    </row>
    <row r="220" spans="1:34" ht="27.4" customHeight="1">
      <c r="A220" s="1697"/>
      <c r="B220" s="1697"/>
      <c r="D220" s="311"/>
      <c r="E220" s="85" t="s">
        <v>103</v>
      </c>
      <c r="F220" s="45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4568"/>
      <c r="H220" s="4568"/>
      <c r="I220" s="4568"/>
      <c r="J220" s="4568"/>
      <c r="K220" s="4568"/>
      <c r="L220" s="4568"/>
      <c r="M220" s="233"/>
      <c r="N220" s="270"/>
      <c r="AH220" s="309">
        <v>26</v>
      </c>
    </row>
    <row r="221" spans="1:34" s="4133" customFormat="1" ht="60.75" hidden="1" customHeight="1">
      <c r="A221" s="1697" t="s">
        <v>158</v>
      </c>
      <c r="B221" s="1697" t="s">
        <v>159</v>
      </c>
      <c r="C221" s="304"/>
      <c r="D221" s="4569"/>
      <c r="E221" s="4368"/>
      <c r="F221" s="4506"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4543" t="str">
        <f>INDEX(PT_DIFFERENTIATION_NTAR,MATCH(B221,PT_DIFFERENTIATION_NTAR_ID,0))</f>
        <v/>
      </c>
      <c r="H221" s="1777"/>
      <c r="I221" s="1656"/>
      <c r="J221" s="1690"/>
      <c r="K221" s="1695"/>
      <c r="L221" s="1777" t="s">
        <v>327</v>
      </c>
      <c r="M221" s="4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0"/>
      <c r="O221" s="1542"/>
      <c r="P221" s="1542"/>
      <c r="AH221" s="1549">
        <v>0</v>
      </c>
    </row>
    <row r="222" spans="1:34" s="4133" customFormat="1" ht="18.75" hidden="1" customHeight="1">
      <c r="A222" s="1697"/>
      <c r="B222" s="1697"/>
      <c r="C222" s="304" t="s">
        <v>1190</v>
      </c>
      <c r="D222" s="4569"/>
      <c r="E222" s="4368"/>
      <c r="F222" s="4506"/>
      <c r="G222" s="4543"/>
      <c r="H222" s="1418"/>
      <c r="I222" s="586" t="s">
        <v>1189</v>
      </c>
      <c r="J222" s="506"/>
      <c r="K222" s="1418"/>
      <c r="L222" s="151"/>
      <c r="M222" s="4319"/>
      <c r="N222" s="270"/>
      <c r="O222" s="1542"/>
      <c r="P222" s="1542"/>
      <c r="AH222" s="1549">
        <v>0</v>
      </c>
    </row>
    <row r="223" spans="1:34" s="4133" customFormat="1" ht="0.75" hidden="1" customHeight="1">
      <c r="A223" s="1697"/>
      <c r="B223" s="1697"/>
      <c r="C223" s="304" t="s">
        <v>1197</v>
      </c>
      <c r="D223" s="4569"/>
      <c r="E223" s="4368"/>
      <c r="F223" s="4506"/>
      <c r="G223" s="335"/>
      <c r="H223" s="1418"/>
      <c r="I223" s="586"/>
      <c r="J223" s="506"/>
      <c r="K223" s="1418"/>
      <c r="L223" s="151"/>
      <c r="M223" s="4319"/>
      <c r="N223" s="270"/>
      <c r="O223" s="1542"/>
      <c r="P223" s="1542"/>
      <c r="AH223" s="1549">
        <v>0</v>
      </c>
    </row>
    <row r="224" spans="1:34" s="4133" customFormat="1" ht="45" hidden="1" customHeight="1">
      <c r="A224" s="1697" t="s">
        <v>167</v>
      </c>
      <c r="B224" s="1697" t="s">
        <v>168</v>
      </c>
      <c r="C224" s="304"/>
      <c r="D224" s="4569"/>
      <c r="E224" s="4368"/>
      <c r="F224" s="4506"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4543" t="str">
        <f>INDEX(PT_DIFFERENTIATION_NTAR,MATCH(B224,PT_DIFFERENTIATION_NTAR_ID,0))</f>
        <v>Тарифы на тепловую энергию, поставляемую потребителям</v>
      </c>
      <c r="H224" s="1777"/>
      <c r="I224" s="1656"/>
      <c r="J224" s="1690"/>
      <c r="K224" s="1695"/>
      <c r="L224" s="1777" t="s">
        <v>327</v>
      </c>
      <c r="M224" s="4320"/>
      <c r="N224" s="270"/>
      <c r="O224" s="1542"/>
      <c r="P224" s="1542"/>
      <c r="AH224" s="1549">
        <v>0</v>
      </c>
    </row>
    <row r="225" spans="1:34" s="4133" customFormat="1" ht="18.75" hidden="1" customHeight="1">
      <c r="A225" s="1697"/>
      <c r="B225" s="1697"/>
      <c r="C225" s="304" t="s">
        <v>1190</v>
      </c>
      <c r="D225" s="4569"/>
      <c r="E225" s="4368"/>
      <c r="F225" s="4506"/>
      <c r="G225" s="4543"/>
      <c r="H225" s="1418"/>
      <c r="I225" s="586" t="s">
        <v>1189</v>
      </c>
      <c r="J225" s="506"/>
      <c r="K225" s="1418"/>
      <c r="L225" s="151"/>
      <c r="M225" s="1776"/>
      <c r="N225" s="270"/>
      <c r="O225" s="1542"/>
      <c r="P225" s="1542"/>
      <c r="AH225" s="1549">
        <v>0</v>
      </c>
    </row>
    <row r="226" spans="1:34" s="4214" customFormat="1" ht="18.75" customHeight="1">
      <c r="A226" s="2988" t="s">
        <v>167</v>
      </c>
      <c r="B226" s="2988" t="s">
        <v>178</v>
      </c>
      <c r="C226" s="4068"/>
      <c r="D226" s="4570"/>
      <c r="E226" s="4571"/>
      <c r="F226" s="4571"/>
      <c r="G226" s="4543" t="str">
        <f>INDEX(PT_DIFFERENTIATION_NTAR,MATCH(B226,PT_DIFFERENTIATION_NTAR_ID,0))</f>
        <v>Льготные тарифы на тепловую энергию, поставляемую группе потребителей "население"</v>
      </c>
      <c r="H226" s="2526"/>
      <c r="I226" s="4069"/>
      <c r="J226" s="4070"/>
      <c r="K226" s="4084"/>
      <c r="L226" s="2526" t="s">
        <v>327</v>
      </c>
      <c r="M226" s="4072"/>
      <c r="N226" s="4073"/>
      <c r="O226" s="2994"/>
      <c r="P226" s="2994"/>
      <c r="Q226" s="2055"/>
      <c r="R226" s="2055"/>
      <c r="S226" s="2055"/>
      <c r="T226" s="2055"/>
      <c r="U226" s="2055"/>
      <c r="V226" s="2055"/>
      <c r="W226" s="2055"/>
      <c r="X226" s="2055"/>
      <c r="Y226" s="2055"/>
      <c r="Z226" s="2055"/>
      <c r="AA226" s="2055"/>
      <c r="AB226" s="2055"/>
      <c r="AC226" s="2055"/>
      <c r="AD226" s="2055"/>
      <c r="AE226" s="2055"/>
      <c r="AF226" s="2055"/>
      <c r="AG226" s="2055"/>
      <c r="AH226" s="2055">
        <v>0</v>
      </c>
    </row>
    <row r="227" spans="1:34" s="4214" customFormat="1" ht="18.75" customHeight="1">
      <c r="A227" s="2988"/>
      <c r="B227" s="2988"/>
      <c r="C227" s="4068" t="s">
        <v>1190</v>
      </c>
      <c r="D227" s="4570"/>
      <c r="E227" s="4571"/>
      <c r="F227" s="4571"/>
      <c r="G227" s="4543"/>
      <c r="H227" s="4105"/>
      <c r="I227" s="4106" t="s">
        <v>1189</v>
      </c>
      <c r="J227" s="4107"/>
      <c r="K227" s="4108"/>
      <c r="L227" s="4109"/>
      <c r="M227" s="4072"/>
      <c r="N227" s="4073"/>
      <c r="O227" s="2994"/>
      <c r="P227" s="2994"/>
      <c r="Q227" s="2055"/>
      <c r="R227" s="2055"/>
      <c r="S227" s="2055"/>
      <c r="T227" s="2055"/>
      <c r="U227" s="2055"/>
      <c r="V227" s="2055"/>
      <c r="W227" s="2055"/>
      <c r="X227" s="2055"/>
      <c r="Y227" s="2055"/>
      <c r="Z227" s="2055"/>
      <c r="AA227" s="2055"/>
      <c r="AB227" s="2055"/>
      <c r="AC227" s="2055"/>
      <c r="AD227" s="2055"/>
      <c r="AE227" s="2055"/>
      <c r="AF227" s="2055"/>
      <c r="AG227" s="2055"/>
      <c r="AH227" s="2055">
        <v>0</v>
      </c>
    </row>
    <row r="228" spans="1:34" s="4214" customFormat="1" ht="18.75" customHeight="1">
      <c r="A228" s="2988" t="s">
        <v>167</v>
      </c>
      <c r="B228" s="2988" t="s">
        <v>184</v>
      </c>
      <c r="C228" s="4068"/>
      <c r="D228" s="4570"/>
      <c r="E228" s="4571"/>
      <c r="F228" s="4571"/>
      <c r="G228" s="4543" t="str">
        <f>INDEX(PT_DIFFERENTIATION_NTAR,MATCH(B228,PT_DIFFERENTIATION_NTAR_ID,0))</f>
        <v>Льготные тарифы на тепловую энергию, поставляемую группе потребителей "потребители (кроме населения)"</v>
      </c>
      <c r="H228" s="2526"/>
      <c r="I228" s="4069"/>
      <c r="J228" s="4070"/>
      <c r="K228" s="4084"/>
      <c r="L228" s="2526" t="s">
        <v>327</v>
      </c>
      <c r="M228" s="4072"/>
      <c r="N228" s="4073"/>
      <c r="O228" s="2994"/>
      <c r="P228" s="2994"/>
      <c r="Q228" s="2055"/>
      <c r="R228" s="2055"/>
      <c r="S228" s="2055"/>
      <c r="T228" s="2055"/>
      <c r="U228" s="2055"/>
      <c r="V228" s="2055"/>
      <c r="W228" s="2055"/>
      <c r="X228" s="2055"/>
      <c r="Y228" s="2055"/>
      <c r="Z228" s="2055"/>
      <c r="AA228" s="2055"/>
      <c r="AB228" s="2055"/>
      <c r="AC228" s="2055"/>
      <c r="AD228" s="2055"/>
      <c r="AE228" s="2055"/>
      <c r="AF228" s="2055"/>
      <c r="AG228" s="2055"/>
      <c r="AH228" s="2055">
        <v>0</v>
      </c>
    </row>
    <row r="229" spans="1:34" s="4214" customFormat="1" ht="18.75" customHeight="1">
      <c r="A229" s="2988"/>
      <c r="B229" s="2988"/>
      <c r="C229" s="4068" t="s">
        <v>1190</v>
      </c>
      <c r="D229" s="4570"/>
      <c r="E229" s="4571"/>
      <c r="F229" s="4571"/>
      <c r="G229" s="4543"/>
      <c r="H229" s="4110"/>
      <c r="I229" s="4111" t="s">
        <v>1189</v>
      </c>
      <c r="J229" s="4112"/>
      <c r="K229" s="4113"/>
      <c r="L229" s="4114"/>
      <c r="M229" s="4072"/>
      <c r="N229" s="4073"/>
      <c r="O229" s="2994"/>
      <c r="P229" s="2994"/>
      <c r="Q229" s="2055"/>
      <c r="R229" s="2055"/>
      <c r="S229" s="2055"/>
      <c r="T229" s="2055"/>
      <c r="U229" s="2055"/>
      <c r="V229" s="2055"/>
      <c r="W229" s="2055"/>
      <c r="X229" s="2055"/>
      <c r="Y229" s="2055"/>
      <c r="Z229" s="2055"/>
      <c r="AA229" s="2055"/>
      <c r="AB229" s="2055"/>
      <c r="AC229" s="2055"/>
      <c r="AD229" s="2055"/>
      <c r="AE229" s="2055"/>
      <c r="AF229" s="2055"/>
      <c r="AG229" s="2055"/>
      <c r="AH229" s="2055">
        <v>0</v>
      </c>
    </row>
    <row r="230" spans="1:34" s="4133" customFormat="1" ht="0.75" hidden="1" customHeight="1">
      <c r="A230" s="1697"/>
      <c r="B230" s="1697"/>
      <c r="C230" s="304" t="s">
        <v>1197</v>
      </c>
      <c r="D230" s="4569"/>
      <c r="E230" s="4368"/>
      <c r="F230" s="4506"/>
      <c r="G230" s="335"/>
      <c r="H230" s="1418"/>
      <c r="I230" s="586"/>
      <c r="J230" s="506"/>
      <c r="K230" s="1418"/>
      <c r="L230" s="151"/>
      <c r="M230" s="277"/>
      <c r="N230" s="270"/>
      <c r="O230" s="1542"/>
      <c r="P230" s="1542"/>
      <c r="AH230" s="1549">
        <v>0</v>
      </c>
    </row>
    <row r="231" spans="1:34" s="4133" customFormat="1" ht="45" hidden="1" customHeight="1">
      <c r="A231" s="1697" t="s">
        <v>190</v>
      </c>
      <c r="B231" s="1697" t="s">
        <v>191</v>
      </c>
      <c r="C231" s="304"/>
      <c r="D231" s="4569"/>
      <c r="E231" s="4368"/>
      <c r="F231" s="4506" t="str">
        <f>INDEX(PT_DIFFERENTIATION_VTAR,MATCH(A231,PT_DIFFERENTIATION_VTAR_ID,0))</f>
        <v>Тарифы на теплоноситель, поставляемый теплоснабжающими организациями потребителям, другим теплоснабжающим организациям</v>
      </c>
      <c r="G231" s="4543" t="str">
        <f>INDEX(PT_DIFFERENTIATION_NTAR,MATCH(B231,PT_DIFFERENTIATION_NTAR_ID,0))</f>
        <v/>
      </c>
      <c r="H231" s="1777"/>
      <c r="I231" s="1656"/>
      <c r="J231" s="1690"/>
      <c r="K231" s="1695"/>
      <c r="L231" s="1777" t="s">
        <v>327</v>
      </c>
      <c r="M231" s="277"/>
      <c r="N231" s="270"/>
      <c r="O231" s="1542"/>
      <c r="P231" s="1542"/>
      <c r="AH231" s="1549">
        <v>0</v>
      </c>
    </row>
    <row r="232" spans="1:34" s="4133" customFormat="1" ht="18.75" hidden="1" customHeight="1">
      <c r="A232" s="1697"/>
      <c r="B232" s="1697"/>
      <c r="C232" s="304" t="s">
        <v>1190</v>
      </c>
      <c r="D232" s="4569"/>
      <c r="E232" s="4368"/>
      <c r="F232" s="4506"/>
      <c r="G232" s="4543"/>
      <c r="H232" s="1418"/>
      <c r="I232" s="586" t="s">
        <v>1189</v>
      </c>
      <c r="J232" s="506"/>
      <c r="K232" s="1418"/>
      <c r="L232" s="151"/>
      <c r="M232" s="277"/>
      <c r="N232" s="270"/>
      <c r="O232" s="1542"/>
      <c r="P232" s="1542"/>
      <c r="AH232" s="1549">
        <v>0</v>
      </c>
    </row>
    <row r="233" spans="1:34" s="4133" customFormat="1" ht="0.75" hidden="1" customHeight="1">
      <c r="A233" s="1697"/>
      <c r="B233" s="1697"/>
      <c r="C233" s="304" t="s">
        <v>1197</v>
      </c>
      <c r="D233" s="4569"/>
      <c r="E233" s="4368"/>
      <c r="F233" s="4506"/>
      <c r="G233" s="335"/>
      <c r="H233" s="1418"/>
      <c r="I233" s="586"/>
      <c r="J233" s="506"/>
      <c r="K233" s="1418"/>
      <c r="L233" s="151"/>
      <c r="M233" s="277"/>
      <c r="N233" s="270"/>
      <c r="O233" s="1542"/>
      <c r="P233" s="1542"/>
      <c r="AH233" s="1549">
        <v>0</v>
      </c>
    </row>
    <row r="234" spans="1:34" s="4133" customFormat="1" ht="45" hidden="1" customHeight="1">
      <c r="A234" s="1697" t="s">
        <v>196</v>
      </c>
      <c r="B234" s="1697" t="s">
        <v>197</v>
      </c>
      <c r="C234" s="304"/>
      <c r="D234" s="4569"/>
      <c r="E234" s="4368"/>
      <c r="F234" s="4506"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4543" t="str">
        <f>INDEX(PT_DIFFERENTIATION_NTAR,MATCH(B234,PT_DIFFERENTIATION_NTAR_ID,0))</f>
        <v/>
      </c>
      <c r="H234" s="1777"/>
      <c r="I234" s="1656"/>
      <c r="J234" s="1690"/>
      <c r="K234" s="1695"/>
      <c r="L234" s="1777" t="s">
        <v>327</v>
      </c>
      <c r="M234" s="277"/>
      <c r="N234" s="270"/>
      <c r="O234" s="1542"/>
      <c r="P234" s="1542"/>
      <c r="AH234" s="1549">
        <v>0</v>
      </c>
    </row>
    <row r="235" spans="1:34" s="4133" customFormat="1" ht="18.75" hidden="1" customHeight="1">
      <c r="A235" s="1697"/>
      <c r="B235" s="1697"/>
      <c r="C235" s="304" t="s">
        <v>1190</v>
      </c>
      <c r="D235" s="4569"/>
      <c r="E235" s="4368"/>
      <c r="F235" s="4506"/>
      <c r="G235" s="4543"/>
      <c r="H235" s="1418"/>
      <c r="I235" s="586" t="s">
        <v>1189</v>
      </c>
      <c r="J235" s="506"/>
      <c r="K235" s="1418"/>
      <c r="L235" s="151"/>
      <c r="M235" s="277"/>
      <c r="N235" s="270"/>
      <c r="O235" s="1542"/>
      <c r="P235" s="1542"/>
      <c r="AH235" s="1549">
        <v>0</v>
      </c>
    </row>
    <row r="236" spans="1:34" s="4133" customFormat="1" ht="0.75" hidden="1" customHeight="1">
      <c r="A236" s="1697"/>
      <c r="B236" s="1697"/>
      <c r="C236" s="304" t="s">
        <v>1197</v>
      </c>
      <c r="D236" s="4569"/>
      <c r="E236" s="4368"/>
      <c r="F236" s="4506"/>
      <c r="G236" s="335"/>
      <c r="H236" s="1418"/>
      <c r="I236" s="586"/>
      <c r="J236" s="506"/>
      <c r="K236" s="1418"/>
      <c r="L236" s="151"/>
      <c r="M236" s="277"/>
      <c r="N236" s="270"/>
      <c r="O236" s="1542"/>
      <c r="P236" s="1542"/>
      <c r="AH236" s="1549">
        <v>0</v>
      </c>
    </row>
    <row r="237" spans="1:34" s="4133" customFormat="1" ht="18.75" hidden="1" customHeight="1">
      <c r="A237" s="1697" t="s">
        <v>202</v>
      </c>
      <c r="B237" s="1697" t="s">
        <v>203</v>
      </c>
      <c r="C237" s="304"/>
      <c r="D237" s="4569"/>
      <c r="E237" s="4368"/>
      <c r="F237" s="4506" t="str">
        <f>INDEX(PT_DIFFERENTIATION_VTAR,MATCH(A237,PT_DIFFERENTIATION_VTAR_ID,0))</f>
        <v>Тарифы на услуги по передаче тепловой энергии</v>
      </c>
      <c r="G237" s="4543" t="str">
        <f>INDEX(PT_DIFFERENTIATION_NTAR,MATCH(B237,PT_DIFFERENTIATION_NTAR_ID,0))</f>
        <v/>
      </c>
      <c r="H237" s="1777"/>
      <c r="I237" s="1656"/>
      <c r="J237" s="1690"/>
      <c r="K237" s="1695"/>
      <c r="L237" s="1777" t="s">
        <v>327</v>
      </c>
      <c r="M237" s="277"/>
      <c r="N237" s="270"/>
      <c r="O237" s="1542"/>
      <c r="P237" s="1542"/>
      <c r="AH237" s="1549">
        <v>0</v>
      </c>
    </row>
    <row r="238" spans="1:34" s="4133" customFormat="1" ht="18.75" hidden="1" customHeight="1">
      <c r="A238" s="1697"/>
      <c r="B238" s="1697"/>
      <c r="C238" s="304" t="s">
        <v>1190</v>
      </c>
      <c r="D238" s="4569"/>
      <c r="E238" s="4368"/>
      <c r="F238" s="4506"/>
      <c r="G238" s="4543"/>
      <c r="H238" s="1418"/>
      <c r="I238" s="586" t="s">
        <v>1189</v>
      </c>
      <c r="J238" s="506"/>
      <c r="K238" s="1418"/>
      <c r="L238" s="151"/>
      <c r="M238" s="277"/>
      <c r="N238" s="270"/>
      <c r="O238" s="1542"/>
      <c r="P238" s="1542"/>
      <c r="AH238" s="1549">
        <v>0</v>
      </c>
    </row>
    <row r="239" spans="1:34" s="4133" customFormat="1" ht="0.75" hidden="1" customHeight="1">
      <c r="A239" s="1697"/>
      <c r="B239" s="1697"/>
      <c r="C239" s="304" t="s">
        <v>1197</v>
      </c>
      <c r="D239" s="4569"/>
      <c r="E239" s="4368"/>
      <c r="F239" s="4506"/>
      <c r="G239" s="335"/>
      <c r="H239" s="1418"/>
      <c r="I239" s="586"/>
      <c r="J239" s="506"/>
      <c r="K239" s="1418"/>
      <c r="L239" s="151"/>
      <c r="M239" s="277"/>
      <c r="N239" s="270"/>
      <c r="O239" s="1542"/>
      <c r="P239" s="1542"/>
      <c r="AH239" s="1549">
        <v>0</v>
      </c>
    </row>
    <row r="240" spans="1:34" s="4133" customFormat="1" ht="18.75" hidden="1" customHeight="1">
      <c r="A240" s="1697" t="s">
        <v>208</v>
      </c>
      <c r="B240" s="1697" t="s">
        <v>209</v>
      </c>
      <c r="C240" s="304"/>
      <c r="D240" s="4569"/>
      <c r="E240" s="4368"/>
      <c r="F240" s="4506" t="str">
        <f>INDEX(PT_DIFFERENTIATION_VTAR,MATCH(A240,PT_DIFFERENTIATION_VTAR_ID,0))</f>
        <v>Тарифы на услуги по передаче теплоносителя</v>
      </c>
      <c r="G240" s="4543" t="str">
        <f>INDEX(PT_DIFFERENTIATION_NTAR,MATCH(B240,PT_DIFFERENTIATION_NTAR_ID,0))</f>
        <v/>
      </c>
      <c r="H240" s="1777"/>
      <c r="I240" s="1656"/>
      <c r="J240" s="1690"/>
      <c r="K240" s="1695"/>
      <c r="L240" s="1777" t="s">
        <v>327</v>
      </c>
      <c r="M240" s="277"/>
      <c r="N240" s="270"/>
      <c r="O240" s="1542"/>
      <c r="P240" s="1542"/>
      <c r="AH240" s="1549">
        <v>0</v>
      </c>
    </row>
    <row r="241" spans="1:34" s="4133" customFormat="1" ht="18.75" hidden="1" customHeight="1">
      <c r="A241" s="1697"/>
      <c r="B241" s="1697"/>
      <c r="C241" s="304" t="s">
        <v>1190</v>
      </c>
      <c r="D241" s="4569"/>
      <c r="E241" s="4368"/>
      <c r="F241" s="4506"/>
      <c r="G241" s="4543"/>
      <c r="H241" s="1418"/>
      <c r="I241" s="586" t="s">
        <v>1189</v>
      </c>
      <c r="J241" s="506"/>
      <c r="K241" s="1418"/>
      <c r="L241" s="151"/>
      <c r="M241" s="277"/>
      <c r="N241" s="270"/>
      <c r="O241" s="1542"/>
      <c r="P241" s="1542"/>
      <c r="AH241" s="1549">
        <v>0</v>
      </c>
    </row>
    <row r="242" spans="1:34" s="4133" customFormat="1" ht="0.75" hidden="1" customHeight="1">
      <c r="A242" s="1697"/>
      <c r="B242" s="1697"/>
      <c r="C242" s="304" t="s">
        <v>1197</v>
      </c>
      <c r="D242" s="4569"/>
      <c r="E242" s="4368"/>
      <c r="F242" s="4506"/>
      <c r="G242" s="335"/>
      <c r="H242" s="1418"/>
      <c r="I242" s="586"/>
      <c r="J242" s="506"/>
      <c r="K242" s="1418"/>
      <c r="L242" s="151"/>
      <c r="M242" s="277"/>
      <c r="N242" s="270"/>
      <c r="O242" s="1542"/>
      <c r="P242" s="1542"/>
      <c r="AH242" s="1549">
        <v>0</v>
      </c>
    </row>
    <row r="243" spans="1:34" s="4133" customFormat="1" ht="18.75" hidden="1" customHeight="1">
      <c r="A243" s="1697" t="s">
        <v>214</v>
      </c>
      <c r="B243" s="1697" t="s">
        <v>215</v>
      </c>
      <c r="C243" s="304"/>
      <c r="D243" s="4569"/>
      <c r="E243" s="4368"/>
      <c r="F243" s="4506" t="str">
        <f>INDEX(PT_DIFFERENTIATION_VTAR,MATCH(A243,PT_DIFFERENTIATION_VTAR_ID,0))</f>
        <v>Плата за услуги по поддержанию резервной тепловой мощности при отсутствии потребления тепловой энергии</v>
      </c>
      <c r="G243" s="4543" t="str">
        <f>INDEX(PT_DIFFERENTIATION_NTAR,MATCH(B243,PT_DIFFERENTIATION_NTAR_ID,0))</f>
        <v/>
      </c>
      <c r="H243" s="1777"/>
      <c r="I243" s="1656"/>
      <c r="J243" s="1690"/>
      <c r="K243" s="1695"/>
      <c r="L243" s="1777" t="s">
        <v>327</v>
      </c>
      <c r="M243" s="277"/>
      <c r="N243" s="270"/>
      <c r="O243" s="1542"/>
      <c r="P243" s="1542"/>
      <c r="AH243" s="1549">
        <v>0</v>
      </c>
    </row>
    <row r="244" spans="1:34" s="4133" customFormat="1" ht="18.75" hidden="1" customHeight="1">
      <c r="A244" s="1697"/>
      <c r="B244" s="1697"/>
      <c r="C244" s="304" t="s">
        <v>1190</v>
      </c>
      <c r="D244" s="4569"/>
      <c r="E244" s="4368"/>
      <c r="F244" s="4506"/>
      <c r="G244" s="4543"/>
      <c r="H244" s="1418"/>
      <c r="I244" s="586" t="s">
        <v>1189</v>
      </c>
      <c r="J244" s="506"/>
      <c r="K244" s="1418"/>
      <c r="L244" s="151"/>
      <c r="M244" s="277"/>
      <c r="N244" s="270"/>
      <c r="O244" s="1542"/>
      <c r="P244" s="1542"/>
      <c r="AH244" s="1549">
        <v>0</v>
      </c>
    </row>
    <row r="245" spans="1:34" s="4133" customFormat="1" ht="0.75" hidden="1" customHeight="1">
      <c r="A245" s="1697"/>
      <c r="B245" s="1697"/>
      <c r="C245" s="304" t="s">
        <v>1197</v>
      </c>
      <c r="D245" s="4569"/>
      <c r="E245" s="4368"/>
      <c r="F245" s="4506"/>
      <c r="G245" s="335"/>
      <c r="H245" s="1418"/>
      <c r="I245" s="586"/>
      <c r="J245" s="506"/>
      <c r="K245" s="1418"/>
      <c r="L245" s="151"/>
      <c r="M245" s="277"/>
      <c r="N245" s="270"/>
      <c r="O245" s="1542"/>
      <c r="P245" s="1542"/>
      <c r="AH245" s="1549">
        <v>0</v>
      </c>
    </row>
    <row r="246" spans="1:34" s="4133" customFormat="1" ht="18.75" hidden="1" customHeight="1">
      <c r="A246" s="1697" t="s">
        <v>220</v>
      </c>
      <c r="B246" s="1697" t="s">
        <v>221</v>
      </c>
      <c r="C246" s="304"/>
      <c r="D246" s="4569"/>
      <c r="E246" s="4368"/>
      <c r="F246" s="4506" t="str">
        <f>INDEX(PT_DIFFERENTIATION_VTAR,MATCH(A246,PT_DIFFERENTIATION_VTAR_ID,0))</f>
        <v>Плата за подключение (технологическое присоединение) к системе теплоснабжения</v>
      </c>
      <c r="G246" s="4543" t="str">
        <f>INDEX(PT_DIFFERENTIATION_NTAR,MATCH(B246,PT_DIFFERENTIATION_NTAR_ID,0))</f>
        <v/>
      </c>
      <c r="H246" s="1777"/>
      <c r="I246" s="1656"/>
      <c r="J246" s="1690"/>
      <c r="K246" s="1695"/>
      <c r="L246" s="1777" t="s">
        <v>327</v>
      </c>
      <c r="M246" s="277"/>
      <c r="N246" s="270"/>
      <c r="O246" s="1542"/>
      <c r="P246" s="1542"/>
      <c r="AH246" s="1549">
        <v>0</v>
      </c>
    </row>
    <row r="247" spans="1:34" s="4133" customFormat="1" ht="18.75" hidden="1" customHeight="1">
      <c r="A247" s="1697"/>
      <c r="B247" s="1697"/>
      <c r="C247" s="304" t="s">
        <v>1190</v>
      </c>
      <c r="D247" s="4569"/>
      <c r="E247" s="4368"/>
      <c r="F247" s="4506"/>
      <c r="G247" s="4543"/>
      <c r="H247" s="1418"/>
      <c r="I247" s="586" t="s">
        <v>1189</v>
      </c>
      <c r="J247" s="506"/>
      <c r="K247" s="1418"/>
      <c r="L247" s="151"/>
      <c r="M247" s="277"/>
      <c r="N247" s="270"/>
      <c r="O247" s="1542"/>
      <c r="P247" s="1542"/>
      <c r="AH247" s="1549">
        <v>0</v>
      </c>
    </row>
    <row r="248" spans="1:34" s="4133" customFormat="1" ht="0.75" hidden="1" customHeight="1">
      <c r="A248" s="1697"/>
      <c r="B248" s="1697"/>
      <c r="C248" s="304" t="s">
        <v>1197</v>
      </c>
      <c r="D248" s="4569"/>
      <c r="E248" s="4368"/>
      <c r="F248" s="4506"/>
      <c r="G248" s="335"/>
      <c r="H248" s="1418"/>
      <c r="I248" s="586"/>
      <c r="J248" s="506"/>
      <c r="K248" s="1418"/>
      <c r="L248" s="151"/>
      <c r="M248" s="277"/>
      <c r="N248" s="270"/>
      <c r="O248" s="1542"/>
      <c r="P248" s="1542"/>
      <c r="AH248" s="1549">
        <v>0</v>
      </c>
    </row>
    <row r="249" spans="1:34" s="4133" customFormat="1" ht="18.75" hidden="1" customHeight="1">
      <c r="A249" s="1697" t="s">
        <v>226</v>
      </c>
      <c r="B249" s="1697" t="s">
        <v>227</v>
      </c>
      <c r="C249" s="304"/>
      <c r="D249" s="4569"/>
      <c r="E249" s="4368"/>
      <c r="F249" s="4506" t="str">
        <f>INDEX(PT_DIFFERENTIATION_VTAR,MATCH(A249,PT_DIFFERENTIATION_VTAR_ID,0))</f>
        <v>Плата за подключение (технологическое присоединение) к системе теплоснабжения (индивидуальная)</v>
      </c>
      <c r="G249" s="4543" t="str">
        <f>INDEX(PT_DIFFERENTIATION_NTAR,MATCH(B249,PT_DIFFERENTIATION_NTAR_ID,0))</f>
        <v/>
      </c>
      <c r="H249" s="1901"/>
      <c r="I249" s="1656"/>
      <c r="J249" s="1690"/>
      <c r="K249" s="1695"/>
      <c r="L249" s="1901" t="s">
        <v>327</v>
      </c>
      <c r="M249" s="277"/>
      <c r="N249" s="270"/>
      <c r="O249" s="1542"/>
      <c r="P249" s="1542"/>
      <c r="AH249" s="1549">
        <v>0</v>
      </c>
    </row>
    <row r="250" spans="1:34" s="4133" customFormat="1" ht="18.75" hidden="1" customHeight="1">
      <c r="A250" s="1697"/>
      <c r="B250" s="1697"/>
      <c r="C250" s="304" t="s">
        <v>1190</v>
      </c>
      <c r="D250" s="4569"/>
      <c r="E250" s="4368"/>
      <c r="F250" s="4506"/>
      <c r="G250" s="4543"/>
      <c r="H250" s="1418"/>
      <c r="I250" s="586" t="s">
        <v>1189</v>
      </c>
      <c r="J250" s="506"/>
      <c r="K250" s="1418"/>
      <c r="L250" s="151"/>
      <c r="M250" s="277"/>
      <c r="N250" s="270"/>
      <c r="O250" s="1542"/>
      <c r="P250" s="1542"/>
      <c r="AH250" s="1549">
        <v>0</v>
      </c>
    </row>
    <row r="251" spans="1:34" s="4133" customFormat="1" ht="0.75" hidden="1" customHeight="1">
      <c r="A251" s="1697"/>
      <c r="B251" s="1697"/>
      <c r="C251" s="304" t="s">
        <v>1197</v>
      </c>
      <c r="D251" s="4569"/>
      <c r="E251" s="4368"/>
      <c r="F251" s="4506"/>
      <c r="G251" s="335"/>
      <c r="H251" s="1418"/>
      <c r="I251" s="586"/>
      <c r="J251" s="506"/>
      <c r="K251" s="1418"/>
      <c r="L251" s="151"/>
      <c r="M251" s="277"/>
      <c r="N251" s="270"/>
      <c r="O251" s="1542"/>
      <c r="P251" s="1542"/>
      <c r="AH251" s="1549">
        <v>0</v>
      </c>
    </row>
    <row r="252" spans="1:34" s="4133" customFormat="1" ht="18.75" hidden="1" customHeight="1">
      <c r="A252" s="1697" t="s">
        <v>246</v>
      </c>
      <c r="B252" s="1697" t="s">
        <v>247</v>
      </c>
      <c r="C252" s="304"/>
      <c r="D252" s="4569"/>
      <c r="E252" s="4368"/>
      <c r="F252" s="4506" t="str">
        <f>INDEX(PT_DIFFERENTIATION_VTAR,MATCH(A252,PT_DIFFERENTIATION_VTAR_ID,0))</f>
        <v>Тариф на питьевую воду (питьевое водоснабжение)</v>
      </c>
      <c r="G252" s="4543" t="str">
        <f>INDEX(PT_DIFFERENTIATION_NTAR,MATCH(B252,PT_DIFFERENTIATION_NTAR_ID,0))</f>
        <v/>
      </c>
      <c r="H252" s="1777"/>
      <c r="I252" s="1656"/>
      <c r="J252" s="1690"/>
      <c r="K252" s="1695"/>
      <c r="L252" s="1777" t="s">
        <v>327</v>
      </c>
      <c r="M252" s="277"/>
      <c r="N252" s="270"/>
      <c r="O252" s="1542"/>
      <c r="P252" s="1542"/>
      <c r="AH252" s="1549">
        <v>0</v>
      </c>
    </row>
    <row r="253" spans="1:34" s="4133" customFormat="1" ht="18.75" hidden="1" customHeight="1">
      <c r="A253" s="1697"/>
      <c r="B253" s="1697"/>
      <c r="C253" s="304" t="s">
        <v>1190</v>
      </c>
      <c r="D253" s="4569"/>
      <c r="E253" s="4368"/>
      <c r="F253" s="4506"/>
      <c r="G253" s="4543"/>
      <c r="H253" s="1418"/>
      <c r="I253" s="586" t="s">
        <v>1189</v>
      </c>
      <c r="J253" s="506"/>
      <c r="K253" s="1418"/>
      <c r="L253" s="151"/>
      <c r="M253" s="277"/>
      <c r="N253" s="270"/>
      <c r="O253" s="1542"/>
      <c r="P253" s="1542"/>
      <c r="AH253" s="1549">
        <v>0</v>
      </c>
    </row>
    <row r="254" spans="1:34" s="4133" customFormat="1" ht="0.75" hidden="1" customHeight="1">
      <c r="A254" s="1697"/>
      <c r="B254" s="1697"/>
      <c r="C254" s="304" t="s">
        <v>1197</v>
      </c>
      <c r="D254" s="4569"/>
      <c r="E254" s="4368"/>
      <c r="F254" s="4506"/>
      <c r="G254" s="335"/>
      <c r="H254" s="1418"/>
      <c r="I254" s="586"/>
      <c r="J254" s="506"/>
      <c r="K254" s="1418"/>
      <c r="L254" s="151"/>
      <c r="M254" s="277"/>
      <c r="N254" s="270"/>
      <c r="O254" s="1542"/>
      <c r="P254" s="1542"/>
      <c r="AH254" s="1549">
        <v>0</v>
      </c>
    </row>
    <row r="255" spans="1:34" s="4133" customFormat="1" ht="18.75" hidden="1" customHeight="1">
      <c r="A255" s="1697" t="s">
        <v>251</v>
      </c>
      <c r="B255" s="1697" t="s">
        <v>252</v>
      </c>
      <c r="C255" s="304"/>
      <c r="D255" s="4569"/>
      <c r="E255" s="4368"/>
      <c r="F255" s="4506" t="str">
        <f>INDEX(PT_DIFFERENTIATION_VTAR,MATCH(A255,PT_DIFFERENTIATION_VTAR_ID,0))</f>
        <v>Тариф на техническую воду</v>
      </c>
      <c r="G255" s="4543" t="str">
        <f>INDEX(PT_DIFFERENTIATION_NTAR,MATCH(B255,PT_DIFFERENTIATION_NTAR_ID,0))</f>
        <v/>
      </c>
      <c r="H255" s="1777"/>
      <c r="I255" s="1656"/>
      <c r="J255" s="1690"/>
      <c r="K255" s="1695"/>
      <c r="L255" s="1777" t="s">
        <v>327</v>
      </c>
      <c r="M255" s="277"/>
      <c r="N255" s="270"/>
      <c r="O255" s="1542"/>
      <c r="P255" s="1542"/>
      <c r="AH255" s="1549">
        <v>0</v>
      </c>
    </row>
    <row r="256" spans="1:34" s="4133" customFormat="1" ht="18.75" hidden="1" customHeight="1">
      <c r="A256" s="1697"/>
      <c r="B256" s="1697"/>
      <c r="C256" s="304" t="s">
        <v>1190</v>
      </c>
      <c r="D256" s="4569"/>
      <c r="E256" s="4368"/>
      <c r="F256" s="4506"/>
      <c r="G256" s="4543"/>
      <c r="H256" s="1418"/>
      <c r="I256" s="586" t="s">
        <v>1189</v>
      </c>
      <c r="J256" s="506"/>
      <c r="K256" s="1418"/>
      <c r="L256" s="151"/>
      <c r="M256" s="277"/>
      <c r="N256" s="270"/>
      <c r="O256" s="1542"/>
      <c r="P256" s="1542"/>
      <c r="AH256" s="1549">
        <v>0</v>
      </c>
    </row>
    <row r="257" spans="1:34" s="4133" customFormat="1" ht="0.75" hidden="1" customHeight="1">
      <c r="A257" s="1697"/>
      <c r="B257" s="1697"/>
      <c r="C257" s="304" t="s">
        <v>1197</v>
      </c>
      <c r="D257" s="4569"/>
      <c r="E257" s="4368"/>
      <c r="F257" s="4506"/>
      <c r="G257" s="335"/>
      <c r="H257" s="1418"/>
      <c r="I257" s="586"/>
      <c r="J257" s="506"/>
      <c r="K257" s="1418"/>
      <c r="L257" s="151"/>
      <c r="M257" s="277"/>
      <c r="N257" s="270"/>
      <c r="O257" s="1542"/>
      <c r="P257" s="1542"/>
      <c r="AH257" s="1549">
        <v>0</v>
      </c>
    </row>
    <row r="258" spans="1:34" s="4133" customFormat="1" ht="18.75" hidden="1" customHeight="1">
      <c r="A258" s="1697" t="s">
        <v>256</v>
      </c>
      <c r="B258" s="1697" t="s">
        <v>257</v>
      </c>
      <c r="C258" s="304"/>
      <c r="D258" s="4569"/>
      <c r="E258" s="4368"/>
      <c r="F258" s="4506" t="str">
        <f>INDEX(PT_DIFFERENTIATION_VTAR,MATCH(A258,PT_DIFFERENTIATION_VTAR_ID,0))</f>
        <v>Тариф на транспортировку воды</v>
      </c>
      <c r="G258" s="4543" t="str">
        <f>INDEX(PT_DIFFERENTIATION_NTAR,MATCH(B258,PT_DIFFERENTIATION_NTAR_ID,0))</f>
        <v/>
      </c>
      <c r="H258" s="1777"/>
      <c r="I258" s="1656"/>
      <c r="J258" s="1690"/>
      <c r="K258" s="1695"/>
      <c r="L258" s="1777" t="s">
        <v>327</v>
      </c>
      <c r="M258" s="277"/>
      <c r="N258" s="270"/>
      <c r="O258" s="1542"/>
      <c r="P258" s="1542"/>
      <c r="AH258" s="1549">
        <v>0</v>
      </c>
    </row>
    <row r="259" spans="1:34" s="4133" customFormat="1" ht="18.75" hidden="1" customHeight="1">
      <c r="A259" s="1697"/>
      <c r="B259" s="1697"/>
      <c r="C259" s="304" t="s">
        <v>1190</v>
      </c>
      <c r="D259" s="4569"/>
      <c r="E259" s="4368"/>
      <c r="F259" s="4506"/>
      <c r="G259" s="4543"/>
      <c r="H259" s="1418"/>
      <c r="I259" s="586" t="s">
        <v>1189</v>
      </c>
      <c r="J259" s="506"/>
      <c r="K259" s="1418"/>
      <c r="L259" s="151"/>
      <c r="M259" s="277"/>
      <c r="N259" s="270"/>
      <c r="O259" s="1542"/>
      <c r="P259" s="1542"/>
      <c r="AH259" s="1549">
        <v>0</v>
      </c>
    </row>
    <row r="260" spans="1:34" s="4133" customFormat="1" ht="0.75" hidden="1" customHeight="1">
      <c r="A260" s="1697"/>
      <c r="B260" s="1697"/>
      <c r="C260" s="304" t="s">
        <v>1197</v>
      </c>
      <c r="D260" s="4569"/>
      <c r="E260" s="4368"/>
      <c r="F260" s="4506"/>
      <c r="G260" s="335"/>
      <c r="H260" s="1418"/>
      <c r="I260" s="586"/>
      <c r="J260" s="506"/>
      <c r="K260" s="1418"/>
      <c r="L260" s="151"/>
      <c r="M260" s="277"/>
      <c r="N260" s="270"/>
      <c r="O260" s="1542"/>
      <c r="P260" s="1542"/>
      <c r="AH260" s="1549">
        <v>0</v>
      </c>
    </row>
    <row r="261" spans="1:34" s="4133" customFormat="1" ht="18.75" hidden="1" customHeight="1">
      <c r="A261" s="1697" t="s">
        <v>261</v>
      </c>
      <c r="B261" s="1697" t="s">
        <v>262</v>
      </c>
      <c r="C261" s="304"/>
      <c r="D261" s="4569"/>
      <c r="E261" s="4368"/>
      <c r="F261" s="4506" t="str">
        <f>INDEX(PT_DIFFERENTIATION_VTAR,MATCH(A261,PT_DIFFERENTIATION_VTAR_ID,0))</f>
        <v>Тариф на подвоз воды</v>
      </c>
      <c r="G261" s="4543" t="str">
        <f>INDEX(PT_DIFFERENTIATION_NTAR,MATCH(B261,PT_DIFFERENTIATION_NTAR_ID,0))</f>
        <v/>
      </c>
      <c r="H261" s="1777"/>
      <c r="I261" s="1656"/>
      <c r="J261" s="1690"/>
      <c r="K261" s="1695"/>
      <c r="L261" s="1777" t="s">
        <v>327</v>
      </c>
      <c r="M261" s="277"/>
      <c r="N261" s="270"/>
      <c r="O261" s="1542"/>
      <c r="P261" s="1542"/>
      <c r="AH261" s="1549">
        <v>0</v>
      </c>
    </row>
    <row r="262" spans="1:34" s="4133" customFormat="1" ht="18.75" hidden="1" customHeight="1">
      <c r="A262" s="1697"/>
      <c r="B262" s="1697"/>
      <c r="C262" s="304" t="s">
        <v>1190</v>
      </c>
      <c r="D262" s="4569"/>
      <c r="E262" s="4368"/>
      <c r="F262" s="4506"/>
      <c r="G262" s="4543"/>
      <c r="H262" s="1418"/>
      <c r="I262" s="586" t="s">
        <v>1189</v>
      </c>
      <c r="J262" s="506"/>
      <c r="K262" s="1418"/>
      <c r="L262" s="151"/>
      <c r="M262" s="277"/>
      <c r="N262" s="270"/>
      <c r="O262" s="1542"/>
      <c r="P262" s="1542"/>
      <c r="AH262" s="1549">
        <v>0</v>
      </c>
    </row>
    <row r="263" spans="1:34" s="4133" customFormat="1" ht="0.75" hidden="1" customHeight="1">
      <c r="A263" s="1697"/>
      <c r="B263" s="1697"/>
      <c r="C263" s="304" t="s">
        <v>1197</v>
      </c>
      <c r="D263" s="4569"/>
      <c r="E263" s="4368"/>
      <c r="F263" s="4506"/>
      <c r="G263" s="335"/>
      <c r="H263" s="1418"/>
      <c r="I263" s="586"/>
      <c r="J263" s="506"/>
      <c r="K263" s="1418"/>
      <c r="L263" s="151"/>
      <c r="M263" s="277"/>
      <c r="N263" s="270"/>
      <c r="O263" s="1542"/>
      <c r="P263" s="1542"/>
      <c r="AH263" s="1549">
        <v>0</v>
      </c>
    </row>
    <row r="264" spans="1:34" s="4133" customFormat="1" ht="18.75" hidden="1" customHeight="1">
      <c r="A264" s="1697" t="s">
        <v>266</v>
      </c>
      <c r="B264" s="1697" t="s">
        <v>267</v>
      </c>
      <c r="C264" s="304"/>
      <c r="D264" s="4569"/>
      <c r="E264" s="4368"/>
      <c r="F264" s="4506"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4543" t="str">
        <f>INDEX(PT_DIFFERENTIATION_NTAR,MATCH(B264,PT_DIFFERENTIATION_NTAR_ID,0))</f>
        <v/>
      </c>
      <c r="H264" s="1777"/>
      <c r="I264" s="1656"/>
      <c r="J264" s="1690"/>
      <c r="K264" s="1695"/>
      <c r="L264" s="1777" t="s">
        <v>327</v>
      </c>
      <c r="M264" s="277"/>
      <c r="N264" s="270"/>
      <c r="O264" s="1542"/>
      <c r="P264" s="1542"/>
      <c r="AH264" s="1549">
        <v>0</v>
      </c>
    </row>
    <row r="265" spans="1:34" s="4133" customFormat="1" ht="18.75" hidden="1" customHeight="1">
      <c r="A265" s="1697"/>
      <c r="B265" s="1697"/>
      <c r="C265" s="304" t="s">
        <v>1190</v>
      </c>
      <c r="D265" s="4569"/>
      <c r="E265" s="4368"/>
      <c r="F265" s="4506"/>
      <c r="G265" s="4543"/>
      <c r="H265" s="1418"/>
      <c r="I265" s="586" t="s">
        <v>1189</v>
      </c>
      <c r="J265" s="506"/>
      <c r="K265" s="1418"/>
      <c r="L265" s="151"/>
      <c r="M265" s="277"/>
      <c r="N265" s="270"/>
      <c r="O265" s="1542"/>
      <c r="P265" s="1542"/>
      <c r="AH265" s="1549">
        <v>0</v>
      </c>
    </row>
    <row r="266" spans="1:34" s="4133" customFormat="1" ht="0.75" hidden="1" customHeight="1">
      <c r="A266" s="1697"/>
      <c r="B266" s="1697"/>
      <c r="C266" s="304" t="s">
        <v>1197</v>
      </c>
      <c r="D266" s="4569"/>
      <c r="E266" s="4368"/>
      <c r="F266" s="4506"/>
      <c r="G266" s="335"/>
      <c r="H266" s="1418"/>
      <c r="I266" s="586"/>
      <c r="J266" s="506"/>
      <c r="K266" s="1418"/>
      <c r="L266" s="151"/>
      <c r="M266" s="277"/>
      <c r="N266" s="270"/>
      <c r="O266" s="1542"/>
      <c r="P266" s="1542"/>
      <c r="AH266" s="1549">
        <v>0</v>
      </c>
    </row>
    <row r="267" spans="1:34" s="4133" customFormat="1" ht="18.75" hidden="1" customHeight="1">
      <c r="A267" s="1697" t="s">
        <v>271</v>
      </c>
      <c r="B267" s="1697" t="s">
        <v>272</v>
      </c>
      <c r="C267" s="304"/>
      <c r="D267" s="4569"/>
      <c r="E267" s="4368"/>
      <c r="F267" s="4506" t="str">
        <f>INDEX(PT_DIFFERENTIATION_VTAR,MATCH(A267,PT_DIFFERENTIATION_VTAR_ID,0))</f>
        <v>Тариф на горячую воду (горячее водоснабжение)</v>
      </c>
      <c r="G267" s="4543" t="str">
        <f>INDEX(PT_DIFFERENTIATION_NTAR,MATCH(B267,PT_DIFFERENTIATION_NTAR_ID,0))</f>
        <v/>
      </c>
      <c r="H267" s="1777"/>
      <c r="I267" s="1656"/>
      <c r="J267" s="1690"/>
      <c r="K267" s="1695"/>
      <c r="L267" s="1777" t="s">
        <v>327</v>
      </c>
      <c r="M267" s="277"/>
      <c r="N267" s="270"/>
      <c r="O267" s="1542"/>
      <c r="P267" s="1542"/>
      <c r="AH267" s="1549">
        <v>0</v>
      </c>
    </row>
    <row r="268" spans="1:34" s="4133" customFormat="1" ht="18.75" hidden="1" customHeight="1">
      <c r="A268" s="1697"/>
      <c r="B268" s="1697"/>
      <c r="C268" s="304" t="s">
        <v>1190</v>
      </c>
      <c r="D268" s="4569"/>
      <c r="E268" s="4368"/>
      <c r="F268" s="4506"/>
      <c r="G268" s="4543"/>
      <c r="H268" s="1418"/>
      <c r="I268" s="586" t="s">
        <v>1189</v>
      </c>
      <c r="J268" s="506"/>
      <c r="K268" s="1418"/>
      <c r="L268" s="151"/>
      <c r="M268" s="277"/>
      <c r="N268" s="270"/>
      <c r="O268" s="1542"/>
      <c r="P268" s="1542"/>
      <c r="AH268" s="1549">
        <v>0</v>
      </c>
    </row>
    <row r="269" spans="1:34" s="4133" customFormat="1" ht="0.75" hidden="1" customHeight="1">
      <c r="A269" s="1697"/>
      <c r="B269" s="1697"/>
      <c r="C269" s="304" t="s">
        <v>1197</v>
      </c>
      <c r="D269" s="4569"/>
      <c r="E269" s="4368"/>
      <c r="F269" s="4506"/>
      <c r="G269" s="335"/>
      <c r="H269" s="1418"/>
      <c r="I269" s="586"/>
      <c r="J269" s="506"/>
      <c r="K269" s="1418"/>
      <c r="L269" s="151"/>
      <c r="M269" s="277"/>
      <c r="N269" s="270"/>
      <c r="O269" s="1542"/>
      <c r="P269" s="1542"/>
      <c r="AH269" s="1549">
        <v>0</v>
      </c>
    </row>
    <row r="270" spans="1:34" s="4133" customFormat="1" ht="18.75" hidden="1" customHeight="1">
      <c r="A270" s="1697" t="s">
        <v>276</v>
      </c>
      <c r="B270" s="1697" t="s">
        <v>277</v>
      </c>
      <c r="C270" s="304"/>
      <c r="D270" s="4569"/>
      <c r="E270" s="4368"/>
      <c r="F270" s="4506" t="str">
        <f>INDEX(PT_DIFFERENTIATION_VTAR,MATCH(A270,PT_DIFFERENTIATION_VTAR_ID,0))</f>
        <v>Тариф на транспортировку горячей воды</v>
      </c>
      <c r="G270" s="4543" t="str">
        <f>INDEX(PT_DIFFERENTIATION_NTAR,MATCH(B270,PT_DIFFERENTIATION_NTAR_ID,0))</f>
        <v/>
      </c>
      <c r="H270" s="1777"/>
      <c r="I270" s="1656"/>
      <c r="J270" s="1690"/>
      <c r="K270" s="1695"/>
      <c r="L270" s="1777" t="s">
        <v>327</v>
      </c>
      <c r="M270" s="277"/>
      <c r="N270" s="270"/>
      <c r="O270" s="1542"/>
      <c r="P270" s="1542"/>
      <c r="AH270" s="1549">
        <v>0</v>
      </c>
    </row>
    <row r="271" spans="1:34" s="4133" customFormat="1" ht="18.75" hidden="1" customHeight="1">
      <c r="A271" s="1697"/>
      <c r="B271" s="1697"/>
      <c r="C271" s="304" t="s">
        <v>1190</v>
      </c>
      <c r="D271" s="4569"/>
      <c r="E271" s="4368"/>
      <c r="F271" s="4506"/>
      <c r="G271" s="4543"/>
      <c r="H271" s="1418"/>
      <c r="I271" s="586" t="s">
        <v>1189</v>
      </c>
      <c r="J271" s="506"/>
      <c r="K271" s="1418"/>
      <c r="L271" s="151"/>
      <c r="M271" s="277"/>
      <c r="N271" s="270"/>
      <c r="O271" s="1542"/>
      <c r="P271" s="1542"/>
      <c r="AH271" s="1549">
        <v>0</v>
      </c>
    </row>
    <row r="272" spans="1:34" s="4133" customFormat="1" ht="0.75" hidden="1" customHeight="1">
      <c r="A272" s="1697"/>
      <c r="B272" s="1697"/>
      <c r="C272" s="304" t="s">
        <v>1197</v>
      </c>
      <c r="D272" s="4569"/>
      <c r="E272" s="4368"/>
      <c r="F272" s="4506"/>
      <c r="G272" s="335"/>
      <c r="H272" s="1418"/>
      <c r="I272" s="586"/>
      <c r="J272" s="506"/>
      <c r="K272" s="1418"/>
      <c r="L272" s="151"/>
      <c r="M272" s="277"/>
      <c r="N272" s="270"/>
      <c r="O272" s="1542"/>
      <c r="P272" s="1542"/>
      <c r="AH272" s="1549">
        <v>0</v>
      </c>
    </row>
    <row r="273" spans="1:34" s="4133" customFormat="1" ht="18.75" hidden="1" customHeight="1">
      <c r="A273" s="1697" t="s">
        <v>281</v>
      </c>
      <c r="B273" s="1697" t="s">
        <v>282</v>
      </c>
      <c r="C273" s="304"/>
      <c r="D273" s="4569"/>
      <c r="E273" s="4368"/>
      <c r="F273" s="4506" t="str">
        <f>INDEX(PT_DIFFERENTIATION_VTAR,MATCH(A273,PT_DIFFERENTIATION_VTAR_ID,0))</f>
        <v>Тариф на подключение (технологическое присоединение) к централизованной системе горячего водоснабжения</v>
      </c>
      <c r="G273" s="4543" t="str">
        <f>INDEX(PT_DIFFERENTIATION_NTAR,MATCH(B273,PT_DIFFERENTIATION_NTAR_ID,0))</f>
        <v/>
      </c>
      <c r="H273" s="1777"/>
      <c r="I273" s="1656"/>
      <c r="J273" s="1690"/>
      <c r="K273" s="1695"/>
      <c r="L273" s="1777" t="s">
        <v>327</v>
      </c>
      <c r="M273" s="277"/>
      <c r="N273" s="270"/>
      <c r="O273" s="1542"/>
      <c r="P273" s="1542"/>
      <c r="AH273" s="1549">
        <v>0</v>
      </c>
    </row>
    <row r="274" spans="1:34" s="4133" customFormat="1" ht="18.75" hidden="1" customHeight="1">
      <c r="A274" s="1697"/>
      <c r="B274" s="1697"/>
      <c r="C274" s="304" t="s">
        <v>1190</v>
      </c>
      <c r="D274" s="4569"/>
      <c r="E274" s="4368"/>
      <c r="F274" s="4506"/>
      <c r="G274" s="4543"/>
      <c r="H274" s="1418"/>
      <c r="I274" s="586" t="s">
        <v>1189</v>
      </c>
      <c r="J274" s="506"/>
      <c r="K274" s="1418"/>
      <c r="L274" s="151"/>
      <c r="M274" s="277"/>
      <c r="N274" s="270"/>
      <c r="O274" s="1542"/>
      <c r="P274" s="1542"/>
      <c r="AH274" s="1549">
        <v>0</v>
      </c>
    </row>
    <row r="275" spans="1:34" s="4133" customFormat="1" ht="0.75" hidden="1" customHeight="1">
      <c r="A275" s="1697"/>
      <c r="B275" s="1697"/>
      <c r="C275" s="304" t="s">
        <v>1197</v>
      </c>
      <c r="D275" s="4569"/>
      <c r="E275" s="4368"/>
      <c r="F275" s="4506"/>
      <c r="G275" s="335"/>
      <c r="H275" s="1418"/>
      <c r="I275" s="586"/>
      <c r="J275" s="506"/>
      <c r="K275" s="1418"/>
      <c r="L275" s="151"/>
      <c r="M275" s="277"/>
      <c r="N275" s="270"/>
      <c r="O275" s="1542"/>
      <c r="P275" s="1542"/>
      <c r="AH275" s="1549">
        <v>0</v>
      </c>
    </row>
    <row r="276" spans="1:34" s="4133" customFormat="1" ht="18.75" hidden="1" customHeight="1">
      <c r="A276" s="1697" t="s">
        <v>286</v>
      </c>
      <c r="B276" s="1697" t="s">
        <v>287</v>
      </c>
      <c r="C276" s="304"/>
      <c r="D276" s="4569"/>
      <c r="E276" s="4368"/>
      <c r="F276" s="4506" t="str">
        <f>INDEX(PT_DIFFERENTIATION_VTAR,MATCH(A276,PT_DIFFERENTIATION_VTAR_ID,0))</f>
        <v>Тариф на водоотведение</v>
      </c>
      <c r="G276" s="4543" t="str">
        <f>INDEX(PT_DIFFERENTIATION_NTAR,MATCH(B276,PT_DIFFERENTIATION_NTAR_ID,0))</f>
        <v/>
      </c>
      <c r="H276" s="1777"/>
      <c r="I276" s="1656"/>
      <c r="J276" s="1690"/>
      <c r="K276" s="1695"/>
      <c r="L276" s="1777" t="s">
        <v>327</v>
      </c>
      <c r="M276" s="277"/>
      <c r="N276" s="270"/>
      <c r="O276" s="1542"/>
      <c r="P276" s="1542"/>
      <c r="AH276" s="1549">
        <v>0</v>
      </c>
    </row>
    <row r="277" spans="1:34" s="4133" customFormat="1" ht="18.75" hidden="1" customHeight="1">
      <c r="A277" s="1697"/>
      <c r="B277" s="1697"/>
      <c r="C277" s="304" t="s">
        <v>1190</v>
      </c>
      <c r="D277" s="4569"/>
      <c r="E277" s="4368"/>
      <c r="F277" s="4506"/>
      <c r="G277" s="4543"/>
      <c r="H277" s="1418"/>
      <c r="I277" s="586" t="s">
        <v>1189</v>
      </c>
      <c r="J277" s="506"/>
      <c r="K277" s="1418"/>
      <c r="L277" s="151"/>
      <c r="M277" s="277"/>
      <c r="N277" s="270"/>
      <c r="O277" s="1542"/>
      <c r="P277" s="1542"/>
      <c r="AH277" s="1549">
        <v>0</v>
      </c>
    </row>
    <row r="278" spans="1:34" s="4133" customFormat="1" ht="0.75" hidden="1" customHeight="1">
      <c r="A278" s="1697"/>
      <c r="B278" s="1697"/>
      <c r="C278" s="304" t="s">
        <v>1197</v>
      </c>
      <c r="D278" s="4569"/>
      <c r="E278" s="4368"/>
      <c r="F278" s="4506"/>
      <c r="G278" s="335"/>
      <c r="H278" s="1418"/>
      <c r="I278" s="586"/>
      <c r="J278" s="506"/>
      <c r="K278" s="1418"/>
      <c r="L278" s="151"/>
      <c r="M278" s="277"/>
      <c r="N278" s="270"/>
      <c r="O278" s="1542"/>
      <c r="P278" s="1542"/>
      <c r="AH278" s="1549">
        <v>0</v>
      </c>
    </row>
    <row r="279" spans="1:34" s="4133" customFormat="1" ht="18.75" hidden="1" customHeight="1">
      <c r="A279" s="1697" t="s">
        <v>291</v>
      </c>
      <c r="B279" s="1697" t="s">
        <v>292</v>
      </c>
      <c r="C279" s="304"/>
      <c r="D279" s="4569"/>
      <c r="E279" s="4368"/>
      <c r="F279" s="4506" t="str">
        <f>INDEX(PT_DIFFERENTIATION_VTAR,MATCH(A279,PT_DIFFERENTIATION_VTAR_ID,0))</f>
        <v>Тариф на транспортировку сточных вод</v>
      </c>
      <c r="G279" s="4543" t="str">
        <f>INDEX(PT_DIFFERENTIATION_NTAR,MATCH(B279,PT_DIFFERENTIATION_NTAR_ID,0))</f>
        <v/>
      </c>
      <c r="H279" s="1777"/>
      <c r="I279" s="1656"/>
      <c r="J279" s="1690"/>
      <c r="K279" s="1695"/>
      <c r="L279" s="1777" t="s">
        <v>327</v>
      </c>
      <c r="M279" s="277"/>
      <c r="N279" s="270"/>
      <c r="O279" s="1542"/>
      <c r="P279" s="1542"/>
      <c r="AH279" s="1549">
        <v>0</v>
      </c>
    </row>
    <row r="280" spans="1:34" s="4133" customFormat="1" ht="18.75" hidden="1" customHeight="1">
      <c r="A280" s="1697"/>
      <c r="B280" s="1697"/>
      <c r="C280" s="304" t="s">
        <v>1190</v>
      </c>
      <c r="D280" s="4569"/>
      <c r="E280" s="4368"/>
      <c r="F280" s="4506"/>
      <c r="G280" s="4543"/>
      <c r="H280" s="1418"/>
      <c r="I280" s="586" t="s">
        <v>1189</v>
      </c>
      <c r="J280" s="506"/>
      <c r="K280" s="1418"/>
      <c r="L280" s="151"/>
      <c r="M280" s="277"/>
      <c r="N280" s="270"/>
      <c r="O280" s="1542"/>
      <c r="P280" s="1542"/>
      <c r="AH280" s="1549">
        <v>0</v>
      </c>
    </row>
    <row r="281" spans="1:34" s="4133" customFormat="1" ht="0.75" hidden="1" customHeight="1">
      <c r="A281" s="1697"/>
      <c r="B281" s="1697"/>
      <c r="C281" s="304" t="s">
        <v>1197</v>
      </c>
      <c r="D281" s="4569"/>
      <c r="E281" s="4368"/>
      <c r="F281" s="4506"/>
      <c r="G281" s="335"/>
      <c r="H281" s="1418"/>
      <c r="I281" s="586"/>
      <c r="J281" s="506"/>
      <c r="K281" s="1418"/>
      <c r="L281" s="151"/>
      <c r="M281" s="277"/>
      <c r="N281" s="270"/>
      <c r="O281" s="1542"/>
      <c r="P281" s="1542"/>
      <c r="AH281" s="1549">
        <v>0</v>
      </c>
    </row>
    <row r="282" spans="1:34" s="4133" customFormat="1" ht="18.75" hidden="1" customHeight="1">
      <c r="A282" s="1697" t="s">
        <v>296</v>
      </c>
      <c r="B282" s="1697" t="s">
        <v>297</v>
      </c>
      <c r="C282" s="304"/>
      <c r="D282" s="4569"/>
      <c r="E282" s="4368"/>
      <c r="F282" s="4506" t="str">
        <f>INDEX(PT_DIFFERENTIATION_VTAR,MATCH(A282,PT_DIFFERENTIATION_VTAR_ID,0))</f>
        <v>Тариф на подключение (технологическое присоединение) к централизованной системе водоотведения</v>
      </c>
      <c r="G282" s="4543" t="str">
        <f>INDEX(PT_DIFFERENTIATION_NTAR,MATCH(B282,PT_DIFFERENTIATION_NTAR_ID,0))</f>
        <v/>
      </c>
      <c r="H282" s="1777"/>
      <c r="I282" s="1656"/>
      <c r="J282" s="1690"/>
      <c r="K282" s="1695"/>
      <c r="L282" s="1777" t="s">
        <v>327</v>
      </c>
      <c r="M282" s="277"/>
      <c r="N282" s="270"/>
      <c r="O282" s="1542"/>
      <c r="P282" s="1542"/>
      <c r="AH282" s="1549">
        <v>0</v>
      </c>
    </row>
    <row r="283" spans="1:34" s="4133" customFormat="1" ht="18.75" hidden="1" customHeight="1">
      <c r="A283" s="1697"/>
      <c r="B283" s="1697"/>
      <c r="C283" s="304" t="s">
        <v>1190</v>
      </c>
      <c r="D283" s="4569"/>
      <c r="E283" s="4368"/>
      <c r="F283" s="4506"/>
      <c r="G283" s="4543"/>
      <c r="H283" s="1418"/>
      <c r="I283" s="586" t="s">
        <v>1189</v>
      </c>
      <c r="J283" s="506"/>
      <c r="K283" s="1418"/>
      <c r="L283" s="151"/>
      <c r="M283" s="277"/>
      <c r="N283" s="270"/>
      <c r="O283" s="1542"/>
      <c r="P283" s="1542"/>
      <c r="AH283" s="1549">
        <v>0</v>
      </c>
    </row>
    <row r="284" spans="1:34" s="4133" customFormat="1" ht="1.1499999999999999" customHeight="1">
      <c r="A284" s="1697"/>
      <c r="B284" s="1697"/>
      <c r="C284" s="304" t="s">
        <v>1197</v>
      </c>
      <c r="D284" s="4569"/>
      <c r="E284" s="4368"/>
      <c r="F284" s="4506"/>
      <c r="G284" s="335"/>
      <c r="H284" s="1418"/>
      <c r="I284" s="586"/>
      <c r="J284" s="506"/>
      <c r="K284" s="1418"/>
      <c r="L284" s="151"/>
      <c r="M284" s="277"/>
      <c r="N284" s="270"/>
      <c r="O284" s="1542"/>
      <c r="P284" s="1542"/>
      <c r="AH284" s="1549">
        <v>1</v>
      </c>
    </row>
    <row r="285" spans="1:34" ht="27.4" customHeight="1">
      <c r="A285" s="1697"/>
      <c r="B285" s="1697"/>
      <c r="D285" s="311"/>
      <c r="E285" s="85" t="s">
        <v>96</v>
      </c>
      <c r="F285" s="45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4568"/>
      <c r="H285" s="4568"/>
      <c r="I285" s="4568"/>
      <c r="J285" s="4568"/>
      <c r="K285" s="4568"/>
      <c r="L285" s="4568"/>
      <c r="M285" s="233"/>
      <c r="N285" s="270"/>
      <c r="AH285" s="309">
        <v>26</v>
      </c>
    </row>
    <row r="286" spans="1:34" s="4133" customFormat="1" ht="60.75" hidden="1" customHeight="1">
      <c r="A286" s="1697" t="s">
        <v>158</v>
      </c>
      <c r="B286" s="1697" t="s">
        <v>159</v>
      </c>
      <c r="C286" s="304"/>
      <c r="D286" s="4569"/>
      <c r="E286" s="4368"/>
      <c r="F286" s="4506"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4543" t="str">
        <f>INDEX(PT_DIFFERENTIATION_NTAR,MATCH(B286,PT_DIFFERENTIATION_NTAR_ID,0))</f>
        <v/>
      </c>
      <c r="H286" s="1777"/>
      <c r="I286" s="1656"/>
      <c r="J286" s="1690"/>
      <c r="K286" s="1695"/>
      <c r="L286" s="1777" t="s">
        <v>327</v>
      </c>
      <c r="M286" s="431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0"/>
      <c r="O286" s="1542"/>
      <c r="P286" s="1542"/>
      <c r="AH286" s="1549">
        <v>0</v>
      </c>
    </row>
    <row r="287" spans="1:34" s="4133" customFormat="1" ht="18.75" hidden="1" customHeight="1">
      <c r="A287" s="1697"/>
      <c r="B287" s="1697"/>
      <c r="C287" s="304" t="s">
        <v>1190</v>
      </c>
      <c r="D287" s="4569"/>
      <c r="E287" s="4368"/>
      <c r="F287" s="4506"/>
      <c r="G287" s="4543"/>
      <c r="H287" s="1418"/>
      <c r="I287" s="586" t="s">
        <v>1189</v>
      </c>
      <c r="J287" s="506"/>
      <c r="K287" s="1418"/>
      <c r="L287" s="151"/>
      <c r="M287" s="4319"/>
      <c r="N287" s="270"/>
      <c r="O287" s="1542"/>
      <c r="P287" s="1542"/>
      <c r="AH287" s="1549">
        <v>0</v>
      </c>
    </row>
    <row r="288" spans="1:34" s="4133" customFormat="1" ht="0.75" hidden="1" customHeight="1">
      <c r="A288" s="1697"/>
      <c r="B288" s="1697"/>
      <c r="C288" s="304" t="s">
        <v>1197</v>
      </c>
      <c r="D288" s="4569"/>
      <c r="E288" s="4368"/>
      <c r="F288" s="4506"/>
      <c r="G288" s="335"/>
      <c r="H288" s="1418"/>
      <c r="I288" s="586"/>
      <c r="J288" s="506"/>
      <c r="K288" s="1418"/>
      <c r="L288" s="151"/>
      <c r="M288" s="4319"/>
      <c r="N288" s="270"/>
      <c r="O288" s="1542"/>
      <c r="P288" s="1542"/>
      <c r="AH288" s="1549">
        <v>0</v>
      </c>
    </row>
    <row r="289" spans="1:34" s="4133" customFormat="1" ht="45" hidden="1" customHeight="1">
      <c r="A289" s="1697" t="s">
        <v>167</v>
      </c>
      <c r="B289" s="1697" t="s">
        <v>168</v>
      </c>
      <c r="C289" s="304"/>
      <c r="D289" s="4569"/>
      <c r="E289" s="4368"/>
      <c r="F289" s="4506"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4543" t="str">
        <f>INDEX(PT_DIFFERENTIATION_NTAR,MATCH(B289,PT_DIFFERENTIATION_NTAR_ID,0))</f>
        <v>Тарифы на тепловую энергию, поставляемую потребителям</v>
      </c>
      <c r="H289" s="1777"/>
      <c r="I289" s="1656"/>
      <c r="J289" s="1690"/>
      <c r="K289" s="1695"/>
      <c r="L289" s="1777" t="s">
        <v>327</v>
      </c>
      <c r="M289" s="4320"/>
      <c r="N289" s="270"/>
      <c r="O289" s="1542"/>
      <c r="P289" s="1542"/>
      <c r="AH289" s="1549">
        <v>0</v>
      </c>
    </row>
    <row r="290" spans="1:34" s="4133" customFormat="1" ht="18.75" hidden="1" customHeight="1">
      <c r="A290" s="1697"/>
      <c r="B290" s="1697"/>
      <c r="C290" s="304" t="s">
        <v>1190</v>
      </c>
      <c r="D290" s="4569"/>
      <c r="E290" s="4368"/>
      <c r="F290" s="4506"/>
      <c r="G290" s="4543"/>
      <c r="H290" s="1418"/>
      <c r="I290" s="586" t="s">
        <v>1189</v>
      </c>
      <c r="J290" s="506"/>
      <c r="K290" s="1418"/>
      <c r="L290" s="151"/>
      <c r="M290" s="1776"/>
      <c r="N290" s="270"/>
      <c r="O290" s="1542"/>
      <c r="P290" s="1542"/>
      <c r="AH290" s="1549">
        <v>0</v>
      </c>
    </row>
    <row r="291" spans="1:34" s="4214" customFormat="1" ht="18.75" customHeight="1">
      <c r="A291" s="2988" t="s">
        <v>167</v>
      </c>
      <c r="B291" s="2988" t="s">
        <v>178</v>
      </c>
      <c r="C291" s="4068"/>
      <c r="D291" s="4570"/>
      <c r="E291" s="4571"/>
      <c r="F291" s="4571"/>
      <c r="G291" s="4543" t="str">
        <f>INDEX(PT_DIFFERENTIATION_NTAR,MATCH(B291,PT_DIFFERENTIATION_NTAR_ID,0))</f>
        <v>Льготные тарифы на тепловую энергию, поставляемую группе потребителей "население"</v>
      </c>
      <c r="H291" s="2526"/>
      <c r="I291" s="4069"/>
      <c r="J291" s="4070"/>
      <c r="K291" s="4084"/>
      <c r="L291" s="2526" t="s">
        <v>327</v>
      </c>
      <c r="M291" s="4072"/>
      <c r="N291" s="4073"/>
      <c r="O291" s="2994"/>
      <c r="P291" s="2994"/>
      <c r="Q291" s="2055"/>
      <c r="R291" s="2055"/>
      <c r="S291" s="2055"/>
      <c r="T291" s="2055"/>
      <c r="U291" s="2055"/>
      <c r="V291" s="2055"/>
      <c r="W291" s="2055"/>
      <c r="X291" s="2055"/>
      <c r="Y291" s="2055"/>
      <c r="Z291" s="2055"/>
      <c r="AA291" s="2055"/>
      <c r="AB291" s="2055"/>
      <c r="AC291" s="2055"/>
      <c r="AD291" s="2055"/>
      <c r="AE291" s="2055"/>
      <c r="AF291" s="2055"/>
      <c r="AG291" s="2055"/>
      <c r="AH291" s="2055">
        <v>0</v>
      </c>
    </row>
    <row r="292" spans="1:34" s="4214" customFormat="1" ht="18.75" customHeight="1">
      <c r="A292" s="2988"/>
      <c r="B292" s="2988"/>
      <c r="C292" s="4068" t="s">
        <v>1190</v>
      </c>
      <c r="D292" s="4570"/>
      <c r="E292" s="4571"/>
      <c r="F292" s="4571"/>
      <c r="G292" s="4543"/>
      <c r="H292" s="4115"/>
      <c r="I292" s="4116" t="s">
        <v>1189</v>
      </c>
      <c r="J292" s="4117"/>
      <c r="K292" s="4118"/>
      <c r="L292" s="4119"/>
      <c r="M292" s="4072"/>
      <c r="N292" s="4073"/>
      <c r="O292" s="2994"/>
      <c r="P292" s="2994"/>
      <c r="Q292" s="2055"/>
      <c r="R292" s="2055"/>
      <c r="S292" s="2055"/>
      <c r="T292" s="2055"/>
      <c r="U292" s="2055"/>
      <c r="V292" s="2055"/>
      <c r="W292" s="2055"/>
      <c r="X292" s="2055"/>
      <c r="Y292" s="2055"/>
      <c r="Z292" s="2055"/>
      <c r="AA292" s="2055"/>
      <c r="AB292" s="2055"/>
      <c r="AC292" s="2055"/>
      <c r="AD292" s="2055"/>
      <c r="AE292" s="2055"/>
      <c r="AF292" s="2055"/>
      <c r="AG292" s="2055"/>
      <c r="AH292" s="2055">
        <v>0</v>
      </c>
    </row>
    <row r="293" spans="1:34" s="4214" customFormat="1" ht="18.75" customHeight="1">
      <c r="A293" s="2988" t="s">
        <v>167</v>
      </c>
      <c r="B293" s="2988" t="s">
        <v>184</v>
      </c>
      <c r="C293" s="4068"/>
      <c r="D293" s="4570"/>
      <c r="E293" s="4571"/>
      <c r="F293" s="4571"/>
      <c r="G293" s="4543" t="str">
        <f>INDEX(PT_DIFFERENTIATION_NTAR,MATCH(B293,PT_DIFFERENTIATION_NTAR_ID,0))</f>
        <v>Льготные тарифы на тепловую энергию, поставляемую группе потребителей "потребители (кроме населения)"</v>
      </c>
      <c r="H293" s="2526"/>
      <c r="I293" s="4069"/>
      <c r="J293" s="4070"/>
      <c r="K293" s="4084"/>
      <c r="L293" s="2526" t="s">
        <v>327</v>
      </c>
      <c r="M293" s="4072"/>
      <c r="N293" s="4073"/>
      <c r="O293" s="2994"/>
      <c r="P293" s="2994"/>
      <c r="Q293" s="2055"/>
      <c r="R293" s="2055"/>
      <c r="S293" s="2055"/>
      <c r="T293" s="2055"/>
      <c r="U293" s="2055"/>
      <c r="V293" s="2055"/>
      <c r="W293" s="2055"/>
      <c r="X293" s="2055"/>
      <c r="Y293" s="2055"/>
      <c r="Z293" s="2055"/>
      <c r="AA293" s="2055"/>
      <c r="AB293" s="2055"/>
      <c r="AC293" s="2055"/>
      <c r="AD293" s="2055"/>
      <c r="AE293" s="2055"/>
      <c r="AF293" s="2055"/>
      <c r="AG293" s="2055"/>
      <c r="AH293" s="2055">
        <v>0</v>
      </c>
    </row>
    <row r="294" spans="1:34" s="4214" customFormat="1" ht="18.75" customHeight="1">
      <c r="A294" s="2988"/>
      <c r="B294" s="2988"/>
      <c r="C294" s="4068" t="s">
        <v>1190</v>
      </c>
      <c r="D294" s="4570"/>
      <c r="E294" s="4571"/>
      <c r="F294" s="4571"/>
      <c r="G294" s="4543"/>
      <c r="H294" s="4120"/>
      <c r="I294" s="4121" t="s">
        <v>1189</v>
      </c>
      <c r="J294" s="4122"/>
      <c r="K294" s="4123"/>
      <c r="L294" s="4124"/>
      <c r="M294" s="4072"/>
      <c r="N294" s="4073"/>
      <c r="O294" s="2994"/>
      <c r="P294" s="2994"/>
      <c r="Q294" s="2055"/>
      <c r="R294" s="2055"/>
      <c r="S294" s="2055"/>
      <c r="T294" s="2055"/>
      <c r="U294" s="2055"/>
      <c r="V294" s="2055"/>
      <c r="W294" s="2055"/>
      <c r="X294" s="2055"/>
      <c r="Y294" s="2055"/>
      <c r="Z294" s="2055"/>
      <c r="AA294" s="2055"/>
      <c r="AB294" s="2055"/>
      <c r="AC294" s="2055"/>
      <c r="AD294" s="2055"/>
      <c r="AE294" s="2055"/>
      <c r="AF294" s="2055"/>
      <c r="AG294" s="2055"/>
      <c r="AH294" s="2055">
        <v>0</v>
      </c>
    </row>
    <row r="295" spans="1:34" s="4133" customFormat="1" ht="0.75" hidden="1" customHeight="1">
      <c r="A295" s="1697"/>
      <c r="B295" s="1697"/>
      <c r="C295" s="304" t="s">
        <v>1197</v>
      </c>
      <c r="D295" s="4569"/>
      <c r="E295" s="4368"/>
      <c r="F295" s="4506"/>
      <c r="G295" s="335"/>
      <c r="H295" s="1418"/>
      <c r="I295" s="586"/>
      <c r="J295" s="506"/>
      <c r="K295" s="1418"/>
      <c r="L295" s="151"/>
      <c r="M295" s="277"/>
      <c r="N295" s="270"/>
      <c r="O295" s="1542"/>
      <c r="P295" s="1542"/>
      <c r="AH295" s="1549">
        <v>0</v>
      </c>
    </row>
    <row r="296" spans="1:34" s="4133" customFormat="1" ht="45" hidden="1" customHeight="1">
      <c r="A296" s="1697" t="s">
        <v>190</v>
      </c>
      <c r="B296" s="1697" t="s">
        <v>191</v>
      </c>
      <c r="C296" s="304"/>
      <c r="D296" s="4569"/>
      <c r="E296" s="4368"/>
      <c r="F296" s="4506" t="str">
        <f>INDEX(PT_DIFFERENTIATION_VTAR,MATCH(A296,PT_DIFFERENTIATION_VTAR_ID,0))</f>
        <v>Тарифы на теплоноситель, поставляемый теплоснабжающими организациями потребителям, другим теплоснабжающим организациям</v>
      </c>
      <c r="G296" s="4543" t="str">
        <f>INDEX(PT_DIFFERENTIATION_NTAR,MATCH(B296,PT_DIFFERENTIATION_NTAR_ID,0))</f>
        <v/>
      </c>
      <c r="H296" s="1777"/>
      <c r="I296" s="1656"/>
      <c r="J296" s="1690"/>
      <c r="K296" s="1695"/>
      <c r="L296" s="1777" t="s">
        <v>327</v>
      </c>
      <c r="M296" s="277"/>
      <c r="N296" s="270"/>
      <c r="O296" s="1542"/>
      <c r="P296" s="1542"/>
      <c r="AH296" s="1549">
        <v>0</v>
      </c>
    </row>
    <row r="297" spans="1:34" s="4133" customFormat="1" ht="18.75" hidden="1" customHeight="1">
      <c r="A297" s="1697"/>
      <c r="B297" s="1697"/>
      <c r="C297" s="304" t="s">
        <v>1190</v>
      </c>
      <c r="D297" s="4569"/>
      <c r="E297" s="4368"/>
      <c r="F297" s="4506"/>
      <c r="G297" s="4543"/>
      <c r="H297" s="1418"/>
      <c r="I297" s="586" t="s">
        <v>1189</v>
      </c>
      <c r="J297" s="506"/>
      <c r="K297" s="1418"/>
      <c r="L297" s="151"/>
      <c r="M297" s="277"/>
      <c r="N297" s="270"/>
      <c r="O297" s="1542"/>
      <c r="P297" s="1542"/>
      <c r="AH297" s="1549">
        <v>0</v>
      </c>
    </row>
    <row r="298" spans="1:34" s="4133" customFormat="1" ht="0.75" hidden="1" customHeight="1">
      <c r="A298" s="1697"/>
      <c r="B298" s="1697"/>
      <c r="C298" s="304" t="s">
        <v>1197</v>
      </c>
      <c r="D298" s="4569"/>
      <c r="E298" s="4368"/>
      <c r="F298" s="4506"/>
      <c r="G298" s="335"/>
      <c r="H298" s="1418"/>
      <c r="I298" s="586"/>
      <c r="J298" s="506"/>
      <c r="K298" s="1418"/>
      <c r="L298" s="151"/>
      <c r="M298" s="277"/>
      <c r="N298" s="270"/>
      <c r="O298" s="1542"/>
      <c r="P298" s="1542"/>
      <c r="AH298" s="1549">
        <v>0</v>
      </c>
    </row>
    <row r="299" spans="1:34" s="4133" customFormat="1" ht="45" hidden="1" customHeight="1">
      <c r="A299" s="1697" t="s">
        <v>196</v>
      </c>
      <c r="B299" s="1697" t="s">
        <v>197</v>
      </c>
      <c r="C299" s="304"/>
      <c r="D299" s="4569"/>
      <c r="E299" s="4368"/>
      <c r="F299" s="4506"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4543" t="str">
        <f>INDEX(PT_DIFFERENTIATION_NTAR,MATCH(B299,PT_DIFFERENTIATION_NTAR_ID,0))</f>
        <v/>
      </c>
      <c r="H299" s="1777"/>
      <c r="I299" s="1656"/>
      <c r="J299" s="1690"/>
      <c r="K299" s="1695"/>
      <c r="L299" s="1777" t="s">
        <v>327</v>
      </c>
      <c r="M299" s="277"/>
      <c r="N299" s="270"/>
      <c r="O299" s="1542"/>
      <c r="P299" s="1542"/>
      <c r="AH299" s="1549">
        <v>0</v>
      </c>
    </row>
    <row r="300" spans="1:34" s="4133" customFormat="1" ht="18.75" hidden="1" customHeight="1">
      <c r="A300" s="1697"/>
      <c r="B300" s="1697"/>
      <c r="C300" s="304" t="s">
        <v>1190</v>
      </c>
      <c r="D300" s="4569"/>
      <c r="E300" s="4368"/>
      <c r="F300" s="4506"/>
      <c r="G300" s="4543"/>
      <c r="H300" s="1418"/>
      <c r="I300" s="586" t="s">
        <v>1189</v>
      </c>
      <c r="J300" s="506"/>
      <c r="K300" s="1418"/>
      <c r="L300" s="151"/>
      <c r="M300" s="277"/>
      <c r="N300" s="270"/>
      <c r="O300" s="1542"/>
      <c r="P300" s="1542"/>
      <c r="AH300" s="1549">
        <v>0</v>
      </c>
    </row>
    <row r="301" spans="1:34" s="4133" customFormat="1" ht="0.75" hidden="1" customHeight="1">
      <c r="A301" s="1697"/>
      <c r="B301" s="1697"/>
      <c r="C301" s="304" t="s">
        <v>1197</v>
      </c>
      <c r="D301" s="4569"/>
      <c r="E301" s="4368"/>
      <c r="F301" s="4506"/>
      <c r="G301" s="335"/>
      <c r="H301" s="1418"/>
      <c r="I301" s="586"/>
      <c r="J301" s="506"/>
      <c r="K301" s="1418"/>
      <c r="L301" s="151"/>
      <c r="M301" s="277"/>
      <c r="N301" s="270"/>
      <c r="O301" s="1542"/>
      <c r="P301" s="1542"/>
      <c r="AH301" s="1549">
        <v>0</v>
      </c>
    </row>
    <row r="302" spans="1:34" s="4133" customFormat="1" ht="18.75" hidden="1" customHeight="1">
      <c r="A302" s="1697" t="s">
        <v>202</v>
      </c>
      <c r="B302" s="1697" t="s">
        <v>203</v>
      </c>
      <c r="C302" s="304"/>
      <c r="D302" s="4569"/>
      <c r="E302" s="4368"/>
      <c r="F302" s="4506" t="str">
        <f>INDEX(PT_DIFFERENTIATION_VTAR,MATCH(A302,PT_DIFFERENTIATION_VTAR_ID,0))</f>
        <v>Тарифы на услуги по передаче тепловой энергии</v>
      </c>
      <c r="G302" s="4543" t="str">
        <f>INDEX(PT_DIFFERENTIATION_NTAR,MATCH(B302,PT_DIFFERENTIATION_NTAR_ID,0))</f>
        <v/>
      </c>
      <c r="H302" s="1777"/>
      <c r="I302" s="1656"/>
      <c r="J302" s="1690"/>
      <c r="K302" s="1695"/>
      <c r="L302" s="1777" t="s">
        <v>327</v>
      </c>
      <c r="M302" s="277"/>
      <c r="N302" s="270"/>
      <c r="O302" s="1542"/>
      <c r="P302" s="1542"/>
      <c r="AH302" s="1549">
        <v>0</v>
      </c>
    </row>
    <row r="303" spans="1:34" s="4133" customFormat="1" ht="18.75" hidden="1" customHeight="1">
      <c r="A303" s="1697"/>
      <c r="B303" s="1697"/>
      <c r="C303" s="304" t="s">
        <v>1190</v>
      </c>
      <c r="D303" s="4569"/>
      <c r="E303" s="4368"/>
      <c r="F303" s="4506"/>
      <c r="G303" s="4543"/>
      <c r="H303" s="1418"/>
      <c r="I303" s="586" t="s">
        <v>1189</v>
      </c>
      <c r="J303" s="506"/>
      <c r="K303" s="1418"/>
      <c r="L303" s="151"/>
      <c r="M303" s="277"/>
      <c r="N303" s="270"/>
      <c r="O303" s="1542"/>
      <c r="P303" s="1542"/>
      <c r="AH303" s="1549">
        <v>0</v>
      </c>
    </row>
    <row r="304" spans="1:34" s="4133" customFormat="1" ht="0.75" hidden="1" customHeight="1">
      <c r="A304" s="1697"/>
      <c r="B304" s="1697"/>
      <c r="C304" s="304" t="s">
        <v>1197</v>
      </c>
      <c r="D304" s="4569"/>
      <c r="E304" s="4368"/>
      <c r="F304" s="4506"/>
      <c r="G304" s="335"/>
      <c r="H304" s="1418"/>
      <c r="I304" s="586"/>
      <c r="J304" s="506"/>
      <c r="K304" s="1418"/>
      <c r="L304" s="151"/>
      <c r="M304" s="277"/>
      <c r="N304" s="270"/>
      <c r="O304" s="1542"/>
      <c r="P304" s="1542"/>
      <c r="AH304" s="1549">
        <v>0</v>
      </c>
    </row>
    <row r="305" spans="1:34" s="4133" customFormat="1" ht="18.75" hidden="1" customHeight="1">
      <c r="A305" s="1697" t="s">
        <v>208</v>
      </c>
      <c r="B305" s="1697" t="s">
        <v>209</v>
      </c>
      <c r="C305" s="304"/>
      <c r="D305" s="4569"/>
      <c r="E305" s="4368"/>
      <c r="F305" s="4506" t="str">
        <f>INDEX(PT_DIFFERENTIATION_VTAR,MATCH(A305,PT_DIFFERENTIATION_VTAR_ID,0))</f>
        <v>Тарифы на услуги по передаче теплоносителя</v>
      </c>
      <c r="G305" s="4543" t="str">
        <f>INDEX(PT_DIFFERENTIATION_NTAR,MATCH(B305,PT_DIFFERENTIATION_NTAR_ID,0))</f>
        <v/>
      </c>
      <c r="H305" s="1777"/>
      <c r="I305" s="1656"/>
      <c r="J305" s="1690"/>
      <c r="K305" s="1695"/>
      <c r="L305" s="1777" t="s">
        <v>327</v>
      </c>
      <c r="M305" s="277"/>
      <c r="N305" s="270"/>
      <c r="O305" s="1542"/>
      <c r="P305" s="1542"/>
      <c r="AH305" s="1549">
        <v>0</v>
      </c>
    </row>
    <row r="306" spans="1:34" s="4133" customFormat="1" ht="18.75" hidden="1" customHeight="1">
      <c r="A306" s="1697"/>
      <c r="B306" s="1697"/>
      <c r="C306" s="304" t="s">
        <v>1190</v>
      </c>
      <c r="D306" s="4569"/>
      <c r="E306" s="4368"/>
      <c r="F306" s="4506"/>
      <c r="G306" s="4543"/>
      <c r="H306" s="1418"/>
      <c r="I306" s="586" t="s">
        <v>1189</v>
      </c>
      <c r="J306" s="506"/>
      <c r="K306" s="1418"/>
      <c r="L306" s="151"/>
      <c r="M306" s="277"/>
      <c r="N306" s="270"/>
      <c r="O306" s="1542"/>
      <c r="P306" s="1542"/>
      <c r="AH306" s="1549">
        <v>0</v>
      </c>
    </row>
    <row r="307" spans="1:34" s="4133" customFormat="1" ht="0.75" hidden="1" customHeight="1">
      <c r="A307" s="1697"/>
      <c r="B307" s="1697"/>
      <c r="C307" s="304" t="s">
        <v>1197</v>
      </c>
      <c r="D307" s="4569"/>
      <c r="E307" s="4368"/>
      <c r="F307" s="4506"/>
      <c r="G307" s="335"/>
      <c r="H307" s="1418"/>
      <c r="I307" s="586"/>
      <c r="J307" s="506"/>
      <c r="K307" s="1418"/>
      <c r="L307" s="151"/>
      <c r="M307" s="277"/>
      <c r="N307" s="270"/>
      <c r="O307" s="1542"/>
      <c r="P307" s="1542"/>
      <c r="AH307" s="1549">
        <v>0</v>
      </c>
    </row>
    <row r="308" spans="1:34" s="4133" customFormat="1" ht="18.75" hidden="1" customHeight="1">
      <c r="A308" s="1697" t="s">
        <v>214</v>
      </c>
      <c r="B308" s="1697" t="s">
        <v>215</v>
      </c>
      <c r="C308" s="304"/>
      <c r="D308" s="4569"/>
      <c r="E308" s="4368"/>
      <c r="F308" s="4506" t="str">
        <f>INDEX(PT_DIFFERENTIATION_VTAR,MATCH(A308,PT_DIFFERENTIATION_VTAR_ID,0))</f>
        <v>Плата за услуги по поддержанию резервной тепловой мощности при отсутствии потребления тепловой энергии</v>
      </c>
      <c r="G308" s="4543" t="str">
        <f>INDEX(PT_DIFFERENTIATION_NTAR,MATCH(B308,PT_DIFFERENTIATION_NTAR_ID,0))</f>
        <v/>
      </c>
      <c r="H308" s="1777"/>
      <c r="I308" s="1656"/>
      <c r="J308" s="1690"/>
      <c r="K308" s="1695"/>
      <c r="L308" s="1777" t="s">
        <v>327</v>
      </c>
      <c r="M308" s="277"/>
      <c r="N308" s="270"/>
      <c r="O308" s="1542"/>
      <c r="P308" s="1542"/>
      <c r="AH308" s="1549">
        <v>0</v>
      </c>
    </row>
    <row r="309" spans="1:34" s="4133" customFormat="1" ht="18.75" hidden="1" customHeight="1">
      <c r="A309" s="1697"/>
      <c r="B309" s="1697"/>
      <c r="C309" s="304" t="s">
        <v>1190</v>
      </c>
      <c r="D309" s="4569"/>
      <c r="E309" s="4368"/>
      <c r="F309" s="4506"/>
      <c r="G309" s="4543"/>
      <c r="H309" s="1418"/>
      <c r="I309" s="586" t="s">
        <v>1189</v>
      </c>
      <c r="J309" s="506"/>
      <c r="K309" s="1418"/>
      <c r="L309" s="151"/>
      <c r="M309" s="277"/>
      <c r="N309" s="270"/>
      <c r="O309" s="1542"/>
      <c r="P309" s="1542"/>
      <c r="AH309" s="1549">
        <v>0</v>
      </c>
    </row>
    <row r="310" spans="1:34" s="4133" customFormat="1" ht="0.75" hidden="1" customHeight="1">
      <c r="A310" s="1697"/>
      <c r="B310" s="1697"/>
      <c r="C310" s="304" t="s">
        <v>1197</v>
      </c>
      <c r="D310" s="4569"/>
      <c r="E310" s="4368"/>
      <c r="F310" s="4506"/>
      <c r="G310" s="335"/>
      <c r="H310" s="1418"/>
      <c r="I310" s="586"/>
      <c r="J310" s="506"/>
      <c r="K310" s="1418"/>
      <c r="L310" s="151"/>
      <c r="M310" s="277"/>
      <c r="N310" s="270"/>
      <c r="O310" s="1542"/>
      <c r="P310" s="1542"/>
      <c r="AH310" s="1549">
        <v>0</v>
      </c>
    </row>
    <row r="311" spans="1:34" s="4133" customFormat="1" ht="18.75" hidden="1" customHeight="1">
      <c r="A311" s="1697" t="s">
        <v>220</v>
      </c>
      <c r="B311" s="1697" t="s">
        <v>221</v>
      </c>
      <c r="C311" s="304"/>
      <c r="D311" s="4569"/>
      <c r="E311" s="4368"/>
      <c r="F311" s="4506" t="str">
        <f>INDEX(PT_DIFFERENTIATION_VTAR,MATCH(A311,PT_DIFFERENTIATION_VTAR_ID,0))</f>
        <v>Плата за подключение (технологическое присоединение) к системе теплоснабжения</v>
      </c>
      <c r="G311" s="4543" t="str">
        <f>INDEX(PT_DIFFERENTIATION_NTAR,MATCH(B311,PT_DIFFERENTIATION_NTAR_ID,0))</f>
        <v/>
      </c>
      <c r="H311" s="1777"/>
      <c r="I311" s="1656"/>
      <c r="J311" s="1690"/>
      <c r="K311" s="1695"/>
      <c r="L311" s="1777" t="s">
        <v>327</v>
      </c>
      <c r="M311" s="277"/>
      <c r="N311" s="270"/>
      <c r="O311" s="1542"/>
      <c r="P311" s="1542"/>
      <c r="AH311" s="1549">
        <v>0</v>
      </c>
    </row>
    <row r="312" spans="1:34" s="4133" customFormat="1" ht="18.75" hidden="1" customHeight="1">
      <c r="A312" s="1697"/>
      <c r="B312" s="1697"/>
      <c r="C312" s="304" t="s">
        <v>1190</v>
      </c>
      <c r="D312" s="4569"/>
      <c r="E312" s="4368"/>
      <c r="F312" s="4506"/>
      <c r="G312" s="4543"/>
      <c r="H312" s="1418"/>
      <c r="I312" s="586" t="s">
        <v>1189</v>
      </c>
      <c r="J312" s="506"/>
      <c r="K312" s="1418"/>
      <c r="L312" s="151"/>
      <c r="M312" s="277"/>
      <c r="N312" s="270"/>
      <c r="O312" s="1542"/>
      <c r="P312" s="1542"/>
      <c r="AH312" s="1549">
        <v>0</v>
      </c>
    </row>
    <row r="313" spans="1:34" s="4133" customFormat="1" ht="0.75" hidden="1" customHeight="1">
      <c r="A313" s="1697"/>
      <c r="B313" s="1697"/>
      <c r="C313" s="304" t="s">
        <v>1197</v>
      </c>
      <c r="D313" s="4569"/>
      <c r="E313" s="4368"/>
      <c r="F313" s="4506"/>
      <c r="G313" s="335"/>
      <c r="H313" s="1418"/>
      <c r="I313" s="586"/>
      <c r="J313" s="506"/>
      <c r="K313" s="1418"/>
      <c r="L313" s="151"/>
      <c r="M313" s="277"/>
      <c r="N313" s="270"/>
      <c r="O313" s="1542"/>
      <c r="P313" s="1542"/>
      <c r="AH313" s="1549">
        <v>0</v>
      </c>
    </row>
    <row r="314" spans="1:34" s="4133" customFormat="1" ht="18.75" hidden="1" customHeight="1">
      <c r="A314" s="1697" t="s">
        <v>226</v>
      </c>
      <c r="B314" s="1697" t="s">
        <v>227</v>
      </c>
      <c r="C314" s="304"/>
      <c r="D314" s="4569"/>
      <c r="E314" s="4368"/>
      <c r="F314" s="4506" t="str">
        <f>INDEX(PT_DIFFERENTIATION_VTAR,MATCH(A314,PT_DIFFERENTIATION_VTAR_ID,0))</f>
        <v>Плата за подключение (технологическое присоединение) к системе теплоснабжения (индивидуальная)</v>
      </c>
      <c r="G314" s="4543" t="str">
        <f>INDEX(PT_DIFFERENTIATION_NTAR,MATCH(B314,PT_DIFFERENTIATION_NTAR_ID,0))</f>
        <v/>
      </c>
      <c r="H314" s="1901"/>
      <c r="I314" s="1656"/>
      <c r="J314" s="1690"/>
      <c r="K314" s="1695"/>
      <c r="L314" s="1901" t="s">
        <v>327</v>
      </c>
      <c r="M314" s="277"/>
      <c r="N314" s="270"/>
      <c r="O314" s="1542"/>
      <c r="P314" s="1542"/>
      <c r="AH314" s="1549">
        <v>0</v>
      </c>
    </row>
    <row r="315" spans="1:34" s="4133" customFormat="1" ht="18.75" hidden="1" customHeight="1">
      <c r="A315" s="1697"/>
      <c r="B315" s="1697"/>
      <c r="C315" s="304" t="s">
        <v>1190</v>
      </c>
      <c r="D315" s="4569"/>
      <c r="E315" s="4368"/>
      <c r="F315" s="4506"/>
      <c r="G315" s="4543"/>
      <c r="H315" s="1418"/>
      <c r="I315" s="586" t="s">
        <v>1189</v>
      </c>
      <c r="J315" s="506"/>
      <c r="K315" s="1418"/>
      <c r="L315" s="151"/>
      <c r="M315" s="277"/>
      <c r="N315" s="270"/>
      <c r="O315" s="1542"/>
      <c r="P315" s="1542"/>
      <c r="AH315" s="1549">
        <v>0</v>
      </c>
    </row>
    <row r="316" spans="1:34" s="4133" customFormat="1" ht="0.75" hidden="1" customHeight="1">
      <c r="A316" s="1697"/>
      <c r="B316" s="1697"/>
      <c r="C316" s="304" t="s">
        <v>1197</v>
      </c>
      <c r="D316" s="4569"/>
      <c r="E316" s="4368"/>
      <c r="F316" s="4506"/>
      <c r="G316" s="335"/>
      <c r="H316" s="1418"/>
      <c r="I316" s="586"/>
      <c r="J316" s="506"/>
      <c r="K316" s="1418"/>
      <c r="L316" s="151"/>
      <c r="M316" s="277"/>
      <c r="N316" s="270"/>
      <c r="O316" s="1542"/>
      <c r="P316" s="1542"/>
      <c r="AH316" s="1549">
        <v>0</v>
      </c>
    </row>
    <row r="317" spans="1:34" s="4133" customFormat="1" ht="18.75" hidden="1" customHeight="1">
      <c r="A317" s="1697" t="s">
        <v>246</v>
      </c>
      <c r="B317" s="1697" t="s">
        <v>247</v>
      </c>
      <c r="C317" s="304"/>
      <c r="D317" s="4569"/>
      <c r="E317" s="4368"/>
      <c r="F317" s="4506" t="str">
        <f>INDEX(PT_DIFFERENTIATION_VTAR,MATCH(A317,PT_DIFFERENTIATION_VTAR_ID,0))</f>
        <v>Тариф на питьевую воду (питьевое водоснабжение)</v>
      </c>
      <c r="G317" s="4543" t="str">
        <f>INDEX(PT_DIFFERENTIATION_NTAR,MATCH(B317,PT_DIFFERENTIATION_NTAR_ID,0))</f>
        <v/>
      </c>
      <c r="H317" s="1777"/>
      <c r="I317" s="1656"/>
      <c r="J317" s="1690"/>
      <c r="K317" s="1695"/>
      <c r="L317" s="1777" t="s">
        <v>327</v>
      </c>
      <c r="M317" s="277"/>
      <c r="N317" s="270"/>
      <c r="O317" s="1542"/>
      <c r="P317" s="1542"/>
      <c r="AH317" s="1549">
        <v>0</v>
      </c>
    </row>
    <row r="318" spans="1:34" s="4133" customFormat="1" ht="18.75" hidden="1" customHeight="1">
      <c r="A318" s="1697"/>
      <c r="B318" s="1697"/>
      <c r="C318" s="304" t="s">
        <v>1190</v>
      </c>
      <c r="D318" s="4569"/>
      <c r="E318" s="4368"/>
      <c r="F318" s="4506"/>
      <c r="G318" s="4543"/>
      <c r="H318" s="1418"/>
      <c r="I318" s="586" t="s">
        <v>1189</v>
      </c>
      <c r="J318" s="506"/>
      <c r="K318" s="1418"/>
      <c r="L318" s="151"/>
      <c r="M318" s="277"/>
      <c r="N318" s="270"/>
      <c r="O318" s="1542"/>
      <c r="P318" s="1542"/>
      <c r="AH318" s="1549">
        <v>0</v>
      </c>
    </row>
    <row r="319" spans="1:34" s="4133" customFormat="1" ht="0.75" hidden="1" customHeight="1">
      <c r="A319" s="1697"/>
      <c r="B319" s="1697"/>
      <c r="C319" s="304" t="s">
        <v>1197</v>
      </c>
      <c r="D319" s="4569"/>
      <c r="E319" s="4368"/>
      <c r="F319" s="4506"/>
      <c r="G319" s="335"/>
      <c r="H319" s="1418"/>
      <c r="I319" s="586"/>
      <c r="J319" s="506"/>
      <c r="K319" s="1418"/>
      <c r="L319" s="151"/>
      <c r="M319" s="277"/>
      <c r="N319" s="270"/>
      <c r="O319" s="1542"/>
      <c r="P319" s="1542"/>
      <c r="AH319" s="1549">
        <v>0</v>
      </c>
    </row>
    <row r="320" spans="1:34" s="4133" customFormat="1" ht="18.75" hidden="1" customHeight="1">
      <c r="A320" s="1697" t="s">
        <v>251</v>
      </c>
      <c r="B320" s="1697" t="s">
        <v>252</v>
      </c>
      <c r="C320" s="304"/>
      <c r="D320" s="4569"/>
      <c r="E320" s="4368"/>
      <c r="F320" s="4506" t="str">
        <f>INDEX(PT_DIFFERENTIATION_VTAR,MATCH(A320,PT_DIFFERENTIATION_VTAR_ID,0))</f>
        <v>Тариф на техническую воду</v>
      </c>
      <c r="G320" s="4543" t="str">
        <f>INDEX(PT_DIFFERENTIATION_NTAR,MATCH(B320,PT_DIFFERENTIATION_NTAR_ID,0))</f>
        <v/>
      </c>
      <c r="H320" s="1777"/>
      <c r="I320" s="1656"/>
      <c r="J320" s="1690"/>
      <c r="K320" s="1695"/>
      <c r="L320" s="1777" t="s">
        <v>327</v>
      </c>
      <c r="M320" s="277"/>
      <c r="N320" s="270"/>
      <c r="O320" s="1542"/>
      <c r="P320" s="1542"/>
      <c r="AH320" s="1549">
        <v>0</v>
      </c>
    </row>
    <row r="321" spans="1:34" s="4133" customFormat="1" ht="18.75" hidden="1" customHeight="1">
      <c r="A321" s="1697"/>
      <c r="B321" s="1697"/>
      <c r="C321" s="304" t="s">
        <v>1190</v>
      </c>
      <c r="D321" s="4569"/>
      <c r="E321" s="4368"/>
      <c r="F321" s="4506"/>
      <c r="G321" s="4543"/>
      <c r="H321" s="1418"/>
      <c r="I321" s="586" t="s">
        <v>1189</v>
      </c>
      <c r="J321" s="506"/>
      <c r="K321" s="1418"/>
      <c r="L321" s="151"/>
      <c r="M321" s="277"/>
      <c r="N321" s="270"/>
      <c r="O321" s="1542"/>
      <c r="P321" s="1542"/>
      <c r="AH321" s="1549">
        <v>0</v>
      </c>
    </row>
    <row r="322" spans="1:34" s="4133" customFormat="1" ht="0.75" hidden="1" customHeight="1">
      <c r="A322" s="1697"/>
      <c r="B322" s="1697"/>
      <c r="C322" s="304" t="s">
        <v>1197</v>
      </c>
      <c r="D322" s="4569"/>
      <c r="E322" s="4368"/>
      <c r="F322" s="4506"/>
      <c r="G322" s="335"/>
      <c r="H322" s="1418"/>
      <c r="I322" s="586"/>
      <c r="J322" s="506"/>
      <c r="K322" s="1418"/>
      <c r="L322" s="151"/>
      <c r="M322" s="277"/>
      <c r="N322" s="270"/>
      <c r="O322" s="1542"/>
      <c r="P322" s="1542"/>
      <c r="AH322" s="1549">
        <v>0</v>
      </c>
    </row>
    <row r="323" spans="1:34" s="4133" customFormat="1" ht="18.75" hidden="1" customHeight="1">
      <c r="A323" s="1697" t="s">
        <v>256</v>
      </c>
      <c r="B323" s="1697" t="s">
        <v>257</v>
      </c>
      <c r="C323" s="304"/>
      <c r="D323" s="4569"/>
      <c r="E323" s="4368"/>
      <c r="F323" s="4506" t="str">
        <f>INDEX(PT_DIFFERENTIATION_VTAR,MATCH(A323,PT_DIFFERENTIATION_VTAR_ID,0))</f>
        <v>Тариф на транспортировку воды</v>
      </c>
      <c r="G323" s="4543" t="str">
        <f>INDEX(PT_DIFFERENTIATION_NTAR,MATCH(B323,PT_DIFFERENTIATION_NTAR_ID,0))</f>
        <v/>
      </c>
      <c r="H323" s="1777"/>
      <c r="I323" s="1656"/>
      <c r="J323" s="1690"/>
      <c r="K323" s="1695"/>
      <c r="L323" s="1777" t="s">
        <v>327</v>
      </c>
      <c r="M323" s="277"/>
      <c r="N323" s="270"/>
      <c r="O323" s="1542"/>
      <c r="P323" s="1542"/>
      <c r="AH323" s="1549">
        <v>0</v>
      </c>
    </row>
    <row r="324" spans="1:34" s="4133" customFormat="1" ht="18.75" hidden="1" customHeight="1">
      <c r="A324" s="1697"/>
      <c r="B324" s="1697"/>
      <c r="C324" s="304" t="s">
        <v>1190</v>
      </c>
      <c r="D324" s="4569"/>
      <c r="E324" s="4368"/>
      <c r="F324" s="4506"/>
      <c r="G324" s="4543"/>
      <c r="H324" s="1418"/>
      <c r="I324" s="586" t="s">
        <v>1189</v>
      </c>
      <c r="J324" s="506"/>
      <c r="K324" s="1418"/>
      <c r="L324" s="151"/>
      <c r="M324" s="277"/>
      <c r="N324" s="270"/>
      <c r="O324" s="1542"/>
      <c r="P324" s="1542"/>
      <c r="AH324" s="1549">
        <v>0</v>
      </c>
    </row>
    <row r="325" spans="1:34" s="4133" customFormat="1" ht="0.75" hidden="1" customHeight="1">
      <c r="A325" s="1697"/>
      <c r="B325" s="1697"/>
      <c r="C325" s="304" t="s">
        <v>1197</v>
      </c>
      <c r="D325" s="4569"/>
      <c r="E325" s="4368"/>
      <c r="F325" s="4506"/>
      <c r="G325" s="335"/>
      <c r="H325" s="1418"/>
      <c r="I325" s="586"/>
      <c r="J325" s="506"/>
      <c r="K325" s="1418"/>
      <c r="L325" s="151"/>
      <c r="M325" s="277"/>
      <c r="N325" s="270"/>
      <c r="O325" s="1542"/>
      <c r="P325" s="1542"/>
      <c r="AH325" s="1549">
        <v>0</v>
      </c>
    </row>
    <row r="326" spans="1:34" s="4133" customFormat="1" ht="18.75" hidden="1" customHeight="1">
      <c r="A326" s="1697" t="s">
        <v>261</v>
      </c>
      <c r="B326" s="1697" t="s">
        <v>262</v>
      </c>
      <c r="C326" s="304"/>
      <c r="D326" s="4569"/>
      <c r="E326" s="4368"/>
      <c r="F326" s="4506" t="str">
        <f>INDEX(PT_DIFFERENTIATION_VTAR,MATCH(A326,PT_DIFFERENTIATION_VTAR_ID,0))</f>
        <v>Тариф на подвоз воды</v>
      </c>
      <c r="G326" s="4543" t="str">
        <f>INDEX(PT_DIFFERENTIATION_NTAR,MATCH(B326,PT_DIFFERENTIATION_NTAR_ID,0))</f>
        <v/>
      </c>
      <c r="H326" s="1777"/>
      <c r="I326" s="1656"/>
      <c r="J326" s="1690"/>
      <c r="K326" s="1695"/>
      <c r="L326" s="1777" t="s">
        <v>327</v>
      </c>
      <c r="M326" s="277"/>
      <c r="N326" s="270"/>
      <c r="O326" s="1542"/>
      <c r="P326" s="1542"/>
      <c r="AH326" s="1549">
        <v>0</v>
      </c>
    </row>
    <row r="327" spans="1:34" s="4133" customFormat="1" ht="18.75" hidden="1" customHeight="1">
      <c r="A327" s="1697"/>
      <c r="B327" s="1697"/>
      <c r="C327" s="304" t="s">
        <v>1190</v>
      </c>
      <c r="D327" s="4569"/>
      <c r="E327" s="4368"/>
      <c r="F327" s="4506"/>
      <c r="G327" s="4543"/>
      <c r="H327" s="1418"/>
      <c r="I327" s="586" t="s">
        <v>1189</v>
      </c>
      <c r="J327" s="506"/>
      <c r="K327" s="1418"/>
      <c r="L327" s="151"/>
      <c r="M327" s="277"/>
      <c r="N327" s="270"/>
      <c r="O327" s="1542"/>
      <c r="P327" s="1542"/>
      <c r="AH327" s="1549">
        <v>0</v>
      </c>
    </row>
    <row r="328" spans="1:34" s="4133" customFormat="1" ht="0.75" hidden="1" customHeight="1">
      <c r="A328" s="1697"/>
      <c r="B328" s="1697"/>
      <c r="C328" s="304" t="s">
        <v>1197</v>
      </c>
      <c r="D328" s="4569"/>
      <c r="E328" s="4368"/>
      <c r="F328" s="4506"/>
      <c r="G328" s="335"/>
      <c r="H328" s="1418"/>
      <c r="I328" s="586"/>
      <c r="J328" s="506"/>
      <c r="K328" s="1418"/>
      <c r="L328" s="151"/>
      <c r="M328" s="277"/>
      <c r="N328" s="270"/>
      <c r="O328" s="1542"/>
      <c r="P328" s="1542"/>
      <c r="AH328" s="1549">
        <v>0</v>
      </c>
    </row>
    <row r="329" spans="1:34" s="4133" customFormat="1" ht="18.75" hidden="1" customHeight="1">
      <c r="A329" s="1697" t="s">
        <v>266</v>
      </c>
      <c r="B329" s="1697" t="s">
        <v>267</v>
      </c>
      <c r="C329" s="304"/>
      <c r="D329" s="4569"/>
      <c r="E329" s="4368"/>
      <c r="F329" s="4506"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4543" t="str">
        <f>INDEX(PT_DIFFERENTIATION_NTAR,MATCH(B329,PT_DIFFERENTIATION_NTAR_ID,0))</f>
        <v/>
      </c>
      <c r="H329" s="1777"/>
      <c r="I329" s="1656"/>
      <c r="J329" s="1690"/>
      <c r="K329" s="1695"/>
      <c r="L329" s="1777" t="s">
        <v>327</v>
      </c>
      <c r="M329" s="277"/>
      <c r="N329" s="270"/>
      <c r="O329" s="1542"/>
      <c r="P329" s="1542"/>
      <c r="AH329" s="1549">
        <v>0</v>
      </c>
    </row>
    <row r="330" spans="1:34" s="4133" customFormat="1" ht="18.75" hidden="1" customHeight="1">
      <c r="A330" s="1697"/>
      <c r="B330" s="1697"/>
      <c r="C330" s="304" t="s">
        <v>1190</v>
      </c>
      <c r="D330" s="4569"/>
      <c r="E330" s="4368"/>
      <c r="F330" s="4506"/>
      <c r="G330" s="4543"/>
      <c r="H330" s="1418"/>
      <c r="I330" s="586" t="s">
        <v>1189</v>
      </c>
      <c r="J330" s="506"/>
      <c r="K330" s="1418"/>
      <c r="L330" s="151"/>
      <c r="M330" s="277"/>
      <c r="N330" s="270"/>
      <c r="O330" s="1542"/>
      <c r="P330" s="1542"/>
      <c r="AH330" s="1549">
        <v>0</v>
      </c>
    </row>
    <row r="331" spans="1:34" s="4133" customFormat="1" ht="0.75" hidden="1" customHeight="1">
      <c r="A331" s="1697"/>
      <c r="B331" s="1697"/>
      <c r="C331" s="304" t="s">
        <v>1197</v>
      </c>
      <c r="D331" s="4569"/>
      <c r="E331" s="4368"/>
      <c r="F331" s="4506"/>
      <c r="G331" s="335"/>
      <c r="H331" s="1418"/>
      <c r="I331" s="586"/>
      <c r="J331" s="506"/>
      <c r="K331" s="1418"/>
      <c r="L331" s="151"/>
      <c r="M331" s="277"/>
      <c r="N331" s="270"/>
      <c r="O331" s="1542"/>
      <c r="P331" s="1542"/>
      <c r="AH331" s="1549">
        <v>0</v>
      </c>
    </row>
    <row r="332" spans="1:34" s="4133" customFormat="1" ht="18.75" hidden="1" customHeight="1">
      <c r="A332" s="1697" t="s">
        <v>271</v>
      </c>
      <c r="B332" s="1697" t="s">
        <v>272</v>
      </c>
      <c r="C332" s="304"/>
      <c r="D332" s="4569"/>
      <c r="E332" s="4368"/>
      <c r="F332" s="4506" t="str">
        <f>INDEX(PT_DIFFERENTIATION_VTAR,MATCH(A332,PT_DIFFERENTIATION_VTAR_ID,0))</f>
        <v>Тариф на горячую воду (горячее водоснабжение)</v>
      </c>
      <c r="G332" s="4543" t="str">
        <f>INDEX(PT_DIFFERENTIATION_NTAR,MATCH(B332,PT_DIFFERENTIATION_NTAR_ID,0))</f>
        <v/>
      </c>
      <c r="H332" s="1777"/>
      <c r="I332" s="1656"/>
      <c r="J332" s="1690"/>
      <c r="K332" s="1695"/>
      <c r="L332" s="1777" t="s">
        <v>327</v>
      </c>
      <c r="M332" s="277"/>
      <c r="N332" s="270"/>
      <c r="O332" s="1542"/>
      <c r="P332" s="1542"/>
      <c r="AH332" s="1549">
        <v>0</v>
      </c>
    </row>
    <row r="333" spans="1:34" s="4133" customFormat="1" ht="18.75" hidden="1" customHeight="1">
      <c r="A333" s="1697"/>
      <c r="B333" s="1697"/>
      <c r="C333" s="304" t="s">
        <v>1190</v>
      </c>
      <c r="D333" s="4569"/>
      <c r="E333" s="4368"/>
      <c r="F333" s="4506"/>
      <c r="G333" s="4543"/>
      <c r="H333" s="1418"/>
      <c r="I333" s="586" t="s">
        <v>1189</v>
      </c>
      <c r="J333" s="506"/>
      <c r="K333" s="1418"/>
      <c r="L333" s="151"/>
      <c r="M333" s="277"/>
      <c r="N333" s="270"/>
      <c r="O333" s="1542"/>
      <c r="P333" s="1542"/>
      <c r="AH333" s="1549">
        <v>0</v>
      </c>
    </row>
    <row r="334" spans="1:34" s="4133" customFormat="1" ht="0.75" hidden="1" customHeight="1">
      <c r="A334" s="1697"/>
      <c r="B334" s="1697"/>
      <c r="C334" s="304" t="s">
        <v>1197</v>
      </c>
      <c r="D334" s="4569"/>
      <c r="E334" s="4368"/>
      <c r="F334" s="4506"/>
      <c r="G334" s="335"/>
      <c r="H334" s="1418"/>
      <c r="I334" s="586"/>
      <c r="J334" s="506"/>
      <c r="K334" s="1418"/>
      <c r="L334" s="151"/>
      <c r="M334" s="277"/>
      <c r="N334" s="270"/>
      <c r="O334" s="1542"/>
      <c r="P334" s="1542"/>
      <c r="AH334" s="1549">
        <v>0</v>
      </c>
    </row>
    <row r="335" spans="1:34" s="4133" customFormat="1" ht="18.75" hidden="1" customHeight="1">
      <c r="A335" s="1697" t="s">
        <v>276</v>
      </c>
      <c r="B335" s="1697" t="s">
        <v>277</v>
      </c>
      <c r="C335" s="304"/>
      <c r="D335" s="4569"/>
      <c r="E335" s="4368"/>
      <c r="F335" s="4506" t="str">
        <f>INDEX(PT_DIFFERENTIATION_VTAR,MATCH(A335,PT_DIFFERENTIATION_VTAR_ID,0))</f>
        <v>Тариф на транспортировку горячей воды</v>
      </c>
      <c r="G335" s="4543" t="str">
        <f>INDEX(PT_DIFFERENTIATION_NTAR,MATCH(B335,PT_DIFFERENTIATION_NTAR_ID,0))</f>
        <v/>
      </c>
      <c r="H335" s="1777"/>
      <c r="I335" s="1656"/>
      <c r="J335" s="1690"/>
      <c r="K335" s="1695"/>
      <c r="L335" s="1777" t="s">
        <v>327</v>
      </c>
      <c r="M335" s="277"/>
      <c r="N335" s="270"/>
      <c r="O335" s="1542"/>
      <c r="P335" s="1542"/>
      <c r="AH335" s="1549">
        <v>0</v>
      </c>
    </row>
    <row r="336" spans="1:34" s="4133" customFormat="1" ht="18.75" hidden="1" customHeight="1">
      <c r="A336" s="1697"/>
      <c r="B336" s="1697"/>
      <c r="C336" s="304" t="s">
        <v>1190</v>
      </c>
      <c r="D336" s="4569"/>
      <c r="E336" s="4368"/>
      <c r="F336" s="4506"/>
      <c r="G336" s="4543"/>
      <c r="H336" s="1418"/>
      <c r="I336" s="586" t="s">
        <v>1189</v>
      </c>
      <c r="J336" s="506"/>
      <c r="K336" s="1418"/>
      <c r="L336" s="151"/>
      <c r="M336" s="277"/>
      <c r="N336" s="270"/>
      <c r="O336" s="1542"/>
      <c r="P336" s="1542"/>
      <c r="AH336" s="1549">
        <v>0</v>
      </c>
    </row>
    <row r="337" spans="1:34" s="4133" customFormat="1" ht="0.75" hidden="1" customHeight="1">
      <c r="A337" s="1697"/>
      <c r="B337" s="1697"/>
      <c r="C337" s="304" t="s">
        <v>1197</v>
      </c>
      <c r="D337" s="4569"/>
      <c r="E337" s="4368"/>
      <c r="F337" s="4506"/>
      <c r="G337" s="335"/>
      <c r="H337" s="1418"/>
      <c r="I337" s="586"/>
      <c r="J337" s="506"/>
      <c r="K337" s="1418"/>
      <c r="L337" s="151"/>
      <c r="M337" s="277"/>
      <c r="N337" s="270"/>
      <c r="O337" s="1542"/>
      <c r="P337" s="1542"/>
      <c r="AH337" s="1549">
        <v>0</v>
      </c>
    </row>
    <row r="338" spans="1:34" s="4133" customFormat="1" ht="18.75" hidden="1" customHeight="1">
      <c r="A338" s="1697" t="s">
        <v>281</v>
      </c>
      <c r="B338" s="1697" t="s">
        <v>282</v>
      </c>
      <c r="C338" s="304"/>
      <c r="D338" s="4569"/>
      <c r="E338" s="4368"/>
      <c r="F338" s="4506" t="str">
        <f>INDEX(PT_DIFFERENTIATION_VTAR,MATCH(A338,PT_DIFFERENTIATION_VTAR_ID,0))</f>
        <v>Тариф на подключение (технологическое присоединение) к централизованной системе горячего водоснабжения</v>
      </c>
      <c r="G338" s="4543" t="str">
        <f>INDEX(PT_DIFFERENTIATION_NTAR,MATCH(B338,PT_DIFFERENTIATION_NTAR_ID,0))</f>
        <v/>
      </c>
      <c r="H338" s="1777"/>
      <c r="I338" s="1656"/>
      <c r="J338" s="1690"/>
      <c r="K338" s="1695"/>
      <c r="L338" s="1777" t="s">
        <v>327</v>
      </c>
      <c r="M338" s="277"/>
      <c r="N338" s="270"/>
      <c r="O338" s="1542"/>
      <c r="P338" s="1542"/>
      <c r="AH338" s="1549">
        <v>0</v>
      </c>
    </row>
    <row r="339" spans="1:34" s="4133" customFormat="1" ht="18.75" hidden="1" customHeight="1">
      <c r="A339" s="1697"/>
      <c r="B339" s="1697"/>
      <c r="C339" s="304" t="s">
        <v>1190</v>
      </c>
      <c r="D339" s="4569"/>
      <c r="E339" s="4368"/>
      <c r="F339" s="4506"/>
      <c r="G339" s="4543"/>
      <c r="H339" s="1418"/>
      <c r="I339" s="586" t="s">
        <v>1189</v>
      </c>
      <c r="J339" s="506"/>
      <c r="K339" s="1418"/>
      <c r="L339" s="151"/>
      <c r="M339" s="277"/>
      <c r="N339" s="270"/>
      <c r="O339" s="1542"/>
      <c r="P339" s="1542"/>
      <c r="AH339" s="1549">
        <v>0</v>
      </c>
    </row>
    <row r="340" spans="1:34" s="4133" customFormat="1" ht="0.75" hidden="1" customHeight="1">
      <c r="A340" s="1697"/>
      <c r="B340" s="1697"/>
      <c r="C340" s="304" t="s">
        <v>1197</v>
      </c>
      <c r="D340" s="4569"/>
      <c r="E340" s="4368"/>
      <c r="F340" s="4506"/>
      <c r="G340" s="335"/>
      <c r="H340" s="1418"/>
      <c r="I340" s="586"/>
      <c r="J340" s="506"/>
      <c r="K340" s="1418"/>
      <c r="L340" s="151"/>
      <c r="M340" s="277"/>
      <c r="N340" s="270"/>
      <c r="O340" s="1542"/>
      <c r="P340" s="1542"/>
      <c r="AH340" s="1549">
        <v>0</v>
      </c>
    </row>
    <row r="341" spans="1:34" s="4133" customFormat="1" ht="18.75" hidden="1" customHeight="1">
      <c r="A341" s="1697" t="s">
        <v>286</v>
      </c>
      <c r="B341" s="1697" t="s">
        <v>287</v>
      </c>
      <c r="C341" s="304"/>
      <c r="D341" s="4569"/>
      <c r="E341" s="4368"/>
      <c r="F341" s="4506" t="str">
        <f>INDEX(PT_DIFFERENTIATION_VTAR,MATCH(A341,PT_DIFFERENTIATION_VTAR_ID,0))</f>
        <v>Тариф на водоотведение</v>
      </c>
      <c r="G341" s="4543" t="str">
        <f>INDEX(PT_DIFFERENTIATION_NTAR,MATCH(B341,PT_DIFFERENTIATION_NTAR_ID,0))</f>
        <v/>
      </c>
      <c r="H341" s="1777"/>
      <c r="I341" s="1656"/>
      <c r="J341" s="1690"/>
      <c r="K341" s="1695"/>
      <c r="L341" s="1777" t="s">
        <v>327</v>
      </c>
      <c r="M341" s="277"/>
      <c r="N341" s="270"/>
      <c r="O341" s="1542"/>
      <c r="P341" s="1542"/>
      <c r="AH341" s="1549">
        <v>0</v>
      </c>
    </row>
    <row r="342" spans="1:34" s="4133" customFormat="1" ht="18.75" hidden="1" customHeight="1">
      <c r="A342" s="1697"/>
      <c r="B342" s="1697"/>
      <c r="C342" s="304" t="s">
        <v>1190</v>
      </c>
      <c r="D342" s="4569"/>
      <c r="E342" s="4368"/>
      <c r="F342" s="4506"/>
      <c r="G342" s="4543"/>
      <c r="H342" s="1418"/>
      <c r="I342" s="586" t="s">
        <v>1189</v>
      </c>
      <c r="J342" s="506"/>
      <c r="K342" s="1418"/>
      <c r="L342" s="151"/>
      <c r="M342" s="277"/>
      <c r="N342" s="270"/>
      <c r="O342" s="1542"/>
      <c r="P342" s="1542"/>
      <c r="AH342" s="1549">
        <v>0</v>
      </c>
    </row>
    <row r="343" spans="1:34" s="4133" customFormat="1" ht="0.75" hidden="1" customHeight="1">
      <c r="A343" s="1697"/>
      <c r="B343" s="1697"/>
      <c r="C343" s="304" t="s">
        <v>1197</v>
      </c>
      <c r="D343" s="4569"/>
      <c r="E343" s="4368"/>
      <c r="F343" s="4506"/>
      <c r="G343" s="335"/>
      <c r="H343" s="1418"/>
      <c r="I343" s="586"/>
      <c r="J343" s="506"/>
      <c r="K343" s="1418"/>
      <c r="L343" s="151"/>
      <c r="M343" s="277"/>
      <c r="N343" s="270"/>
      <c r="O343" s="1542"/>
      <c r="P343" s="1542"/>
      <c r="AH343" s="1549">
        <v>0</v>
      </c>
    </row>
    <row r="344" spans="1:34" s="4133" customFormat="1" ht="18.75" hidden="1" customHeight="1">
      <c r="A344" s="1697" t="s">
        <v>291</v>
      </c>
      <c r="B344" s="1697" t="s">
        <v>292</v>
      </c>
      <c r="C344" s="304"/>
      <c r="D344" s="4569"/>
      <c r="E344" s="4368"/>
      <c r="F344" s="4506" t="str">
        <f>INDEX(PT_DIFFERENTIATION_VTAR,MATCH(A344,PT_DIFFERENTIATION_VTAR_ID,0))</f>
        <v>Тариф на транспортировку сточных вод</v>
      </c>
      <c r="G344" s="4543" t="str">
        <f>INDEX(PT_DIFFERENTIATION_NTAR,MATCH(B344,PT_DIFFERENTIATION_NTAR_ID,0))</f>
        <v/>
      </c>
      <c r="H344" s="1777"/>
      <c r="I344" s="1656"/>
      <c r="J344" s="1690"/>
      <c r="K344" s="1695"/>
      <c r="L344" s="1777" t="s">
        <v>327</v>
      </c>
      <c r="M344" s="277"/>
      <c r="N344" s="270"/>
      <c r="O344" s="1542"/>
      <c r="P344" s="1542"/>
      <c r="AH344" s="1549">
        <v>0</v>
      </c>
    </row>
    <row r="345" spans="1:34" s="4133" customFormat="1" ht="18.75" hidden="1" customHeight="1">
      <c r="A345" s="1697"/>
      <c r="B345" s="1697"/>
      <c r="C345" s="304" t="s">
        <v>1190</v>
      </c>
      <c r="D345" s="4569"/>
      <c r="E345" s="4368"/>
      <c r="F345" s="4506"/>
      <c r="G345" s="4543"/>
      <c r="H345" s="1418"/>
      <c r="I345" s="586" t="s">
        <v>1189</v>
      </c>
      <c r="J345" s="506"/>
      <c r="K345" s="1418"/>
      <c r="L345" s="151"/>
      <c r="M345" s="277"/>
      <c r="N345" s="270"/>
      <c r="O345" s="1542"/>
      <c r="P345" s="1542"/>
      <c r="AH345" s="1549">
        <v>0</v>
      </c>
    </row>
    <row r="346" spans="1:34" s="4133" customFormat="1" ht="0.75" hidden="1" customHeight="1">
      <c r="A346" s="1697"/>
      <c r="B346" s="1697"/>
      <c r="C346" s="304" t="s">
        <v>1197</v>
      </c>
      <c r="D346" s="4569"/>
      <c r="E346" s="4368"/>
      <c r="F346" s="4506"/>
      <c r="G346" s="335"/>
      <c r="H346" s="1418"/>
      <c r="I346" s="586"/>
      <c r="J346" s="506"/>
      <c r="K346" s="1418"/>
      <c r="L346" s="151"/>
      <c r="M346" s="277"/>
      <c r="N346" s="270"/>
      <c r="O346" s="1542"/>
      <c r="P346" s="1542"/>
      <c r="AH346" s="1549">
        <v>0</v>
      </c>
    </row>
    <row r="347" spans="1:34" s="4133" customFormat="1" ht="18.75" hidden="1" customHeight="1">
      <c r="A347" s="1697" t="s">
        <v>296</v>
      </c>
      <c r="B347" s="1697" t="s">
        <v>297</v>
      </c>
      <c r="C347" s="304"/>
      <c r="D347" s="4569"/>
      <c r="E347" s="4368"/>
      <c r="F347" s="4506" t="str">
        <f>INDEX(PT_DIFFERENTIATION_VTAR,MATCH(A347,PT_DIFFERENTIATION_VTAR_ID,0))</f>
        <v>Тариф на подключение (технологическое присоединение) к централизованной системе водоотведения</v>
      </c>
      <c r="G347" s="4543" t="str">
        <f>INDEX(PT_DIFFERENTIATION_NTAR,MATCH(B347,PT_DIFFERENTIATION_NTAR_ID,0))</f>
        <v/>
      </c>
      <c r="H347" s="1777"/>
      <c r="I347" s="1656"/>
      <c r="J347" s="1690"/>
      <c r="K347" s="1695"/>
      <c r="L347" s="1777" t="s">
        <v>327</v>
      </c>
      <c r="M347" s="277"/>
      <c r="N347" s="270"/>
      <c r="O347" s="1542"/>
      <c r="P347" s="1542"/>
      <c r="AH347" s="1549">
        <v>0</v>
      </c>
    </row>
    <row r="348" spans="1:34" s="4133" customFormat="1" ht="18.75" hidden="1" customHeight="1">
      <c r="A348" s="1697"/>
      <c r="B348" s="1697"/>
      <c r="C348" s="304" t="s">
        <v>1190</v>
      </c>
      <c r="D348" s="4569"/>
      <c r="E348" s="4368"/>
      <c r="F348" s="4506"/>
      <c r="G348" s="4543"/>
      <c r="H348" s="1418"/>
      <c r="I348" s="586" t="s">
        <v>1189</v>
      </c>
      <c r="J348" s="506"/>
      <c r="K348" s="1418"/>
      <c r="L348" s="151"/>
      <c r="M348" s="277"/>
      <c r="N348" s="270"/>
      <c r="O348" s="1542"/>
      <c r="P348" s="1542"/>
      <c r="AH348" s="1549">
        <v>0</v>
      </c>
    </row>
    <row r="349" spans="1:34" s="4133" customFormat="1" ht="1.1499999999999999" customHeight="1">
      <c r="A349" s="1697"/>
      <c r="B349" s="1697"/>
      <c r="C349" s="304" t="s">
        <v>1197</v>
      </c>
      <c r="D349" s="4569"/>
      <c r="E349" s="4368"/>
      <c r="F349" s="4506"/>
      <c r="G349" s="335"/>
      <c r="H349" s="1418"/>
      <c r="I349" s="586"/>
      <c r="J349" s="506"/>
      <c r="K349" s="1418"/>
      <c r="L349" s="151"/>
      <c r="M349" s="277"/>
      <c r="N349" s="270"/>
      <c r="O349" s="1542"/>
      <c r="P349" s="1542"/>
      <c r="AH349" s="1549">
        <v>1</v>
      </c>
    </row>
    <row r="350" spans="1:34" s="4215" customFormat="1" ht="3" customHeight="1">
      <c r="A350" s="1697"/>
      <c r="B350" s="1697"/>
      <c r="C350" s="1698"/>
      <c r="E350" s="337"/>
      <c r="F350" s="337"/>
      <c r="G350" s="337"/>
      <c r="H350" s="337"/>
      <c r="I350" s="337"/>
      <c r="J350" s="337"/>
      <c r="K350" s="337"/>
      <c r="L350" s="337"/>
      <c r="M350" s="337"/>
      <c r="O350" s="133"/>
      <c r="P350" s="133"/>
      <c r="AH350" s="79">
        <v>3</v>
      </c>
    </row>
    <row r="351" spans="1:34" ht="26.25" customHeight="1">
      <c r="E351" s="139"/>
      <c r="F351" s="4411"/>
      <c r="G351" s="4411"/>
      <c r="H351" s="4411"/>
      <c r="I351" s="4411"/>
      <c r="J351" s="4411"/>
      <c r="K351" s="4411"/>
      <c r="L351" s="4411"/>
      <c r="M351" s="4411"/>
      <c r="AH351" s="309">
        <v>25</v>
      </c>
    </row>
    <row r="352" spans="1:34" ht="14.25" hidden="1" customHeight="1">
      <c r="A352" s="1696" t="s">
        <v>86</v>
      </c>
      <c r="B352" s="1696">
        <v>0</v>
      </c>
      <c r="C352" s="304">
        <v>0</v>
      </c>
      <c r="D352" s="280">
        <v>3</v>
      </c>
      <c r="E352" s="309">
        <v>6</v>
      </c>
      <c r="F352" s="309">
        <v>46</v>
      </c>
      <c r="G352" s="309">
        <v>35</v>
      </c>
      <c r="H352" s="309">
        <v>3</v>
      </c>
      <c r="I352" s="309">
        <v>11</v>
      </c>
      <c r="J352" s="309">
        <v>11</v>
      </c>
      <c r="K352" s="309">
        <v>35</v>
      </c>
      <c r="L352" s="309">
        <v>35</v>
      </c>
      <c r="M352" s="309">
        <v>84</v>
      </c>
      <c r="N352" s="309">
        <v>10</v>
      </c>
      <c r="O352" s="285">
        <v>10</v>
      </c>
      <c r="P352" s="285">
        <v>10</v>
      </c>
      <c r="Q352" s="309">
        <v>10</v>
      </c>
      <c r="R352" s="309">
        <v>10</v>
      </c>
      <c r="S352" s="309">
        <v>10</v>
      </c>
      <c r="T352" s="309">
        <v>10</v>
      </c>
      <c r="U352" s="309">
        <v>10</v>
      </c>
      <c r="V352" s="309">
        <v>10</v>
      </c>
      <c r="W352" s="309">
        <v>10</v>
      </c>
      <c r="X352" s="309">
        <v>10</v>
      </c>
      <c r="Y352" s="309">
        <v>10</v>
      </c>
      <c r="Z352" s="309">
        <v>10</v>
      </c>
      <c r="AA352" s="309">
        <v>10</v>
      </c>
      <c r="AB352" s="309">
        <v>10</v>
      </c>
      <c r="AC352" s="309">
        <v>10</v>
      </c>
      <c r="AD352" s="309">
        <v>10</v>
      </c>
      <c r="AE352" s="309">
        <v>10</v>
      </c>
      <c r="AF352" s="309">
        <v>10</v>
      </c>
      <c r="AG352" s="309">
        <v>10</v>
      </c>
      <c r="AH352" s="309">
        <v>14</v>
      </c>
    </row>
  </sheetData>
  <sheetProtection formatColumns="0" formatRows="0" insertRows="0" deleteColumns="0" deleteRows="0" sort="0" autoFilter="0"/>
  <mergeCells count="438">
    <mergeCell ref="G96:G97"/>
    <mergeCell ref="G161:G162"/>
    <mergeCell ref="G226:G227"/>
    <mergeCell ref="G291:G292"/>
    <mergeCell ref="G31:G32"/>
    <mergeCell ref="G98:G99"/>
    <mergeCell ref="G163:G164"/>
    <mergeCell ref="G228:G229"/>
    <mergeCell ref="G293:G294"/>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31:G232"/>
    <mergeCell ref="G178:G179"/>
    <mergeCell ref="G181:G182"/>
    <mergeCell ref="G187:G188"/>
    <mergeCell ref="G234:G235"/>
    <mergeCell ref="G237:G238"/>
    <mergeCell ref="G240:G241"/>
    <mergeCell ref="G193:G194"/>
    <mergeCell ref="G196:G197"/>
    <mergeCell ref="G199:G200"/>
    <mergeCell ref="G202:G203"/>
    <mergeCell ref="G175:G176"/>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6:G297"/>
    <mergeCell ref="G299:G300"/>
    <mergeCell ref="G302:G303"/>
    <mergeCell ref="G305:G306"/>
    <mergeCell ref="G308:G309"/>
    <mergeCell ref="G311:G312"/>
    <mergeCell ref="G317:G318"/>
    <mergeCell ref="G314:G315"/>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4:D230"/>
    <mergeCell ref="E224:E230"/>
    <mergeCell ref="F224:F230"/>
    <mergeCell ref="D234:D236"/>
    <mergeCell ref="E234:E236"/>
    <mergeCell ref="F234:F236"/>
    <mergeCell ref="D237:D239"/>
    <mergeCell ref="E237:E239"/>
    <mergeCell ref="F237:F239"/>
    <mergeCell ref="D205:D207"/>
    <mergeCell ref="E205:E207"/>
    <mergeCell ref="F205:F207"/>
    <mergeCell ref="D208:D210"/>
    <mergeCell ref="E208:E210"/>
    <mergeCell ref="F208:F210"/>
    <mergeCell ref="G205:G206"/>
    <mergeCell ref="G208:G209"/>
    <mergeCell ref="D231:D233"/>
    <mergeCell ref="E231:E233"/>
    <mergeCell ref="F231: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6:F168"/>
    <mergeCell ref="D169:D171"/>
    <mergeCell ref="E169:E171"/>
    <mergeCell ref="F169:F171"/>
    <mergeCell ref="D178:D180"/>
    <mergeCell ref="E178:E180"/>
    <mergeCell ref="F178:F180"/>
    <mergeCell ref="D181:D183"/>
    <mergeCell ref="E181:E183"/>
    <mergeCell ref="F181:F183"/>
    <mergeCell ref="G149:G150"/>
    <mergeCell ref="G152:G153"/>
    <mergeCell ref="G156:G157"/>
    <mergeCell ref="G159:G160"/>
    <mergeCell ref="D172:D174"/>
    <mergeCell ref="E172:E174"/>
    <mergeCell ref="F172:F174"/>
    <mergeCell ref="D175:D177"/>
    <mergeCell ref="E175:E177"/>
    <mergeCell ref="F175:F177"/>
    <mergeCell ref="D166:D168"/>
    <mergeCell ref="D159:D165"/>
    <mergeCell ref="E159:E165"/>
    <mergeCell ref="F159:F165"/>
    <mergeCell ref="D149:D151"/>
    <mergeCell ref="E149:E151"/>
    <mergeCell ref="F149:F151"/>
    <mergeCell ref="D152:D154"/>
    <mergeCell ref="E152:E154"/>
    <mergeCell ref="F152:F154"/>
    <mergeCell ref="D156:D158"/>
    <mergeCell ref="E156:E158"/>
    <mergeCell ref="F156:F158"/>
    <mergeCell ref="E166: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10:D112"/>
    <mergeCell ref="E110:E112"/>
    <mergeCell ref="F110:F112"/>
    <mergeCell ref="D113:D115"/>
    <mergeCell ref="E113:E115"/>
    <mergeCell ref="F113:F115"/>
    <mergeCell ref="E79:E81"/>
    <mergeCell ref="D82:D84"/>
    <mergeCell ref="E82:E84"/>
    <mergeCell ref="D101:D103"/>
    <mergeCell ref="E101: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100"/>
    <mergeCell ref="F101:F103"/>
    <mergeCell ref="M24:M87"/>
    <mergeCell ref="G46:G47"/>
    <mergeCell ref="G137:G138"/>
    <mergeCell ref="G140:G141"/>
    <mergeCell ref="G143:G144"/>
    <mergeCell ref="G146:G147"/>
    <mergeCell ref="G166:G167"/>
    <mergeCell ref="G94:G95"/>
    <mergeCell ref="G101:G102"/>
    <mergeCell ref="F351:M351"/>
    <mergeCell ref="F285:L285"/>
    <mergeCell ref="D286:D288"/>
    <mergeCell ref="E286:E288"/>
    <mergeCell ref="F286:F288"/>
    <mergeCell ref="D289:D295"/>
    <mergeCell ref="E289:E295"/>
    <mergeCell ref="F289:F295"/>
    <mergeCell ref="D296:D298"/>
    <mergeCell ref="D302:D304"/>
    <mergeCell ref="E302:E304"/>
    <mergeCell ref="F302:F304"/>
    <mergeCell ref="D305:D307"/>
    <mergeCell ref="E305:E307"/>
    <mergeCell ref="F305:F307"/>
    <mergeCell ref="E296:E298"/>
    <mergeCell ref="F296:F298"/>
    <mergeCell ref="D299:D301"/>
    <mergeCell ref="E299:E301"/>
    <mergeCell ref="F323:F325"/>
    <mergeCell ref="D326:D328"/>
    <mergeCell ref="E326:E328"/>
    <mergeCell ref="D347:D349"/>
    <mergeCell ref="E347:E349"/>
    <mergeCell ref="F326:F328"/>
    <mergeCell ref="G323:G324"/>
    <mergeCell ref="D46:D48"/>
    <mergeCell ref="E46:E48"/>
    <mergeCell ref="F46:F48"/>
    <mergeCell ref="D27:D33"/>
    <mergeCell ref="E27:E33"/>
    <mergeCell ref="F27:F33"/>
    <mergeCell ref="D34:D36"/>
    <mergeCell ref="E34:E36"/>
    <mergeCell ref="F34:F36"/>
    <mergeCell ref="D37:D39"/>
    <mergeCell ref="E37:E39"/>
    <mergeCell ref="F37:F39"/>
    <mergeCell ref="G27:G28"/>
    <mergeCell ref="G34:G35"/>
    <mergeCell ref="G37:G38"/>
    <mergeCell ref="G40:G41"/>
    <mergeCell ref="G43:G44"/>
    <mergeCell ref="D40:D42"/>
    <mergeCell ref="E40:E42"/>
    <mergeCell ref="F40:F42"/>
    <mergeCell ref="D43:D45"/>
    <mergeCell ref="E43:E45"/>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52:G53"/>
    <mergeCell ref="D119:D121"/>
    <mergeCell ref="E119:E121"/>
    <mergeCell ref="F119:F121"/>
    <mergeCell ref="G119:G120"/>
    <mergeCell ref="D184:D186"/>
    <mergeCell ref="E184:E186"/>
    <mergeCell ref="F184:F186"/>
    <mergeCell ref="G184:G185"/>
    <mergeCell ref="D73:D75"/>
    <mergeCell ref="E73:E75"/>
    <mergeCell ref="F73:F75"/>
    <mergeCell ref="D94:D100"/>
    <mergeCell ref="E94:E100"/>
    <mergeCell ref="D76:D78"/>
    <mergeCell ref="E76:E78"/>
    <mergeCell ref="F76:F78"/>
    <mergeCell ref="G169:G170"/>
    <mergeCell ref="G172:G173"/>
    <mergeCell ref="E52:E54"/>
    <mergeCell ref="F52:F54"/>
    <mergeCell ref="G104:G105"/>
    <mergeCell ref="G107:G108"/>
    <mergeCell ref="D79:D8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4:J34 I37:J37 I40:J40 I46:J46 I49:J49 I55:J55 I58:J58 I61:J61 I64:J64 I67:J67 I70:J70 I73:J73 I76:J76 I79:J79 I82:J82 I221:J221 I224:J224 I231:J231 I234:J234 I237:J237 I240:J240 I243:J243 I246:J246 I252:J252 I255:J255 I258:J258 I261:J261 I264:J264 I267:J267 I270:J270 I273:J273 I276:J276 I8:J8 I85:J85 I152:J152 I94:J94 I101:J101 I104:J104 I107:J107 I110:J110 I113:J113 I116:J116 I122:J122 I125:J125 I128:J128 I131:J131 I134:J134 I137:J137 I140:J140 I143:J143 I146:J146 I149:J149 I156:J156 I91:J91 I159:J159 I166:J166 I169:J169 I172:J172 I175:J175 I178:J178 I181:J181 I187:J187 I190:J190 I193:J193 I196:J196 I199:J199 I205:J205 I208:J208 I211:J211 I214:J214 I217:J217 I202:J202 I279:J279 I282:J282 I286:J286 I289:J289 I296:J296 I299:J299 I302:J302 I305:J305 I308:J308 I311:J311 I317:J317 I320:J320 I323:J323 I326:J326 I329:J329 I332:J332 I335:J335 I338:J338 I341:J341 I344:J344 I347:J347 I2:J2 I5:J5 I52:J52 I119:J119 I184:J184 I249:J249 I314:J314 I29 J29 I96 J96 I161 J161 I226 J226 I291 J291 I31 J31 I98 J98 I163 J163 I228 J228 I293 J29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31 K234 K237 K240 K243 K246 K252 K255 K258 K261 K264 K267 K270 K273 K276 K279 K10 K91 K149 K146 K143 K140 K137 K134 K131 K128 K125 K122 K116 K113 K110 K107 K104 K101 K94 K156 K152 K159 K166 K169 K172 K175 K178 K181 K187 K190 K193 K196 K199 K205 K208 K211 K214 K217 K202 K282 K286 K289 K296 K299 K302 K305 K308 K311 K317 K320 K323 K326 K329 K332 K335 K338 K341 K344 K347 K5 K119 K184 K249 K314 K96 K161 K226 K291 K98 K163 K228 K293">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4167" hidden="1" customWidth="1"/>
    <col min="2" max="2" width="9.140625" style="4139" hidden="1" customWidth="1"/>
    <col min="3" max="3" width="3" style="4168" customWidth="1"/>
    <col min="4" max="4" width="6" style="4133" customWidth="1"/>
    <col min="5" max="5" width="53" style="4133" customWidth="1"/>
    <col min="6" max="7" width="35" style="4133" customWidth="1"/>
    <col min="8" max="8" width="89" style="4133" customWidth="1"/>
    <col min="9" max="9" width="10" style="4133" customWidth="1"/>
    <col min="10" max="11" width="10" style="4146" customWidth="1"/>
    <col min="12" max="17" width="10" style="4133" customWidth="1"/>
    <col min="18" max="18" width="10.5703125" style="4133" hidden="1"/>
  </cols>
  <sheetData>
    <row r="1" spans="1:18" ht="22.5" hidden="1" customHeight="1">
      <c r="N1" s="191"/>
      <c r="O1" s="191"/>
      <c r="Q1" s="191"/>
      <c r="R1" s="309" t="s">
        <v>14</v>
      </c>
    </row>
    <row r="2" spans="1:18" s="4133" customFormat="1" ht="18.75" hidden="1" customHeight="1">
      <c r="A2" s="42"/>
      <c r="B2" s="1078"/>
      <c r="C2" s="1647" t="s">
        <v>175</v>
      </c>
      <c r="D2" s="1591"/>
      <c r="E2" s="1600"/>
      <c r="F2" s="193"/>
      <c r="G2" s="1079"/>
      <c r="H2" s="309"/>
      <c r="I2" s="1542"/>
      <c r="J2" s="1542"/>
      <c r="R2" s="1549">
        <v>0</v>
      </c>
    </row>
    <row r="3" spans="1:18" ht="14.25" hidden="1" customHeight="1">
      <c r="R3" s="309">
        <v>0</v>
      </c>
    </row>
    <row r="4" spans="1:18" ht="6.4" customHeight="1">
      <c r="C4" s="311"/>
      <c r="D4" s="298"/>
      <c r="E4" s="298"/>
      <c r="F4" s="298"/>
      <c r="G4" s="25"/>
      <c r="H4" s="25"/>
      <c r="R4" s="309">
        <v>6</v>
      </c>
    </row>
    <row r="5" spans="1:18" ht="34.5" customHeight="1">
      <c r="C5" s="311"/>
      <c r="D5" s="432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327"/>
      <c r="F5" s="4327"/>
      <c r="G5" s="4328"/>
      <c r="H5" s="202"/>
      <c r="R5" s="309">
        <v>33</v>
      </c>
    </row>
    <row r="6" spans="1:18" s="4133" customFormat="1" ht="18" customHeight="1">
      <c r="A6" s="1587"/>
      <c r="B6" s="1078"/>
      <c r="C6" s="311"/>
      <c r="D6" s="4387" t="str">
        <f>IF(org=0,"Не определено",org)</f>
        <v>АО "Мурманэнергосбыт"</v>
      </c>
      <c r="E6" s="4388"/>
      <c r="F6" s="4388"/>
      <c r="G6" s="4389"/>
      <c r="H6" s="202"/>
      <c r="J6" s="1542"/>
      <c r="K6" s="1542"/>
      <c r="R6" s="1549">
        <v>17</v>
      </c>
    </row>
    <row r="7" spans="1:18" ht="14.65" customHeight="1">
      <c r="C7" s="311"/>
      <c r="D7" s="298"/>
      <c r="E7" s="324"/>
      <c r="F7" s="324"/>
      <c r="G7" s="687"/>
      <c r="H7" s="130"/>
      <c r="R7" s="309">
        <v>14</v>
      </c>
    </row>
    <row r="8" spans="1:18" ht="14.65" customHeight="1">
      <c r="C8" s="311"/>
      <c r="D8" s="4373" t="s">
        <v>321</v>
      </c>
      <c r="E8" s="4373"/>
      <c r="F8" s="4373"/>
      <c r="G8" s="4373"/>
      <c r="H8" s="4516" t="s">
        <v>322</v>
      </c>
      <c r="R8" s="309">
        <v>14</v>
      </c>
    </row>
    <row r="9" spans="1:18" ht="24" customHeight="1">
      <c r="C9" s="311"/>
      <c r="D9" s="321" t="s">
        <v>92</v>
      </c>
      <c r="E9" s="48" t="s">
        <v>323</v>
      </c>
      <c r="F9" s="48" t="s">
        <v>324</v>
      </c>
      <c r="G9" s="48" t="s">
        <v>411</v>
      </c>
      <c r="H9" s="4516"/>
      <c r="R9" s="309">
        <v>23</v>
      </c>
    </row>
    <row r="10" spans="1:18" ht="14.65" customHeight="1">
      <c r="A10" s="279"/>
      <c r="C10" s="311"/>
      <c r="D10" s="85" t="s">
        <v>113</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4318" t="s">
        <v>1198</v>
      </c>
      <c r="R10" s="309">
        <v>14</v>
      </c>
    </row>
    <row r="11" spans="1:18" ht="14.65" customHeight="1">
      <c r="A11" s="279"/>
      <c r="C11" s="311"/>
      <c r="D11" s="85" t="s">
        <v>114</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4319"/>
      <c r="R11" s="309">
        <v>14</v>
      </c>
    </row>
    <row r="12" spans="1:18" ht="14.65" customHeight="1">
      <c r="A12" s="42"/>
      <c r="C12" s="322"/>
      <c r="D12" s="85" t="s">
        <v>94</v>
      </c>
      <c r="E12" s="323" t="str">
        <f>"Сведения о планировании закупочных процедур"&amp;IF(TEMPLATE_SPHERE="TKO"," &lt;1&gt;","")</f>
        <v>Сведения о планировании закупочных процедур</v>
      </c>
      <c r="F12" s="193"/>
      <c r="G12" s="150"/>
      <c r="H12" s="431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2"/>
      <c r="C13" s="322"/>
      <c r="D13" s="85" t="s">
        <v>95</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4319"/>
      <c r="I13" s="285"/>
      <c r="K13" s="309"/>
      <c r="R13" s="309">
        <v>14</v>
      </c>
    </row>
    <row r="14" spans="1:18" ht="14.65" customHeight="1">
      <c r="A14" s="279"/>
      <c r="C14" s="311"/>
      <c r="D14" s="283"/>
      <c r="E14" s="330" t="s">
        <v>343</v>
      </c>
      <c r="F14" s="284"/>
      <c r="G14" s="138"/>
      <c r="H14" s="4320"/>
      <c r="R14" s="309">
        <v>14</v>
      </c>
    </row>
    <row r="15" spans="1:18" s="4133" customFormat="1" ht="14.65" customHeight="1">
      <c r="A15" s="279"/>
      <c r="B15" s="1078"/>
      <c r="C15" s="311"/>
      <c r="D15" s="331"/>
      <c r="E15" s="1595"/>
      <c r="F15" s="1596"/>
      <c r="G15" s="1597"/>
      <c r="H15" s="1598"/>
      <c r="J15" s="1542"/>
      <c r="K15" s="1542"/>
      <c r="R15" s="1549">
        <v>14</v>
      </c>
    </row>
    <row r="16" spans="1:18" ht="14.65" customHeight="1">
      <c r="D16" s="1599"/>
      <c r="E16" s="4411"/>
      <c r="F16" s="4411"/>
      <c r="G16" s="4411"/>
      <c r="H16" s="4411"/>
      <c r="R16" s="309">
        <v>14</v>
      </c>
    </row>
    <row r="17" spans="1:18" ht="22.5" hidden="1" customHeight="1">
      <c r="A17" s="299" t="s">
        <v>86</v>
      </c>
      <c r="B17" s="84">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4"/>
  <sheetViews>
    <sheetView showGridLines="0" topLeftCell="C4" zoomScale="90" workbookViewId="0">
      <selection activeCell="S26" sqref="S26:S27"/>
    </sheetView>
  </sheetViews>
  <sheetFormatPr defaultColWidth="9.140625" defaultRowHeight="11.25" customHeight="1"/>
  <cols>
    <col min="1" max="2" width="3.7109375" style="4146" hidden="1" customWidth="1"/>
    <col min="3" max="3" width="3" style="4149" customWidth="1"/>
    <col min="4" max="4" width="6" style="4149" customWidth="1"/>
    <col min="5" max="5" width="42" style="4149" customWidth="1"/>
    <col min="6" max="6" width="15" style="4149" customWidth="1"/>
    <col min="7" max="7" width="42" style="4149" customWidth="1"/>
    <col min="8" max="8" width="3" style="4149" customWidth="1"/>
    <col min="9" max="9" width="5" style="4149" customWidth="1"/>
    <col min="10" max="10" width="47" style="4149" customWidth="1"/>
    <col min="11" max="12" width="3" style="4149" customWidth="1"/>
    <col min="13" max="13" width="5" style="4149" customWidth="1"/>
    <col min="14" max="14" width="28" style="4149" customWidth="1"/>
    <col min="15" max="16" width="3" style="4149" customWidth="1"/>
    <col min="17" max="17" width="5" style="4149" customWidth="1"/>
    <col min="18" max="18" width="34" style="4149" customWidth="1"/>
    <col min="19" max="20" width="3.7109375" style="4149" customWidth="1"/>
    <col min="21" max="21" width="5.7109375" style="4149" customWidth="1"/>
    <col min="22" max="22" width="34.42578125" style="4149" customWidth="1"/>
    <col min="23" max="23" width="30" style="4149" customWidth="1"/>
    <col min="24" max="24" width="3" style="4149" customWidth="1"/>
    <col min="25" max="28" width="9.85546875" style="4151" hidden="1" customWidth="1"/>
    <col min="29" max="29" width="27" style="4151" hidden="1" customWidth="1"/>
    <col min="30" max="30" width="10.5703125" style="4151" hidden="1" customWidth="1"/>
    <col min="31" max="31" width="10.7109375" style="4151" hidden="1" customWidth="1"/>
    <col min="32" max="32" width="10" style="4151" hidden="1" customWidth="1"/>
    <col min="33" max="33" width="12.85546875" style="4151" hidden="1" customWidth="1"/>
    <col min="34" max="34" width="24.42578125" style="4151" hidden="1" customWidth="1"/>
    <col min="35" max="35" width="15.85546875" style="4151" hidden="1" customWidth="1"/>
    <col min="36" max="36" width="19.42578125" style="4151" hidden="1" customWidth="1"/>
    <col min="37" max="37" width="11" style="4151" hidden="1" customWidth="1"/>
    <col min="38" max="38" width="23.5703125" style="4151" hidden="1" customWidth="1"/>
    <col min="39" max="39" width="23.85546875" style="4151" hidden="1" customWidth="1"/>
    <col min="40" max="40" width="25.28515625" style="4151" hidden="1" customWidth="1"/>
    <col min="41" max="41" width="16.85546875" style="4151" hidden="1" customWidth="1"/>
    <col min="42" max="42" width="29.5703125" style="4151" hidden="1" customWidth="1"/>
    <col min="43" max="43" width="29.85546875" style="4151" hidden="1" customWidth="1"/>
    <col min="44" max="44" width="9.140625" style="414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4148" customFormat="1" ht="30.4" customHeight="1">
      <c r="A5" s="92"/>
      <c r="B5" s="92"/>
      <c r="D5" s="43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327"/>
      <c r="F5" s="4327"/>
      <c r="G5" s="4327"/>
      <c r="H5" s="4327"/>
      <c r="I5" s="4327"/>
      <c r="J5" s="4328"/>
      <c r="K5" s="201"/>
      <c r="L5" s="81"/>
      <c r="M5" s="81"/>
      <c r="N5" s="81"/>
      <c r="O5" s="81"/>
      <c r="P5" s="81"/>
      <c r="Q5" s="81"/>
      <c r="R5" s="81"/>
      <c r="S5" s="226"/>
      <c r="T5" s="226"/>
      <c r="U5" s="226"/>
      <c r="V5" s="226"/>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4148" customFormat="1" ht="14.65" customHeight="1">
      <c r="A6" s="520"/>
      <c r="B6" s="520"/>
      <c r="C6" s="520"/>
      <c r="D6" s="4332" t="str">
        <f>IF(org=0,"Не определено",org)</f>
        <v>АО "Мурманэнергосбыт"</v>
      </c>
      <c r="E6" s="4332"/>
      <c r="F6" s="4332"/>
      <c r="G6" s="4332"/>
      <c r="H6" s="4332"/>
      <c r="I6" s="4332"/>
      <c r="J6" s="4332"/>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4152" customFormat="1" ht="11.45" customHeight="1">
      <c r="A7" s="148"/>
      <c r="B7" s="148"/>
      <c r="D7" s="4329"/>
      <c r="E7" s="4330"/>
      <c r="F7" s="4330"/>
      <c r="G7" s="4330"/>
      <c r="H7" s="4330"/>
      <c r="I7" s="4330"/>
      <c r="J7" s="4331"/>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4148"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4274" t="s">
        <v>92</v>
      </c>
      <c r="E9" s="4256" t="s">
        <v>125</v>
      </c>
      <c r="F9" s="4255"/>
      <c r="G9" s="4274" t="s">
        <v>109</v>
      </c>
      <c r="H9" s="4274" t="s">
        <v>92</v>
      </c>
      <c r="I9" s="4274"/>
      <c r="J9" s="4274" t="s">
        <v>126</v>
      </c>
      <c r="K9" s="4333" t="s">
        <v>127</v>
      </c>
      <c r="L9" s="4333"/>
      <c r="M9" s="4333"/>
      <c r="N9" s="4333"/>
      <c r="O9" s="4333" t="s">
        <v>128</v>
      </c>
      <c r="P9" s="4333"/>
      <c r="Q9" s="4333"/>
      <c r="R9" s="4333"/>
      <c r="S9" s="4333" t="s">
        <v>129</v>
      </c>
      <c r="T9" s="4333"/>
      <c r="U9" s="4333"/>
      <c r="V9" s="4333"/>
      <c r="W9" s="4274" t="s">
        <v>130</v>
      </c>
      <c r="AR9" s="44">
        <v>27</v>
      </c>
    </row>
    <row r="10" spans="1:44" ht="31.5" customHeight="1">
      <c r="D10" s="4274"/>
      <c r="E10" s="1202" t="s">
        <v>93</v>
      </c>
      <c r="F10" s="1202" t="s">
        <v>131</v>
      </c>
      <c r="G10" s="4274"/>
      <c r="H10" s="4274"/>
      <c r="I10" s="4274"/>
      <c r="J10" s="4274"/>
      <c r="K10" s="50" t="s">
        <v>112</v>
      </c>
      <c r="L10" s="4274" t="s">
        <v>92</v>
      </c>
      <c r="M10" s="4274"/>
      <c r="N10" s="50" t="s">
        <v>132</v>
      </c>
      <c r="O10" s="50" t="s">
        <v>112</v>
      </c>
      <c r="P10" s="4274" t="s">
        <v>92</v>
      </c>
      <c r="Q10" s="4274"/>
      <c r="R10" s="50" t="s">
        <v>132</v>
      </c>
      <c r="S10" s="219" t="s">
        <v>112</v>
      </c>
      <c r="T10" s="4274" t="s">
        <v>92</v>
      </c>
      <c r="U10" s="4274"/>
      <c r="V10" s="219" t="s">
        <v>93</v>
      </c>
      <c r="W10" s="4274"/>
      <c r="Z10" s="1177" t="s">
        <v>133</v>
      </c>
      <c r="AA10" s="1177" t="s">
        <v>134</v>
      </c>
      <c r="AB10" s="1177" t="s">
        <v>135</v>
      </c>
      <c r="AC10" s="1177" t="s">
        <v>136</v>
      </c>
      <c r="AD10" s="1177" t="s">
        <v>137</v>
      </c>
      <c r="AE10" s="1177" t="s">
        <v>138</v>
      </c>
      <c r="AF10" s="1177" t="s">
        <v>139</v>
      </c>
      <c r="AG10" s="1177" t="s">
        <v>140</v>
      </c>
      <c r="AH10" s="1177" t="s">
        <v>141</v>
      </c>
      <c r="AI10" s="1177" t="s">
        <v>142</v>
      </c>
      <c r="AJ10" s="1177" t="s">
        <v>143</v>
      </c>
      <c r="AK10" s="1177" t="s">
        <v>144</v>
      </c>
      <c r="AL10" s="1177" t="s">
        <v>145</v>
      </c>
      <c r="AM10" s="1177" t="s">
        <v>146</v>
      </c>
      <c r="AN10" s="1177" t="s">
        <v>147</v>
      </c>
      <c r="AO10" s="1177" t="s">
        <v>148</v>
      </c>
      <c r="AP10" s="1177" t="s">
        <v>149</v>
      </c>
      <c r="AQ10" s="1177" t="s">
        <v>150</v>
      </c>
      <c r="AR10" s="44">
        <v>30</v>
      </c>
    </row>
    <row r="11" spans="1:44" s="4146" customFormat="1" ht="12" hidden="1" customHeight="1">
      <c r="D11" s="1167" t="s">
        <v>113</v>
      </c>
      <c r="E11" s="1167" t="s">
        <v>114</v>
      </c>
      <c r="F11" s="1167"/>
      <c r="G11" s="1167" t="s">
        <v>94</v>
      </c>
      <c r="H11" s="4325" t="s">
        <v>103</v>
      </c>
      <c r="I11" s="4325"/>
      <c r="J11" s="1167" t="s">
        <v>96</v>
      </c>
      <c r="K11" s="1167" t="s">
        <v>97</v>
      </c>
      <c r="L11" s="4325" t="s">
        <v>115</v>
      </c>
      <c r="M11" s="4325"/>
      <c r="N11" s="1167" t="s">
        <v>151</v>
      </c>
      <c r="O11" s="1167" t="s">
        <v>152</v>
      </c>
      <c r="P11" s="4325" t="s">
        <v>153</v>
      </c>
      <c r="Q11" s="4325"/>
      <c r="R11" s="1167" t="s">
        <v>154</v>
      </c>
      <c r="S11" s="1167" t="s">
        <v>153</v>
      </c>
      <c r="T11" s="4325" t="s">
        <v>154</v>
      </c>
      <c r="U11" s="4325"/>
      <c r="V11" s="1167" t="s">
        <v>155</v>
      </c>
      <c r="W11" s="1167" t="s">
        <v>156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6"/>
      <c r="D12" s="1200">
        <v>0</v>
      </c>
      <c r="E12" s="186"/>
      <c r="F12" s="186"/>
      <c r="G12" s="186"/>
      <c r="H12" s="187"/>
      <c r="I12" s="187"/>
      <c r="J12" s="96"/>
      <c r="K12" s="52"/>
      <c r="L12" s="96"/>
      <c r="M12" s="96"/>
      <c r="N12" s="188"/>
      <c r="O12" s="52"/>
      <c r="P12" s="96"/>
      <c r="Q12" s="96"/>
      <c r="R12" s="189"/>
      <c r="S12" s="220"/>
      <c r="T12" s="228"/>
      <c r="U12" s="228"/>
      <c r="V12" s="232"/>
      <c r="W12" s="52"/>
      <c r="X12" s="80"/>
      <c r="AR12" s="44">
        <v>0</v>
      </c>
    </row>
    <row r="13" spans="1:44" s="4149" customFormat="1" ht="17.25" customHeight="1">
      <c r="A13" s="257"/>
      <c r="C13" s="146"/>
      <c r="D13" s="4307">
        <v>1</v>
      </c>
      <c r="E13" s="4296" t="s">
        <v>157</v>
      </c>
      <c r="F13" s="4309" t="s">
        <v>19</v>
      </c>
      <c r="G13" s="4296"/>
      <c r="H13" s="4298"/>
      <c r="I13" s="4300"/>
      <c r="J13" s="4302"/>
      <c r="K13" s="4294"/>
      <c r="L13" s="4294"/>
      <c r="M13" s="4294"/>
      <c r="N13" s="4305"/>
      <c r="O13" s="4294"/>
      <c r="P13" s="4294"/>
      <c r="Q13" s="4294"/>
      <c r="R13" s="4292"/>
      <c r="S13" s="4294"/>
      <c r="T13" s="1338"/>
      <c r="U13" s="1338"/>
      <c r="V13" s="1337"/>
      <c r="W13" s="1214"/>
      <c r="Y13" s="1185"/>
      <c r="Z13" s="1185"/>
      <c r="AA13" s="1185"/>
      <c r="AB13" s="1185"/>
      <c r="AC13" s="1185" t="s">
        <v>158</v>
      </c>
      <c r="AD13" s="1185" t="s">
        <v>159</v>
      </c>
      <c r="AE13" s="1185" t="s">
        <v>160</v>
      </c>
      <c r="AF13" s="1185" t="s">
        <v>161</v>
      </c>
      <c r="AG13" s="1185" t="s">
        <v>162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4149" customFormat="1" ht="17.25" customHeight="1">
      <c r="A14" s="257"/>
      <c r="C14" s="256"/>
      <c r="D14" s="4307"/>
      <c r="E14" s="4296"/>
      <c r="F14" s="4310"/>
      <c r="G14" s="4296"/>
      <c r="H14" s="4299"/>
      <c r="I14" s="4301"/>
      <c r="J14" s="4303"/>
      <c r="K14" s="4295"/>
      <c r="L14" s="4295"/>
      <c r="M14" s="4295"/>
      <c r="N14" s="4306"/>
      <c r="O14" s="4295"/>
      <c r="P14" s="4295"/>
      <c r="Q14" s="4295"/>
      <c r="R14" s="4293"/>
      <c r="S14" s="429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4149" customFormat="1" ht="17.25" customHeight="1">
      <c r="A15" s="257"/>
      <c r="C15" s="146"/>
      <c r="D15" s="4307"/>
      <c r="E15" s="4296"/>
      <c r="F15" s="4310"/>
      <c r="G15" s="4296"/>
      <c r="H15" s="4299"/>
      <c r="I15" s="4301"/>
      <c r="J15" s="4304"/>
      <c r="K15" s="4295"/>
      <c r="L15" s="4295"/>
      <c r="M15" s="4295"/>
      <c r="N15" s="4293"/>
      <c r="O15" s="4295"/>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4149" customFormat="1" ht="17.25" customHeight="1">
      <c r="A16" s="257"/>
      <c r="C16" s="256"/>
      <c r="D16" s="4307"/>
      <c r="E16" s="4296"/>
      <c r="F16" s="4310"/>
      <c r="G16" s="4296"/>
      <c r="H16" s="4299"/>
      <c r="I16" s="4301"/>
      <c r="J16" s="4304"/>
      <c r="K16" s="4295"/>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4149" customFormat="1" ht="17.25" customHeight="1">
      <c r="A17" s="257"/>
      <c r="C17" s="256"/>
      <c r="D17" s="4308"/>
      <c r="E17" s="4297"/>
      <c r="F17" s="4311"/>
      <c r="G17" s="4297"/>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4149" customFormat="1" ht="17.25" customHeight="1">
      <c r="A18" s="257"/>
      <c r="C18" s="146"/>
      <c r="D18" s="4307">
        <v>2</v>
      </c>
      <c r="E18" s="4322" t="s">
        <v>163</v>
      </c>
      <c r="F18" s="4309" t="s">
        <v>65</v>
      </c>
      <c r="G18" s="433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4343"/>
      <c r="I18" s="4343">
        <v>1</v>
      </c>
      <c r="J18" s="4341" t="s">
        <v>164</v>
      </c>
      <c r="K18" s="4337" t="s">
        <v>19</v>
      </c>
      <c r="L18" s="4285"/>
      <c r="M18" s="4285" t="s">
        <v>113</v>
      </c>
      <c r="N18" s="4340" t="s">
        <v>28</v>
      </c>
      <c r="O18" s="4337" t="s">
        <v>19</v>
      </c>
      <c r="P18" s="4285"/>
      <c r="Q18" s="4285" t="s">
        <v>113</v>
      </c>
      <c r="R18" s="4339" t="s">
        <v>28</v>
      </c>
      <c r="S18" s="4284" t="s">
        <v>19</v>
      </c>
      <c r="T18" s="2010"/>
      <c r="U18" s="2010" t="s">
        <v>113</v>
      </c>
      <c r="V18" s="2011" t="s">
        <v>28</v>
      </c>
      <c r="W18" s="2009" t="s">
        <v>165</v>
      </c>
      <c r="X18" s="1185"/>
      <c r="Y18" s="1185"/>
      <c r="Z18" s="1185"/>
      <c r="AA18" s="1185"/>
      <c r="AB18" s="1185" t="s">
        <v>166</v>
      </c>
      <c r="AC18" s="1185" t="s">
        <v>167</v>
      </c>
      <c r="AD18" s="1185" t="s">
        <v>168</v>
      </c>
      <c r="AE18" s="1185" t="s">
        <v>169</v>
      </c>
      <c r="AF18" s="1185" t="s">
        <v>170</v>
      </c>
      <c r="AG18" s="1185" t="s">
        <v>171</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 Передача. Тепловая энергия; Сбыт. Тепловая энергия</v>
      </c>
      <c r="AJ18" s="1185" t="str">
        <f>IF($J$18=0,"",$J$18)</f>
        <v>Тарифы на тепловую энергию, поставляемую потребителям</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4149" customFormat="1" ht="17.25" customHeight="1">
      <c r="A19" s="257"/>
      <c r="C19" s="256"/>
      <c r="D19" s="4307"/>
      <c r="E19" s="4322"/>
      <c r="F19" s="4310"/>
      <c r="G19" s="4334"/>
      <c r="H19" s="4343"/>
      <c r="I19" s="4343"/>
      <c r="J19" s="4341"/>
      <c r="K19" s="4338"/>
      <c r="L19" s="4285"/>
      <c r="M19" s="4285"/>
      <c r="N19" s="4340" t="s">
        <v>28</v>
      </c>
      <c r="O19" s="4338"/>
      <c r="P19" s="4285"/>
      <c r="Q19" s="4285"/>
      <c r="R19" s="4339" t="s">
        <v>28</v>
      </c>
      <c r="S19" s="4284"/>
      <c r="T19" s="2012"/>
      <c r="U19" s="2013"/>
      <c r="V19" s="2014" t="s">
        <v>172</v>
      </c>
      <c r="W19" s="2015"/>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4149" customFormat="1" ht="17.25" customHeight="1">
      <c r="A20" s="257"/>
      <c r="C20" s="256"/>
      <c r="D20" s="4308"/>
      <c r="E20" s="4323"/>
      <c r="F20" s="4310"/>
      <c r="G20" s="4335"/>
      <c r="H20" s="4308"/>
      <c r="I20" s="4308"/>
      <c r="J20" s="4342"/>
      <c r="K20" s="4338"/>
      <c r="L20" s="4308"/>
      <c r="M20" s="4308"/>
      <c r="N20" s="4339" t="s">
        <v>28</v>
      </c>
      <c r="O20" s="4289"/>
      <c r="P20" s="2016"/>
      <c r="Q20" s="2017"/>
      <c r="R20" s="2018" t="s">
        <v>173</v>
      </c>
      <c r="S20" s="2019"/>
      <c r="T20" s="2020"/>
      <c r="U20" s="2021"/>
      <c r="V20" s="2022"/>
      <c r="W20" s="2023"/>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4149" customFormat="1" ht="17.25" customHeight="1">
      <c r="A21" s="257"/>
      <c r="C21" s="256"/>
      <c r="D21" s="4308"/>
      <c r="E21" s="4323"/>
      <c r="F21" s="4310"/>
      <c r="G21" s="4335"/>
      <c r="H21" s="4308"/>
      <c r="I21" s="4308"/>
      <c r="J21" s="4342"/>
      <c r="K21" s="4289"/>
      <c r="L21" s="2024"/>
      <c r="M21" s="2025"/>
      <c r="N21" s="2026" t="s">
        <v>174</v>
      </c>
      <c r="O21" s="2027"/>
      <c r="P21" s="2028"/>
      <c r="Q21" s="2029"/>
      <c r="R21" s="2030"/>
      <c r="S21" s="2031"/>
      <c r="T21" s="2032"/>
      <c r="U21" s="2033"/>
      <c r="V21" s="2034"/>
      <c r="W21" s="2035"/>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ht="17.25" customHeight="1">
      <c r="A22" s="1755"/>
      <c r="B22" s="2036"/>
      <c r="C22" s="1757"/>
      <c r="D22" s="4321"/>
      <c r="E22" s="4324"/>
      <c r="F22" s="4310"/>
      <c r="G22" s="4336"/>
      <c r="H22" s="4343" t="s">
        <v>175</v>
      </c>
      <c r="I22" s="4343" t="s">
        <v>114</v>
      </c>
      <c r="J22" s="4341" t="s">
        <v>176</v>
      </c>
      <c r="K22" s="4337" t="s">
        <v>19</v>
      </c>
      <c r="L22" s="4285"/>
      <c r="M22" s="4285" t="s">
        <v>113</v>
      </c>
      <c r="N22" s="4340" t="s">
        <v>28</v>
      </c>
      <c r="O22" s="4337" t="s">
        <v>19</v>
      </c>
      <c r="P22" s="4285"/>
      <c r="Q22" s="4285" t="s">
        <v>113</v>
      </c>
      <c r="R22" s="4339" t="s">
        <v>28</v>
      </c>
      <c r="S22" s="4284" t="s">
        <v>19</v>
      </c>
      <c r="T22" s="1728"/>
      <c r="U22" s="1728" t="s">
        <v>113</v>
      </c>
      <c r="V22" s="2037" t="s">
        <v>28</v>
      </c>
      <c r="W22" s="1718" t="s">
        <v>177</v>
      </c>
      <c r="X22" s="2036"/>
      <c r="Y22" s="1185"/>
      <c r="Z22" s="1185"/>
      <c r="AA22" s="1185"/>
      <c r="AB22" s="1185"/>
      <c r="AC22" s="2038" t="s">
        <v>167</v>
      </c>
      <c r="AD22" s="1185" t="s">
        <v>178</v>
      </c>
      <c r="AE22" s="1185" t="s">
        <v>179</v>
      </c>
      <c r="AF22" s="1185" t="s">
        <v>180</v>
      </c>
      <c r="AG22" s="1185" t="s">
        <v>181</v>
      </c>
      <c r="AH22" s="1185" t="str">
        <f>IF($E$18=0,"",$E$18)</f>
        <v>Тарифы на тепловую энергию (мощность), поставляемую теплоснабжающими организациями потребителям, другим теплоснабжающим организациям</v>
      </c>
      <c r="AI22" s="1185" t="str">
        <f>IF($G$18=0,"",$G$18)</f>
        <v>Производство тепловой энергии. Некомбинированная выработка; Передача. Тепловая энергия; Сбыт. Тепловая энергия</v>
      </c>
      <c r="AJ22" s="1185" t="str">
        <f>IF($J$22=0,"",$J$22)</f>
        <v>Льготные тарифы на тепловую энергию, поставляемую группе потребителей "население"</v>
      </c>
      <c r="AK22" s="1185" t="str">
        <f>IF($K$22="нет","без дифференциации",IF($N$22=0,"",$N$22))</f>
        <v>без дифференциации</v>
      </c>
      <c r="AL22" s="1759" t="str">
        <f>IF($O$22="нет","без дифференциации",IF($R$22=0,"",$R$22))</f>
        <v>без дифференциации</v>
      </c>
      <c r="AM22" s="1759" t="str">
        <f>IF($S$22="нет","без дифференциации",IF($V$22=0,"",$V$22))</f>
        <v>без дифференциации</v>
      </c>
      <c r="AN22" s="1185" t="str">
        <f>$I$22</f>
        <v>2</v>
      </c>
      <c r="AO22" s="1185" t="str">
        <f>$I$22&amp;"."&amp;$M$22</f>
        <v>2.1</v>
      </c>
      <c r="AP22" s="1185" t="str">
        <f>$I$22&amp;"."&amp;$M$22&amp;"."&amp;$Q$22</f>
        <v>2.1.1</v>
      </c>
      <c r="AQ22" s="1185" t="str">
        <f>$I$22&amp;"."&amp;$M$22&amp;"."&amp;$Q$22&amp;"."&amp;$U$22</f>
        <v>2.1.1.1</v>
      </c>
      <c r="AR22" s="2036"/>
    </row>
    <row r="23" spans="1:44" ht="17.25" customHeight="1">
      <c r="A23" s="1755"/>
      <c r="B23" s="2036"/>
      <c r="C23" s="1760"/>
      <c r="D23" s="4321"/>
      <c r="E23" s="4324"/>
      <c r="F23" s="4310"/>
      <c r="G23" s="4336"/>
      <c r="H23" s="4343"/>
      <c r="I23" s="4343"/>
      <c r="J23" s="4341"/>
      <c r="K23" s="4338"/>
      <c r="L23" s="4285"/>
      <c r="M23" s="4285"/>
      <c r="N23" s="4340" t="s">
        <v>28</v>
      </c>
      <c r="O23" s="4338"/>
      <c r="P23" s="4285"/>
      <c r="Q23" s="4285"/>
      <c r="R23" s="4339" t="s">
        <v>28</v>
      </c>
      <c r="S23" s="4284"/>
      <c r="T23" s="253"/>
      <c r="U23" s="254"/>
      <c r="V23" s="254" t="s">
        <v>172</v>
      </c>
      <c r="W23" s="255"/>
      <c r="X23" s="2036"/>
      <c r="Y23" s="1177"/>
      <c r="Z23" s="1177"/>
      <c r="AA23" s="1177"/>
      <c r="AB23" s="1177"/>
      <c r="AC23" s="1177"/>
      <c r="AD23" s="1177"/>
      <c r="AE23" s="1177"/>
      <c r="AF23" s="1177"/>
      <c r="AG23" s="1177"/>
      <c r="AH23" s="1177"/>
      <c r="AI23" s="1177"/>
      <c r="AJ23" s="1177"/>
      <c r="AK23" s="1177"/>
      <c r="AL23" s="2036"/>
      <c r="AM23" s="2036"/>
      <c r="AN23" s="2036"/>
      <c r="AO23" s="2036"/>
      <c r="AP23" s="2036"/>
      <c r="AQ23" s="2036"/>
      <c r="AR23" s="2036"/>
    </row>
    <row r="24" spans="1:44" ht="17.25" customHeight="1">
      <c r="A24" s="1755"/>
      <c r="B24" s="2036"/>
      <c r="C24" s="1760"/>
      <c r="D24" s="4321"/>
      <c r="E24" s="4324"/>
      <c r="F24" s="4310"/>
      <c r="G24" s="4336"/>
      <c r="H24" s="4308"/>
      <c r="I24" s="4308"/>
      <c r="J24" s="4342"/>
      <c r="K24" s="4338"/>
      <c r="L24" s="4308"/>
      <c r="M24" s="4308"/>
      <c r="N24" s="4339" t="s">
        <v>28</v>
      </c>
      <c r="O24" s="4289"/>
      <c r="P24" s="253"/>
      <c r="Q24" s="254"/>
      <c r="R24" s="254" t="s">
        <v>173</v>
      </c>
      <c r="S24" s="1761"/>
      <c r="T24" s="1761"/>
      <c r="U24" s="1761"/>
      <c r="V24" s="1761"/>
      <c r="W24" s="255"/>
      <c r="X24" s="2036"/>
      <c r="Y24" s="1177"/>
      <c r="Z24" s="1177"/>
      <c r="AA24" s="1177"/>
      <c r="AB24" s="1177"/>
      <c r="AC24" s="1177"/>
      <c r="AD24" s="1177"/>
      <c r="AE24" s="1177"/>
      <c r="AF24" s="1177"/>
      <c r="AG24" s="1177"/>
      <c r="AH24" s="1177"/>
      <c r="AI24" s="1177"/>
      <c r="AJ24" s="1177"/>
      <c r="AK24" s="1177"/>
      <c r="AL24" s="2036"/>
      <c r="AM24" s="2036"/>
      <c r="AN24" s="2036"/>
      <c r="AO24" s="2036"/>
      <c r="AP24" s="2036"/>
      <c r="AQ24" s="2036"/>
      <c r="AR24" s="2036"/>
    </row>
    <row r="25" spans="1:44" ht="17.25" customHeight="1">
      <c r="A25" s="1755"/>
      <c r="B25" s="2036"/>
      <c r="C25" s="1760"/>
      <c r="D25" s="4321"/>
      <c r="E25" s="4324"/>
      <c r="F25" s="4310"/>
      <c r="G25" s="4336"/>
      <c r="H25" s="4308"/>
      <c r="I25" s="4308"/>
      <c r="J25" s="4342"/>
      <c r="K25" s="4289"/>
      <c r="L25" s="253"/>
      <c r="M25" s="254"/>
      <c r="N25" s="254" t="s">
        <v>174</v>
      </c>
      <c r="O25" s="254"/>
      <c r="P25" s="254"/>
      <c r="Q25" s="254"/>
      <c r="R25" s="254"/>
      <c r="S25" s="1761"/>
      <c r="T25" s="1761"/>
      <c r="U25" s="1761"/>
      <c r="V25" s="1761"/>
      <c r="W25" s="255"/>
      <c r="X25" s="2036"/>
      <c r="Y25" s="1177"/>
      <c r="Z25" s="1177"/>
      <c r="AA25" s="1177"/>
      <c r="AB25" s="1177"/>
      <c r="AC25" s="1177"/>
      <c r="AD25" s="1177"/>
      <c r="AE25" s="1177"/>
      <c r="AF25" s="1177"/>
      <c r="AG25" s="1177"/>
      <c r="AH25" s="1177"/>
      <c r="AI25" s="1177"/>
      <c r="AJ25" s="1177"/>
      <c r="AK25" s="1177"/>
      <c r="AL25" s="2036"/>
      <c r="AM25" s="2036"/>
      <c r="AN25" s="2036"/>
      <c r="AO25" s="2036"/>
      <c r="AP25" s="2036"/>
      <c r="AQ25" s="2036"/>
      <c r="AR25" s="2036"/>
    </row>
    <row r="26" spans="1:44" ht="17.25" customHeight="1">
      <c r="A26" s="1755"/>
      <c r="B26" s="2036"/>
      <c r="C26" s="1757"/>
      <c r="D26" s="4321"/>
      <c r="E26" s="4324"/>
      <c r="F26" s="4310"/>
      <c r="G26" s="4336"/>
      <c r="H26" s="4343" t="s">
        <v>175</v>
      </c>
      <c r="I26" s="4343" t="s">
        <v>94</v>
      </c>
      <c r="J26" s="4341" t="s">
        <v>182</v>
      </c>
      <c r="K26" s="4337" t="s">
        <v>19</v>
      </c>
      <c r="L26" s="4285"/>
      <c r="M26" s="4285" t="s">
        <v>113</v>
      </c>
      <c r="N26" s="4340" t="s">
        <v>28</v>
      </c>
      <c r="O26" s="4337" t="s">
        <v>19</v>
      </c>
      <c r="P26" s="4285"/>
      <c r="Q26" s="4285" t="s">
        <v>113</v>
      </c>
      <c r="R26" s="4339" t="s">
        <v>28</v>
      </c>
      <c r="S26" s="4284" t="s">
        <v>19</v>
      </c>
      <c r="T26" s="1728"/>
      <c r="U26" s="1728" t="s">
        <v>113</v>
      </c>
      <c r="V26" s="2037" t="s">
        <v>28</v>
      </c>
      <c r="W26" s="1718" t="s">
        <v>183</v>
      </c>
      <c r="X26" s="2036"/>
      <c r="Y26" s="1185"/>
      <c r="Z26" s="1185"/>
      <c r="AA26" s="1185"/>
      <c r="AB26" s="1185"/>
      <c r="AC26" s="2038" t="s">
        <v>167</v>
      </c>
      <c r="AD26" s="1185" t="s">
        <v>184</v>
      </c>
      <c r="AE26" s="1185" t="s">
        <v>185</v>
      </c>
      <c r="AF26" s="1185" t="s">
        <v>186</v>
      </c>
      <c r="AG26" s="1185" t="s">
        <v>187</v>
      </c>
      <c r="AH26" s="1185" t="str">
        <f>IF($E$18=0,"",$E$18)</f>
        <v>Тарифы на тепловую энергию (мощность), поставляемую теплоснабжающими организациями потребителям, другим теплоснабжающим организациям</v>
      </c>
      <c r="AI26" s="1185" t="str">
        <f>IF($G$18=0,"",$G$18)</f>
        <v>Производство тепловой энергии. Некомбинированная выработка; Передача. Тепловая энергия; Сбыт. Тепловая энергия</v>
      </c>
      <c r="AJ26" s="1185" t="str">
        <f>IF($J$26=0,"",$J$26)</f>
        <v>Льготные тарифы на тепловую энергию, поставляемую группе потребителей "потребители (кроме населения)"</v>
      </c>
      <c r="AK26" s="1185" t="str">
        <f>IF($K$26="нет","без дифференциации",IF($N$26=0,"",$N$26))</f>
        <v>без дифференциации</v>
      </c>
      <c r="AL26" s="1759" t="str">
        <f>IF($O$26="нет","без дифференциации",IF($R$26=0,"",$R$26))</f>
        <v>без дифференциации</v>
      </c>
      <c r="AM26" s="1759" t="str">
        <f>IF($S$26="нет","без дифференциации",IF($V$26=0,"",$V$26))</f>
        <v>без дифференциации</v>
      </c>
      <c r="AN26" s="1185" t="str">
        <f>$I$26</f>
        <v>3</v>
      </c>
      <c r="AO26" s="1185" t="str">
        <f>$I$26&amp;"."&amp;$M$26</f>
        <v>3.1</v>
      </c>
      <c r="AP26" s="1185" t="str">
        <f>$I$26&amp;"."&amp;$M$26&amp;"."&amp;$Q$26</f>
        <v>3.1.1</v>
      </c>
      <c r="AQ26" s="1185" t="str">
        <f>$I$26&amp;"."&amp;$M$26&amp;"."&amp;$Q$26&amp;"."&amp;$U$26</f>
        <v>3.1.1.1</v>
      </c>
      <c r="AR26" s="2036"/>
    </row>
    <row r="27" spans="1:44" ht="17.25" customHeight="1">
      <c r="A27" s="1755"/>
      <c r="B27" s="2036"/>
      <c r="C27" s="1760"/>
      <c r="D27" s="4321"/>
      <c r="E27" s="4324"/>
      <c r="F27" s="4310"/>
      <c r="G27" s="4336"/>
      <c r="H27" s="4343"/>
      <c r="I27" s="4343"/>
      <c r="J27" s="4341"/>
      <c r="K27" s="4338"/>
      <c r="L27" s="4285"/>
      <c r="M27" s="4285"/>
      <c r="N27" s="4340" t="s">
        <v>28</v>
      </c>
      <c r="O27" s="4338"/>
      <c r="P27" s="4285"/>
      <c r="Q27" s="4285"/>
      <c r="R27" s="4339" t="s">
        <v>28</v>
      </c>
      <c r="S27" s="4284"/>
      <c r="T27" s="253"/>
      <c r="U27" s="254"/>
      <c r="V27" s="254" t="s">
        <v>172</v>
      </c>
      <c r="W27" s="255"/>
      <c r="X27" s="2036"/>
      <c r="Y27" s="1177"/>
      <c r="Z27" s="1177"/>
      <c r="AA27" s="1177"/>
      <c r="AB27" s="1177"/>
      <c r="AC27" s="1177"/>
      <c r="AD27" s="1177"/>
      <c r="AE27" s="1177"/>
      <c r="AF27" s="1177"/>
      <c r="AG27" s="1177"/>
      <c r="AH27" s="1177"/>
      <c r="AI27" s="1177"/>
      <c r="AJ27" s="1177"/>
      <c r="AK27" s="1177"/>
      <c r="AL27" s="2036"/>
      <c r="AM27" s="2036"/>
      <c r="AN27" s="2036"/>
      <c r="AO27" s="2036"/>
      <c r="AP27" s="2036"/>
      <c r="AQ27" s="2036"/>
      <c r="AR27" s="2036"/>
    </row>
    <row r="28" spans="1:44" ht="17.25" customHeight="1">
      <c r="A28" s="1755"/>
      <c r="B28" s="2036"/>
      <c r="C28" s="1760"/>
      <c r="D28" s="4321"/>
      <c r="E28" s="4324"/>
      <c r="F28" s="4310"/>
      <c r="G28" s="4336"/>
      <c r="H28" s="4308"/>
      <c r="I28" s="4308"/>
      <c r="J28" s="4342"/>
      <c r="K28" s="4338"/>
      <c r="L28" s="4308"/>
      <c r="M28" s="4308"/>
      <c r="N28" s="4339" t="s">
        <v>28</v>
      </c>
      <c r="O28" s="4289"/>
      <c r="P28" s="253"/>
      <c r="Q28" s="254"/>
      <c r="R28" s="254" t="s">
        <v>173</v>
      </c>
      <c r="S28" s="1761"/>
      <c r="T28" s="1761"/>
      <c r="U28" s="1761"/>
      <c r="V28" s="1761"/>
      <c r="W28" s="255"/>
      <c r="X28" s="2036"/>
      <c r="Y28" s="1177"/>
      <c r="Z28" s="1177"/>
      <c r="AA28" s="1177"/>
      <c r="AB28" s="1177"/>
      <c r="AC28" s="1177"/>
      <c r="AD28" s="1177"/>
      <c r="AE28" s="1177"/>
      <c r="AF28" s="1177"/>
      <c r="AG28" s="1177"/>
      <c r="AH28" s="1177"/>
      <c r="AI28" s="1177"/>
      <c r="AJ28" s="1177"/>
      <c r="AK28" s="1177"/>
      <c r="AL28" s="2036"/>
      <c r="AM28" s="2036"/>
      <c r="AN28" s="2036"/>
      <c r="AO28" s="2036"/>
      <c r="AP28" s="2036"/>
      <c r="AQ28" s="2036"/>
      <c r="AR28" s="2036"/>
    </row>
    <row r="29" spans="1:44" ht="17.25" customHeight="1">
      <c r="A29" s="1755"/>
      <c r="B29" s="2036"/>
      <c r="C29" s="1760"/>
      <c r="D29" s="4321"/>
      <c r="E29" s="4324"/>
      <c r="F29" s="4310"/>
      <c r="G29" s="4336"/>
      <c r="H29" s="4308"/>
      <c r="I29" s="4308"/>
      <c r="J29" s="4342"/>
      <c r="K29" s="4289"/>
      <c r="L29" s="253"/>
      <c r="M29" s="254"/>
      <c r="N29" s="254" t="s">
        <v>174</v>
      </c>
      <c r="O29" s="254"/>
      <c r="P29" s="254"/>
      <c r="Q29" s="254"/>
      <c r="R29" s="254"/>
      <c r="S29" s="1761"/>
      <c r="T29" s="1761"/>
      <c r="U29" s="1761"/>
      <c r="V29" s="1761"/>
      <c r="W29" s="255"/>
      <c r="X29" s="2036"/>
      <c r="Y29" s="1177"/>
      <c r="Z29" s="1177"/>
      <c r="AA29" s="1177"/>
      <c r="AB29" s="1177"/>
      <c r="AC29" s="1177"/>
      <c r="AD29" s="1177"/>
      <c r="AE29" s="1177"/>
      <c r="AF29" s="1177"/>
      <c r="AG29" s="1177"/>
      <c r="AH29" s="1177"/>
      <c r="AI29" s="1177"/>
      <c r="AJ29" s="1177"/>
      <c r="AK29" s="1177"/>
      <c r="AL29" s="2036"/>
      <c r="AM29" s="2036"/>
      <c r="AN29" s="2036"/>
      <c r="AO29" s="2036"/>
      <c r="AP29" s="2036"/>
      <c r="AQ29" s="2036"/>
      <c r="AR29" s="2036"/>
    </row>
    <row r="30" spans="1:44" s="4149" customFormat="1" ht="17.25" customHeight="1">
      <c r="A30" s="257"/>
      <c r="C30" s="256"/>
      <c r="D30" s="4308"/>
      <c r="E30" s="4323"/>
      <c r="F30" s="4311"/>
      <c r="G30" s="4335"/>
      <c r="H30" s="2039"/>
      <c r="I30" s="2040"/>
      <c r="J30" s="2041" t="s">
        <v>188</v>
      </c>
      <c r="K30" s="2042"/>
      <c r="L30" s="2043"/>
      <c r="M30" s="2044"/>
      <c r="N30" s="2045"/>
      <c r="O30" s="2046"/>
      <c r="P30" s="2047"/>
      <c r="Q30" s="2048"/>
      <c r="R30" s="2049"/>
      <c r="S30" s="2050"/>
      <c r="T30" s="2051"/>
      <c r="U30" s="2052"/>
      <c r="V30" s="2053"/>
      <c r="W30" s="2054"/>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4149" customFormat="1" ht="17.25" hidden="1" customHeight="1">
      <c r="A31" s="257"/>
      <c r="C31" s="146"/>
      <c r="D31" s="4307">
        <v>2</v>
      </c>
      <c r="E31" s="4296" t="s">
        <v>163</v>
      </c>
      <c r="F31" s="4309" t="s">
        <v>19</v>
      </c>
      <c r="G31" s="4296"/>
      <c r="H31" s="4298"/>
      <c r="I31" s="4300"/>
      <c r="J31" s="4302"/>
      <c r="K31" s="4294"/>
      <c r="L31" s="4294"/>
      <c r="M31" s="4294"/>
      <c r="N31" s="4305"/>
      <c r="O31" s="4294"/>
      <c r="P31" s="4294"/>
      <c r="Q31" s="4294"/>
      <c r="R31" s="4292"/>
      <c r="S31" s="4294"/>
      <c r="T31" s="1910"/>
      <c r="U31" s="1910"/>
      <c r="V31" s="1912"/>
      <c r="W31" s="1214"/>
      <c r="X31" s="1185"/>
      <c r="Y31" s="1185"/>
      <c r="Z31" s="1185" t="s">
        <v>28</v>
      </c>
      <c r="AA31" s="1185" t="s">
        <v>28</v>
      </c>
      <c r="AB31" s="1185" t="s">
        <v>28</v>
      </c>
      <c r="AC31" s="1185" t="s">
        <v>28</v>
      </c>
      <c r="AD31" s="1185" t="s">
        <v>28</v>
      </c>
      <c r="AE31" s="1185" t="s">
        <v>28</v>
      </c>
      <c r="AF31" s="1185" t="s">
        <v>28</v>
      </c>
      <c r="AG31" s="1185" t="s">
        <v>28</v>
      </c>
      <c r="AH31" s="1185" t="s">
        <v>28</v>
      </c>
      <c r="AI31" s="1185" t="s">
        <v>28</v>
      </c>
      <c r="AJ31" s="1185" t="s">
        <v>28</v>
      </c>
      <c r="AK31" s="1185" t="s">
        <v>28</v>
      </c>
      <c r="AL31" s="1185" t="s">
        <v>28</v>
      </c>
      <c r="AM31" s="1185" t="s">
        <v>28</v>
      </c>
      <c r="AN31" s="1689" t="s">
        <v>28</v>
      </c>
      <c r="AO31" s="1185" t="s">
        <v>28</v>
      </c>
      <c r="AP31" s="1184" t="s">
        <v>28</v>
      </c>
      <c r="AQ31" s="1184" t="s">
        <v>28</v>
      </c>
      <c r="AR31" s="1385">
        <v>0</v>
      </c>
    </row>
    <row r="32" spans="1:44" s="4149" customFormat="1" ht="17.25" hidden="1" customHeight="1">
      <c r="A32" s="257"/>
      <c r="C32" s="256"/>
      <c r="D32" s="4307"/>
      <c r="E32" s="4296"/>
      <c r="F32" s="4310"/>
      <c r="G32" s="4296"/>
      <c r="H32" s="4299"/>
      <c r="I32" s="4301"/>
      <c r="J32" s="4303"/>
      <c r="K32" s="4295"/>
      <c r="L32" s="4295"/>
      <c r="M32" s="4295"/>
      <c r="N32" s="4306"/>
      <c r="O32" s="4295"/>
      <c r="P32" s="4295"/>
      <c r="Q32" s="4295"/>
      <c r="R32" s="4293"/>
      <c r="S32" s="4295"/>
      <c r="T32" s="1915"/>
      <c r="U32" s="1915"/>
      <c r="V32" s="1915"/>
      <c r="W32" s="1916"/>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385">
        <v>0</v>
      </c>
    </row>
    <row r="33" spans="1:44" s="4149" customFormat="1" ht="17.25" hidden="1" customHeight="1">
      <c r="A33" s="257"/>
      <c r="C33" s="256"/>
      <c r="D33" s="4308"/>
      <c r="E33" s="4297"/>
      <c r="F33" s="4310"/>
      <c r="G33" s="4297"/>
      <c r="H33" s="4299"/>
      <c r="I33" s="4301"/>
      <c r="J33" s="4304"/>
      <c r="K33" s="4295"/>
      <c r="L33" s="4295"/>
      <c r="M33" s="4295"/>
      <c r="N33" s="4293"/>
      <c r="O33" s="4295"/>
      <c r="P33" s="1911"/>
      <c r="Q33" s="1915"/>
      <c r="R33" s="1915"/>
      <c r="S33" s="265"/>
      <c r="T33" s="265"/>
      <c r="U33" s="265"/>
      <c r="V33" s="265"/>
      <c r="W33" s="1916"/>
      <c r="X33" s="1184"/>
      <c r="Y33" s="1184"/>
      <c r="Z33" s="1184"/>
      <c r="AA33" s="1184"/>
      <c r="AB33" s="1184"/>
      <c r="AC33" s="1184"/>
      <c r="AD33" s="1184"/>
      <c r="AE33" s="1184"/>
      <c r="AF33" s="1184"/>
      <c r="AG33" s="1184"/>
      <c r="AH33" s="1184"/>
      <c r="AI33" s="1184"/>
      <c r="AJ33" s="1184"/>
      <c r="AK33" s="1184"/>
      <c r="AL33" s="1184"/>
      <c r="AM33" s="1184"/>
      <c r="AN33" s="1184"/>
      <c r="AO33" s="1184"/>
      <c r="AP33" s="1184"/>
      <c r="AQ33" s="1184"/>
      <c r="AR33" s="1385">
        <v>0</v>
      </c>
    </row>
    <row r="34" spans="1:44" s="4149" customFormat="1" ht="17.25" hidden="1" customHeight="1">
      <c r="A34" s="257"/>
      <c r="C34" s="256"/>
      <c r="D34" s="4308"/>
      <c r="E34" s="4297"/>
      <c r="F34" s="4310"/>
      <c r="G34" s="4297"/>
      <c r="H34" s="4299"/>
      <c r="I34" s="4301"/>
      <c r="J34" s="4304"/>
      <c r="K34" s="4295"/>
      <c r="L34" s="1915"/>
      <c r="M34" s="1915"/>
      <c r="N34" s="1915"/>
      <c r="O34" s="1915"/>
      <c r="P34" s="1915"/>
      <c r="Q34" s="1915"/>
      <c r="R34" s="1915"/>
      <c r="S34" s="265"/>
      <c r="T34" s="265"/>
      <c r="U34" s="265"/>
      <c r="V34" s="265"/>
      <c r="W34" s="1916"/>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385">
        <v>0</v>
      </c>
    </row>
    <row r="35" spans="1:44" s="4149" customFormat="1" ht="17.25" hidden="1" customHeight="1">
      <c r="A35" s="257"/>
      <c r="C35" s="256"/>
      <c r="D35" s="4308"/>
      <c r="E35" s="4297"/>
      <c r="F35" s="4311"/>
      <c r="G35" s="4297"/>
      <c r="H35" s="1217"/>
      <c r="I35" s="1913"/>
      <c r="J35" s="1913"/>
      <c r="K35" s="1913"/>
      <c r="L35" s="1913"/>
      <c r="M35" s="1913"/>
      <c r="N35" s="1913"/>
      <c r="O35" s="1913"/>
      <c r="P35" s="1913"/>
      <c r="Q35" s="1913"/>
      <c r="R35" s="1913"/>
      <c r="S35" s="1219"/>
      <c r="T35" s="1219"/>
      <c r="U35" s="1219"/>
      <c r="V35" s="1219"/>
      <c r="W35" s="1914"/>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385">
        <v>0</v>
      </c>
    </row>
    <row r="36" spans="1:44" s="4149" customFormat="1" ht="17.25" customHeight="1">
      <c r="A36" s="257"/>
      <c r="C36" s="146"/>
      <c r="D36" s="4307">
        <v>3</v>
      </c>
      <c r="E36" s="4296" t="s">
        <v>189</v>
      </c>
      <c r="F36" s="4309" t="s">
        <v>19</v>
      </c>
      <c r="G36" s="4296"/>
      <c r="H36" s="4298"/>
      <c r="I36" s="4300"/>
      <c r="J36" s="4302"/>
      <c r="K36" s="4294"/>
      <c r="L36" s="4294"/>
      <c r="M36" s="4294"/>
      <c r="N36" s="4305"/>
      <c r="O36" s="4294"/>
      <c r="P36" s="4294"/>
      <c r="Q36" s="4294"/>
      <c r="R36" s="4292"/>
      <c r="S36" s="4294"/>
      <c r="T36" s="1338"/>
      <c r="U36" s="1338"/>
      <c r="V36" s="1337"/>
      <c r="W36" s="1214"/>
      <c r="X36" s="1185"/>
      <c r="Y36" s="1185"/>
      <c r="Z36" s="1185"/>
      <c r="AA36" s="1185"/>
      <c r="AB36" s="1185"/>
      <c r="AC36" s="1185" t="s">
        <v>190</v>
      </c>
      <c r="AD36" s="1185" t="s">
        <v>191</v>
      </c>
      <c r="AE36" s="1185" t="s">
        <v>192</v>
      </c>
      <c r="AF36" s="1185" t="s">
        <v>193</v>
      </c>
      <c r="AG36" s="1185" t="s">
        <v>194</v>
      </c>
      <c r="AH36" s="1185" t="str">
        <f>IF($E$36=0,"",$E$36)</f>
        <v>Тарифы на теплоноситель, поставляемый теплоснабжающими организациями потребителям, другим теплоснабжающим организациям</v>
      </c>
      <c r="AI36" s="1185" t="str">
        <f>IF($G$36=0,"",$G$36)</f>
        <v/>
      </c>
      <c r="AJ36" s="1185" t="str">
        <f>IF($J$36=0,"",$J$36)</f>
        <v/>
      </c>
      <c r="AK36" s="1185" t="str">
        <f>IF($K$36="нет","без дифференциации",IF($N$36=0,"",$N$36))</f>
        <v/>
      </c>
      <c r="AL36" s="1185" t="str">
        <f>IF($O$36="нет","без дифференциации",IF($R$36=0,"",$R$36))</f>
        <v/>
      </c>
      <c r="AM36" s="1185" t="str">
        <f>IF($S$36="нет","без дифференциации",IF($V$36=0,"",$V$36))</f>
        <v/>
      </c>
      <c r="AN36" s="1689">
        <f>$I$36</f>
        <v>0</v>
      </c>
      <c r="AO36" s="1185" t="str">
        <f>$I$36&amp;"."&amp;$M$36</f>
        <v>.</v>
      </c>
      <c r="AP36" s="1177" t="str">
        <f>$I$36&amp;"."&amp;$M$36&amp;"."&amp;$Q$36</f>
        <v>..</v>
      </c>
      <c r="AQ36" s="1177" t="str">
        <f>$I$36&amp;"."&amp;$M$36&amp;"."&amp;$Q$36&amp;"."&amp;$U$36</f>
        <v>...</v>
      </c>
      <c r="AR36" s="1201">
        <v>0</v>
      </c>
    </row>
    <row r="37" spans="1:44" s="4149" customFormat="1" ht="17.25" customHeight="1">
      <c r="A37" s="257"/>
      <c r="C37" s="256"/>
      <c r="D37" s="4307"/>
      <c r="E37" s="4296"/>
      <c r="F37" s="4310"/>
      <c r="G37" s="4296"/>
      <c r="H37" s="4299"/>
      <c r="I37" s="4301"/>
      <c r="J37" s="4303"/>
      <c r="K37" s="4295"/>
      <c r="L37" s="4295"/>
      <c r="M37" s="4295"/>
      <c r="N37" s="4306"/>
      <c r="O37" s="4295"/>
      <c r="P37" s="4295"/>
      <c r="Q37" s="4295"/>
      <c r="R37" s="4293"/>
      <c r="S37" s="4295"/>
      <c r="T37" s="1215"/>
      <c r="U37" s="1215"/>
      <c r="V37" s="1215"/>
      <c r="W37" s="1216"/>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4149" customFormat="1" ht="17.25" customHeight="1">
      <c r="A38" s="257"/>
      <c r="C38" s="256"/>
      <c r="D38" s="4308"/>
      <c r="E38" s="4297"/>
      <c r="F38" s="4310"/>
      <c r="G38" s="4297"/>
      <c r="H38" s="4299"/>
      <c r="I38" s="4301"/>
      <c r="J38" s="4304"/>
      <c r="K38" s="4295"/>
      <c r="L38" s="4295"/>
      <c r="M38" s="4295"/>
      <c r="N38" s="4293"/>
      <c r="O38" s="4295"/>
      <c r="P38" s="1336"/>
      <c r="Q38" s="1215"/>
      <c r="R38" s="1215"/>
      <c r="S38" s="265"/>
      <c r="T38" s="265"/>
      <c r="U38" s="265"/>
      <c r="V38" s="265"/>
      <c r="W38" s="1216"/>
      <c r="X38" s="1177"/>
      <c r="Y38" s="1177"/>
      <c r="Z38" s="1177"/>
      <c r="AA38" s="1177"/>
      <c r="AB38" s="1177"/>
      <c r="AC38" s="1177"/>
      <c r="AD38" s="1177"/>
      <c r="AE38" s="1177"/>
      <c r="AF38" s="1177"/>
      <c r="AG38" s="1177"/>
      <c r="AH38" s="1177"/>
      <c r="AI38" s="1177"/>
      <c r="AJ38" s="1177"/>
      <c r="AK38" s="1177"/>
      <c r="AL38" s="1177"/>
      <c r="AM38" s="1177"/>
      <c r="AN38" s="1177"/>
      <c r="AO38" s="1177"/>
      <c r="AP38" s="1177"/>
      <c r="AQ38" s="1177"/>
      <c r="AR38" s="1201">
        <v>0</v>
      </c>
    </row>
    <row r="39" spans="1:44" s="4149" customFormat="1" ht="17.25" customHeight="1">
      <c r="A39" s="257"/>
      <c r="C39" s="256"/>
      <c r="D39" s="4308"/>
      <c r="E39" s="4297"/>
      <c r="F39" s="4310"/>
      <c r="G39" s="4297"/>
      <c r="H39" s="4299"/>
      <c r="I39" s="4301"/>
      <c r="J39" s="4304"/>
      <c r="K39" s="4295"/>
      <c r="L39" s="1215"/>
      <c r="M39" s="1215"/>
      <c r="N39" s="1215"/>
      <c r="O39" s="1215"/>
      <c r="P39" s="1215"/>
      <c r="Q39" s="1215"/>
      <c r="R39" s="1215"/>
      <c r="S39" s="265"/>
      <c r="T39" s="265"/>
      <c r="U39" s="265"/>
      <c r="V39" s="26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4149" customFormat="1" ht="17.25" customHeight="1">
      <c r="A40" s="257"/>
      <c r="C40" s="256"/>
      <c r="D40" s="4308"/>
      <c r="E40" s="4297"/>
      <c r="F40" s="4311"/>
      <c r="G40" s="4297"/>
      <c r="H40" s="1217"/>
      <c r="I40" s="1218"/>
      <c r="J40" s="1218"/>
      <c r="K40" s="1218"/>
      <c r="L40" s="1218"/>
      <c r="M40" s="1218"/>
      <c r="N40" s="1218"/>
      <c r="O40" s="1218"/>
      <c r="P40" s="1218"/>
      <c r="Q40" s="1218"/>
      <c r="R40" s="1218"/>
      <c r="S40" s="1219"/>
      <c r="T40" s="1219"/>
      <c r="U40" s="1219"/>
      <c r="V40" s="1219"/>
      <c r="W40" s="1220"/>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4149" customFormat="1" ht="17.25" customHeight="1">
      <c r="A41" s="257"/>
      <c r="C41" s="146"/>
      <c r="D41" s="4307">
        <v>4</v>
      </c>
      <c r="E41" s="4296" t="s">
        <v>195</v>
      </c>
      <c r="F41" s="4309" t="s">
        <v>19</v>
      </c>
      <c r="G41" s="4296"/>
      <c r="H41" s="4298"/>
      <c r="I41" s="4300"/>
      <c r="J41" s="4302"/>
      <c r="K41" s="4294"/>
      <c r="L41" s="4294"/>
      <c r="M41" s="4294"/>
      <c r="N41" s="4305"/>
      <c r="O41" s="4294"/>
      <c r="P41" s="4294"/>
      <c r="Q41" s="4294"/>
      <c r="R41" s="4292"/>
      <c r="S41" s="4294"/>
      <c r="T41" s="1338"/>
      <c r="U41" s="1338"/>
      <c r="V41" s="1337"/>
      <c r="W41" s="1214"/>
      <c r="X41" s="1185"/>
      <c r="Y41" s="1185"/>
      <c r="Z41" s="1185"/>
      <c r="AA41" s="1185"/>
      <c r="AB41" s="1185"/>
      <c r="AC41" s="1185" t="s">
        <v>196</v>
      </c>
      <c r="AD41" s="1185" t="s">
        <v>197</v>
      </c>
      <c r="AE41" s="1185" t="s">
        <v>198</v>
      </c>
      <c r="AF41" s="1185" t="s">
        <v>199</v>
      </c>
      <c r="AG41" s="1185" t="s">
        <v>200</v>
      </c>
      <c r="AH41" s="1185" t="str">
        <f>IF($E$41=0,"",$E$41)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1" s="1185" t="str">
        <f>IF($G$41=0,"",$G$41)</f>
        <v/>
      </c>
      <c r="AJ41" s="1185" t="str">
        <f>IF($J$41=0,"",$J$41)</f>
        <v/>
      </c>
      <c r="AK41" s="1185" t="str">
        <f>IF($K$41="нет","без дифференциации",IF($N$41=0,"",$N$41))</f>
        <v/>
      </c>
      <c r="AL41" s="1185" t="str">
        <f>IF($O$41="нет","без дифференциации",IF($R$41=0,"",$R$41))</f>
        <v/>
      </c>
      <c r="AM41" s="1185" t="str">
        <f>IF($S$41="нет","без дифференциации",IF($V$41=0,"",$V$41))</f>
        <v/>
      </c>
      <c r="AN41" s="1689">
        <f>$I$41</f>
        <v>0</v>
      </c>
      <c r="AO41" s="1185" t="str">
        <f>$I$41&amp;"."&amp;$M$41</f>
        <v>.</v>
      </c>
      <c r="AP41" s="1177" t="str">
        <f>$I$41&amp;"."&amp;$M$41&amp;"."&amp;$Q$41</f>
        <v>..</v>
      </c>
      <c r="AQ41" s="1177" t="str">
        <f>$I$41&amp;"."&amp;$M$41&amp;"."&amp;$Q$41&amp;"."&amp;$U$41</f>
        <v>...</v>
      </c>
      <c r="AR41" s="1201">
        <v>0</v>
      </c>
    </row>
    <row r="42" spans="1:44" s="4149" customFormat="1" ht="17.25" customHeight="1">
      <c r="A42" s="257"/>
      <c r="C42" s="256"/>
      <c r="D42" s="4307"/>
      <c r="E42" s="4296"/>
      <c r="F42" s="4310"/>
      <c r="G42" s="4296"/>
      <c r="H42" s="4299"/>
      <c r="I42" s="4301"/>
      <c r="J42" s="4303"/>
      <c r="K42" s="4295"/>
      <c r="L42" s="4295"/>
      <c r="M42" s="4295"/>
      <c r="N42" s="4306"/>
      <c r="O42" s="4295"/>
      <c r="P42" s="4295"/>
      <c r="Q42" s="4295"/>
      <c r="R42" s="4293"/>
      <c r="S42" s="4295"/>
      <c r="T42" s="1215"/>
      <c r="U42" s="1215"/>
      <c r="V42" s="1215"/>
      <c r="W42" s="1216"/>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4149" customFormat="1" ht="17.25" customHeight="1">
      <c r="A43" s="257"/>
      <c r="C43" s="256"/>
      <c r="D43" s="4308"/>
      <c r="E43" s="4297"/>
      <c r="F43" s="4310"/>
      <c r="G43" s="4297"/>
      <c r="H43" s="4299"/>
      <c r="I43" s="4301"/>
      <c r="J43" s="4304"/>
      <c r="K43" s="4295"/>
      <c r="L43" s="4295"/>
      <c r="M43" s="4295"/>
      <c r="N43" s="4293"/>
      <c r="O43" s="4295"/>
      <c r="P43" s="1336"/>
      <c r="Q43" s="1215"/>
      <c r="R43" s="1215"/>
      <c r="S43" s="265"/>
      <c r="T43" s="265"/>
      <c r="U43" s="265"/>
      <c r="V43" s="265"/>
      <c r="W43" s="1216"/>
      <c r="X43" s="1177"/>
      <c r="Y43" s="1177"/>
      <c r="Z43" s="1177"/>
      <c r="AA43" s="1177"/>
      <c r="AB43" s="1177"/>
      <c r="AC43" s="1177"/>
      <c r="AD43" s="1177"/>
      <c r="AE43" s="1177"/>
      <c r="AF43" s="1177"/>
      <c r="AG43" s="1177"/>
      <c r="AH43" s="1177"/>
      <c r="AI43" s="1177"/>
      <c r="AJ43" s="1177"/>
      <c r="AK43" s="1177"/>
      <c r="AL43" s="1177"/>
      <c r="AM43" s="1177"/>
      <c r="AN43" s="1177"/>
      <c r="AO43" s="1177"/>
      <c r="AP43" s="1177"/>
      <c r="AQ43" s="1177"/>
      <c r="AR43" s="1201">
        <v>0</v>
      </c>
    </row>
    <row r="44" spans="1:44" s="4149" customFormat="1" ht="17.25" customHeight="1">
      <c r="A44" s="257"/>
      <c r="C44" s="256"/>
      <c r="D44" s="4308"/>
      <c r="E44" s="4297"/>
      <c r="F44" s="4310"/>
      <c r="G44" s="4297"/>
      <c r="H44" s="4299"/>
      <c r="I44" s="4301"/>
      <c r="J44" s="4304"/>
      <c r="K44" s="4295"/>
      <c r="L44" s="1215"/>
      <c r="M44" s="1215"/>
      <c r="N44" s="1215"/>
      <c r="O44" s="1215"/>
      <c r="P44" s="1215"/>
      <c r="Q44" s="1215"/>
      <c r="R44" s="1215"/>
      <c r="S44" s="265"/>
      <c r="T44" s="265"/>
      <c r="U44" s="265"/>
      <c r="V44" s="26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4149" customFormat="1" ht="17.25" customHeight="1">
      <c r="A45" s="257"/>
      <c r="C45" s="256"/>
      <c r="D45" s="4308"/>
      <c r="E45" s="4297"/>
      <c r="F45" s="4311"/>
      <c r="G45" s="4297"/>
      <c r="H45" s="1217"/>
      <c r="I45" s="1218"/>
      <c r="J45" s="1218"/>
      <c r="K45" s="1218"/>
      <c r="L45" s="1218"/>
      <c r="M45" s="1218"/>
      <c r="N45" s="1218"/>
      <c r="O45" s="1218"/>
      <c r="P45" s="1218"/>
      <c r="Q45" s="1218"/>
      <c r="R45" s="1218"/>
      <c r="S45" s="1219"/>
      <c r="T45" s="1219"/>
      <c r="U45" s="1219"/>
      <c r="V45" s="1219"/>
      <c r="W45" s="1220"/>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4149" customFormat="1" ht="17.25" customHeight="1">
      <c r="A46" s="257"/>
      <c r="C46" s="146"/>
      <c r="D46" s="4307">
        <v>5</v>
      </c>
      <c r="E46" s="4296" t="s">
        <v>201</v>
      </c>
      <c r="F46" s="4309" t="s">
        <v>19</v>
      </c>
      <c r="G46" s="4296"/>
      <c r="H46" s="4298"/>
      <c r="I46" s="4300"/>
      <c r="J46" s="4302"/>
      <c r="K46" s="4294"/>
      <c r="L46" s="4294"/>
      <c r="M46" s="4294"/>
      <c r="N46" s="4305"/>
      <c r="O46" s="4294"/>
      <c r="P46" s="4294"/>
      <c r="Q46" s="4294"/>
      <c r="R46" s="4292"/>
      <c r="S46" s="4294"/>
      <c r="T46" s="1338"/>
      <c r="U46" s="1338"/>
      <c r="V46" s="1337"/>
      <c r="W46" s="1214"/>
      <c r="X46" s="1185"/>
      <c r="Y46" s="1185"/>
      <c r="Z46" s="1185"/>
      <c r="AA46" s="1185"/>
      <c r="AB46" s="1185"/>
      <c r="AC46" s="1185" t="s">
        <v>202</v>
      </c>
      <c r="AD46" s="1185" t="s">
        <v>203</v>
      </c>
      <c r="AE46" s="1185" t="s">
        <v>204</v>
      </c>
      <c r="AF46" s="1185" t="s">
        <v>205</v>
      </c>
      <c r="AG46" s="1185" t="s">
        <v>206</v>
      </c>
      <c r="AH46" s="1185" t="str">
        <f>IF($E$46=0,"",$E$46)</f>
        <v>Тарифы на услуги по передаче тепловой энергии</v>
      </c>
      <c r="AI46" s="1185" t="str">
        <f>IF($G$46=0,"",$G$46)</f>
        <v/>
      </c>
      <c r="AJ46" s="1185" t="str">
        <f>IF($J$46=0,"",$J$46)</f>
        <v/>
      </c>
      <c r="AK46" s="1185" t="str">
        <f>IF($K$46="нет","без дифференциации",IF($N$46=0,"",$N$46))</f>
        <v/>
      </c>
      <c r="AL46" s="1185" t="str">
        <f>IF($O$46="нет","без дифференциации",IF($R$46=0,"",$R$46))</f>
        <v/>
      </c>
      <c r="AM46" s="1185" t="str">
        <f>IF($S$46="нет","без дифференциации",IF($V$46=0,"",$V$46))</f>
        <v/>
      </c>
      <c r="AN46" s="1689">
        <f>$I$46</f>
        <v>0</v>
      </c>
      <c r="AO46" s="1185" t="str">
        <f>$I$46&amp;"."&amp;$M$46</f>
        <v>.</v>
      </c>
      <c r="AP46" s="1177" t="str">
        <f>$I$46&amp;"."&amp;$M$46&amp;"."&amp;$Q$46</f>
        <v>..</v>
      </c>
      <c r="AQ46" s="1177" t="str">
        <f>$I$46&amp;"."&amp;$M$46&amp;"."&amp;$Q$46&amp;"."&amp;$U$46</f>
        <v>...</v>
      </c>
      <c r="AR46" s="1201">
        <v>0</v>
      </c>
    </row>
    <row r="47" spans="1:44" s="4149" customFormat="1" ht="17.25" customHeight="1">
      <c r="A47" s="257"/>
      <c r="C47" s="256"/>
      <c r="D47" s="4307"/>
      <c r="E47" s="4296"/>
      <c r="F47" s="4310"/>
      <c r="G47" s="4296"/>
      <c r="H47" s="4299"/>
      <c r="I47" s="4301"/>
      <c r="J47" s="4303"/>
      <c r="K47" s="4295"/>
      <c r="L47" s="4295"/>
      <c r="M47" s="4295"/>
      <c r="N47" s="4306"/>
      <c r="O47" s="4295"/>
      <c r="P47" s="4295"/>
      <c r="Q47" s="4295"/>
      <c r="R47" s="4293"/>
      <c r="S47" s="4295"/>
      <c r="T47" s="1215"/>
      <c r="U47" s="1215"/>
      <c r="V47" s="1215"/>
      <c r="W47" s="1216"/>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4149" customFormat="1" ht="17.25" customHeight="1">
      <c r="A48" s="257"/>
      <c r="C48" s="256"/>
      <c r="D48" s="4308"/>
      <c r="E48" s="4297"/>
      <c r="F48" s="4310"/>
      <c r="G48" s="4297"/>
      <c r="H48" s="4299"/>
      <c r="I48" s="4301"/>
      <c r="J48" s="4304"/>
      <c r="K48" s="4295"/>
      <c r="L48" s="4295"/>
      <c r="M48" s="4295"/>
      <c r="N48" s="4293"/>
      <c r="O48" s="4295"/>
      <c r="P48" s="1336"/>
      <c r="Q48" s="1215"/>
      <c r="R48" s="1215"/>
      <c r="S48" s="265"/>
      <c r="T48" s="265"/>
      <c r="U48" s="265"/>
      <c r="V48" s="265"/>
      <c r="W48" s="1216"/>
      <c r="X48" s="1177"/>
      <c r="Y48" s="1177"/>
      <c r="Z48" s="1177"/>
      <c r="AA48" s="1177"/>
      <c r="AB48" s="1177"/>
      <c r="AC48" s="1177"/>
      <c r="AD48" s="1177"/>
      <c r="AE48" s="1177"/>
      <c r="AF48" s="1177"/>
      <c r="AG48" s="1177"/>
      <c r="AH48" s="1177"/>
      <c r="AI48" s="1177"/>
      <c r="AJ48" s="1177"/>
      <c r="AK48" s="1177"/>
      <c r="AL48" s="1177"/>
      <c r="AM48" s="1177"/>
      <c r="AN48" s="1177"/>
      <c r="AO48" s="1177"/>
      <c r="AP48" s="1177"/>
      <c r="AQ48" s="1177"/>
      <c r="AR48" s="1201">
        <v>0</v>
      </c>
    </row>
    <row r="49" spans="1:44" s="4149" customFormat="1" ht="17.25" customHeight="1">
      <c r="A49" s="257"/>
      <c r="C49" s="256"/>
      <c r="D49" s="4308"/>
      <c r="E49" s="4297"/>
      <c r="F49" s="4310"/>
      <c r="G49" s="4297"/>
      <c r="H49" s="4299"/>
      <c r="I49" s="4301"/>
      <c r="J49" s="4304"/>
      <c r="K49" s="4295"/>
      <c r="L49" s="1215"/>
      <c r="M49" s="1215"/>
      <c r="N49" s="1215"/>
      <c r="O49" s="1215"/>
      <c r="P49" s="1215"/>
      <c r="Q49" s="1215"/>
      <c r="R49" s="1215"/>
      <c r="S49" s="265"/>
      <c r="T49" s="265"/>
      <c r="U49" s="265"/>
      <c r="V49" s="26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01">
        <v>0</v>
      </c>
    </row>
    <row r="50" spans="1:44" s="4149" customFormat="1" ht="17.25" customHeight="1">
      <c r="A50" s="257"/>
      <c r="C50" s="256"/>
      <c r="D50" s="4308"/>
      <c r="E50" s="4297"/>
      <c r="F50" s="4311"/>
      <c r="G50" s="4297"/>
      <c r="H50" s="1217"/>
      <c r="I50" s="1218"/>
      <c r="J50" s="1218"/>
      <c r="K50" s="1218"/>
      <c r="L50" s="1218"/>
      <c r="M50" s="1218"/>
      <c r="N50" s="1218"/>
      <c r="O50" s="1218"/>
      <c r="P50" s="1218"/>
      <c r="Q50" s="1218"/>
      <c r="R50" s="1218"/>
      <c r="S50" s="1219"/>
      <c r="T50" s="1219"/>
      <c r="U50" s="1219"/>
      <c r="V50" s="1219"/>
      <c r="W50" s="1220"/>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01">
        <v>0</v>
      </c>
    </row>
    <row r="51" spans="1:44" s="4149" customFormat="1" ht="17.25" customHeight="1">
      <c r="A51" s="257"/>
      <c r="C51" s="146"/>
      <c r="D51" s="4307">
        <v>6</v>
      </c>
      <c r="E51" s="4296" t="s">
        <v>207</v>
      </c>
      <c r="F51" s="4309" t="s">
        <v>19</v>
      </c>
      <c r="G51" s="4296"/>
      <c r="H51" s="4298"/>
      <c r="I51" s="4300"/>
      <c r="J51" s="4302"/>
      <c r="K51" s="4294"/>
      <c r="L51" s="4294"/>
      <c r="M51" s="4294"/>
      <c r="N51" s="4305"/>
      <c r="O51" s="4294"/>
      <c r="P51" s="4294"/>
      <c r="Q51" s="4294"/>
      <c r="R51" s="4292"/>
      <c r="S51" s="4294"/>
      <c r="T51" s="1338"/>
      <c r="U51" s="1338"/>
      <c r="V51" s="1337"/>
      <c r="W51" s="1214"/>
      <c r="X51" s="1185"/>
      <c r="Y51" s="1185"/>
      <c r="Z51" s="1185"/>
      <c r="AA51" s="1185"/>
      <c r="AB51" s="1185"/>
      <c r="AC51" s="1185" t="s">
        <v>208</v>
      </c>
      <c r="AD51" s="1185" t="s">
        <v>209</v>
      </c>
      <c r="AE51" s="1185" t="s">
        <v>210</v>
      </c>
      <c r="AF51" s="1185" t="s">
        <v>211</v>
      </c>
      <c r="AG51" s="1185" t="s">
        <v>212</v>
      </c>
      <c r="AH51" s="1185" t="str">
        <f>IF($E$51=0,"",$E$51)</f>
        <v>Тарифы на услуги по передаче теплоносителя</v>
      </c>
      <c r="AI51" s="1185" t="str">
        <f>IF($G$51=0,"",$G$51)</f>
        <v/>
      </c>
      <c r="AJ51" s="1185" t="str">
        <f>IF($J$51=0,"",$J$51)</f>
        <v/>
      </c>
      <c r="AK51" s="1185" t="str">
        <f>IF($K$51="нет","без дифференциации",IF($N$51=0,"",$N$51))</f>
        <v/>
      </c>
      <c r="AL51" s="1185" t="str">
        <f>IF($O$51="нет","без дифференциации",IF($R$51=0,"",$R$51))</f>
        <v/>
      </c>
      <c r="AM51" s="1185" t="str">
        <f>IF($S$51="нет","без дифференциации",IF($V$51=0,"",$V$51))</f>
        <v/>
      </c>
      <c r="AN51" s="1689">
        <f>$I$51</f>
        <v>0</v>
      </c>
      <c r="AO51" s="1185" t="str">
        <f>$I$51&amp;"."&amp;$M$51</f>
        <v>.</v>
      </c>
      <c r="AP51" s="1177" t="str">
        <f>$I$51&amp;"."&amp;$M$51&amp;"."&amp;$Q$51</f>
        <v>..</v>
      </c>
      <c r="AQ51" s="1177" t="str">
        <f>$I$51&amp;"."&amp;$M$51&amp;"."&amp;$Q$51&amp;"."&amp;$U$51</f>
        <v>...</v>
      </c>
      <c r="AR51" s="1201">
        <v>0</v>
      </c>
    </row>
    <row r="52" spans="1:44" s="4149" customFormat="1" ht="17.25" customHeight="1">
      <c r="A52" s="257"/>
      <c r="C52" s="256"/>
      <c r="D52" s="4307"/>
      <c r="E52" s="4296"/>
      <c r="F52" s="4310"/>
      <c r="G52" s="4296"/>
      <c r="H52" s="4299"/>
      <c r="I52" s="4301"/>
      <c r="J52" s="4303"/>
      <c r="K52" s="4295"/>
      <c r="L52" s="4295"/>
      <c r="M52" s="4295"/>
      <c r="N52" s="4306"/>
      <c r="O52" s="4295"/>
      <c r="P52" s="4295"/>
      <c r="Q52" s="4295"/>
      <c r="R52" s="4293"/>
      <c r="S52" s="4295"/>
      <c r="T52" s="1215"/>
      <c r="U52" s="1215"/>
      <c r="V52" s="1215"/>
      <c r="W52" s="1216"/>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01">
        <v>0</v>
      </c>
    </row>
    <row r="53" spans="1:44" s="4149" customFormat="1" ht="17.25" customHeight="1">
      <c r="A53" s="257"/>
      <c r="C53" s="256"/>
      <c r="D53" s="4308"/>
      <c r="E53" s="4297"/>
      <c r="F53" s="4310"/>
      <c r="G53" s="4297"/>
      <c r="H53" s="4299"/>
      <c r="I53" s="4301"/>
      <c r="J53" s="4304"/>
      <c r="K53" s="4295"/>
      <c r="L53" s="4295"/>
      <c r="M53" s="4295"/>
      <c r="N53" s="4293"/>
      <c r="O53" s="4295"/>
      <c r="P53" s="1336"/>
      <c r="Q53" s="1215"/>
      <c r="R53" s="1215"/>
      <c r="S53" s="265"/>
      <c r="T53" s="265"/>
      <c r="U53" s="265"/>
      <c r="V53" s="265"/>
      <c r="W53" s="1216"/>
      <c r="X53" s="1177"/>
      <c r="Y53" s="1177"/>
      <c r="Z53" s="1177"/>
      <c r="AA53" s="1177"/>
      <c r="AB53" s="1177"/>
      <c r="AC53" s="1177"/>
      <c r="AD53" s="1177"/>
      <c r="AE53" s="1177"/>
      <c r="AF53" s="1177"/>
      <c r="AG53" s="1177"/>
      <c r="AH53" s="1177"/>
      <c r="AI53" s="1177"/>
      <c r="AJ53" s="1177"/>
      <c r="AK53" s="1177"/>
      <c r="AL53" s="1177"/>
      <c r="AM53" s="1177"/>
      <c r="AN53" s="1177"/>
      <c r="AO53" s="1177"/>
      <c r="AP53" s="1177"/>
      <c r="AQ53" s="1177"/>
      <c r="AR53" s="1201">
        <v>0</v>
      </c>
    </row>
    <row r="54" spans="1:44" s="4149" customFormat="1" ht="17.25" customHeight="1">
      <c r="A54" s="257"/>
      <c r="C54" s="146"/>
      <c r="D54" s="4308"/>
      <c r="E54" s="4297"/>
      <c r="F54" s="4310"/>
      <c r="G54" s="4297"/>
      <c r="H54" s="4299"/>
      <c r="I54" s="4301"/>
      <c r="J54" s="4304"/>
      <c r="K54" s="4295"/>
      <c r="L54" s="1215"/>
      <c r="M54" s="1215"/>
      <c r="N54" s="1215"/>
      <c r="O54" s="1215"/>
      <c r="P54" s="1215"/>
      <c r="Q54" s="1215"/>
      <c r="R54" s="1215"/>
      <c r="S54" s="265"/>
      <c r="T54" s="265"/>
      <c r="U54" s="265"/>
      <c r="V54" s="265"/>
      <c r="W54" s="1216"/>
      <c r="Y54" s="1185"/>
      <c r="Z54" s="1185"/>
      <c r="AA54" s="1185"/>
      <c r="AB54" s="1185"/>
      <c r="AC54" s="1185"/>
      <c r="AD54" s="1185"/>
      <c r="AE54" s="1185"/>
      <c r="AF54" s="1185"/>
      <c r="AG54" s="1185"/>
      <c r="AH54" s="1185"/>
      <c r="AI54" s="1185"/>
      <c r="AJ54" s="1185"/>
      <c r="AK54" s="1185"/>
      <c r="AL54" s="1185"/>
      <c r="AM54" s="1185"/>
      <c r="AN54" s="1185"/>
      <c r="AO54" s="1185"/>
      <c r="AP54" s="1185"/>
      <c r="AQ54" s="1185"/>
      <c r="AR54" s="1244">
        <v>0</v>
      </c>
    </row>
    <row r="55" spans="1:44" s="4149" customFormat="1" ht="17.25" customHeight="1">
      <c r="A55" s="257"/>
      <c r="C55" s="256"/>
      <c r="D55" s="4308"/>
      <c r="E55" s="4297"/>
      <c r="F55" s="4311"/>
      <c r="G55" s="4297"/>
      <c r="H55" s="1217"/>
      <c r="I55" s="1218"/>
      <c r="J55" s="1218"/>
      <c r="K55" s="1218"/>
      <c r="L55" s="1218"/>
      <c r="M55" s="1218"/>
      <c r="N55" s="1218"/>
      <c r="O55" s="1218"/>
      <c r="P55" s="1218"/>
      <c r="Q55" s="1218"/>
      <c r="R55" s="1218"/>
      <c r="S55" s="1219"/>
      <c r="T55" s="1219"/>
      <c r="U55" s="1219"/>
      <c r="V55" s="1219"/>
      <c r="W55" s="1220"/>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01">
        <v>0</v>
      </c>
    </row>
    <row r="56" spans="1:44" s="4149" customFormat="1" ht="17.25" customHeight="1">
      <c r="A56" s="257"/>
      <c r="C56" s="146"/>
      <c r="D56" s="4315">
        <v>7</v>
      </c>
      <c r="E56" s="4318" t="s">
        <v>213</v>
      </c>
      <c r="F56" s="4309" t="s">
        <v>19</v>
      </c>
      <c r="G56" s="4318"/>
      <c r="H56" s="4298"/>
      <c r="I56" s="4300"/>
      <c r="J56" s="4302"/>
      <c r="K56" s="4294"/>
      <c r="L56" s="4294"/>
      <c r="M56" s="4294"/>
      <c r="N56" s="4305"/>
      <c r="O56" s="4294"/>
      <c r="P56" s="4294"/>
      <c r="Q56" s="4294"/>
      <c r="R56" s="4292"/>
      <c r="S56" s="4294"/>
      <c r="T56" s="1338"/>
      <c r="U56" s="1338"/>
      <c r="V56" s="1337"/>
      <c r="W56" s="1214"/>
      <c r="X56" s="1185"/>
      <c r="Y56" s="1185"/>
      <c r="Z56" s="1185"/>
      <c r="AA56" s="1185"/>
      <c r="AB56" s="1185"/>
      <c r="AC56" s="1185" t="s">
        <v>214</v>
      </c>
      <c r="AD56" s="1185" t="s">
        <v>215</v>
      </c>
      <c r="AE56" s="1185" t="s">
        <v>216</v>
      </c>
      <c r="AF56" s="1185" t="s">
        <v>217</v>
      </c>
      <c r="AG56" s="1185" t="s">
        <v>218</v>
      </c>
      <c r="AH56" s="1185" t="str">
        <f>IF($E$56=0,"",$E$56)</f>
        <v>Плата за услуги по поддержанию резервной тепловой мощности при отсутствии потребления тепловой энергии</v>
      </c>
      <c r="AI56" s="1185" t="str">
        <f>IF($G$56=0,"",$G$56)</f>
        <v/>
      </c>
      <c r="AJ56" s="1185" t="str">
        <f>IF($J$56=0,"",$J$56)</f>
        <v/>
      </c>
      <c r="AK56" s="1185" t="str">
        <f>IF($K$56="нет","без дифференциации",IF($N$56=0,"",$N$56))</f>
        <v/>
      </c>
      <c r="AL56" s="1185" t="str">
        <f>IF($O$56="нет","без дифференциации",IF($R$56=0,"",$R$56))</f>
        <v/>
      </c>
      <c r="AM56" s="1185" t="str">
        <f>IF($S$56="нет","без дифференциации",IF($V$56=0,"",$V$56))</f>
        <v/>
      </c>
      <c r="AN56" s="1689">
        <f>$I$56</f>
        <v>0</v>
      </c>
      <c r="AO56" s="1185" t="str">
        <f>$I$56&amp;"."&amp;$M$56</f>
        <v>.</v>
      </c>
      <c r="AP56" s="1177" t="str">
        <f>$I$56&amp;"."&amp;$M$56&amp;"."&amp;$Q$56</f>
        <v>..</v>
      </c>
      <c r="AQ56" s="1177" t="str">
        <f>$I$56&amp;"."&amp;$M$56&amp;"."&amp;$Q$56&amp;"."&amp;$U$56</f>
        <v>...</v>
      </c>
      <c r="AR56" s="1226">
        <v>0</v>
      </c>
    </row>
    <row r="57" spans="1:44" s="4149" customFormat="1" ht="17.25" customHeight="1">
      <c r="A57" s="257"/>
      <c r="C57" s="256"/>
      <c r="D57" s="4316"/>
      <c r="E57" s="4319"/>
      <c r="F57" s="4310"/>
      <c r="G57" s="4319"/>
      <c r="H57" s="4299"/>
      <c r="I57" s="4301"/>
      <c r="J57" s="4303"/>
      <c r="K57" s="4295"/>
      <c r="L57" s="4295"/>
      <c r="M57" s="4295"/>
      <c r="N57" s="4306"/>
      <c r="O57" s="4295"/>
      <c r="P57" s="4295"/>
      <c r="Q57" s="4295"/>
      <c r="R57" s="4293"/>
      <c r="S57" s="4295"/>
      <c r="T57" s="1215"/>
      <c r="U57" s="1215"/>
      <c r="V57" s="1215"/>
      <c r="W57" s="1216"/>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4149" customFormat="1" ht="17.25" customHeight="1">
      <c r="A58" s="257"/>
      <c r="C58" s="256"/>
      <c r="D58" s="4316"/>
      <c r="E58" s="4319"/>
      <c r="F58" s="4310"/>
      <c r="G58" s="4319"/>
      <c r="H58" s="4299"/>
      <c r="I58" s="4301"/>
      <c r="J58" s="4304"/>
      <c r="K58" s="4295"/>
      <c r="L58" s="4295"/>
      <c r="M58" s="4295"/>
      <c r="N58" s="4293"/>
      <c r="O58" s="4295"/>
      <c r="P58" s="1336"/>
      <c r="Q58" s="1215"/>
      <c r="R58" s="1215"/>
      <c r="S58" s="265"/>
      <c r="T58" s="265"/>
      <c r="U58" s="265"/>
      <c r="V58" s="265"/>
      <c r="W58" s="1216"/>
      <c r="X58" s="1177"/>
      <c r="Y58" s="1177"/>
      <c r="Z58" s="1177"/>
      <c r="AA58" s="1177"/>
      <c r="AB58" s="1177"/>
      <c r="AC58" s="1177"/>
      <c r="AD58" s="1177"/>
      <c r="AE58" s="1177"/>
      <c r="AF58" s="1177"/>
      <c r="AG58" s="1177"/>
      <c r="AH58" s="1177"/>
      <c r="AI58" s="1177"/>
      <c r="AJ58" s="1177"/>
      <c r="AK58" s="1177"/>
      <c r="AL58" s="1177"/>
      <c r="AM58" s="1177"/>
      <c r="AN58" s="1177"/>
      <c r="AO58" s="1177"/>
      <c r="AP58" s="1177"/>
      <c r="AQ58" s="1177"/>
      <c r="AR58" s="1226">
        <v>0</v>
      </c>
    </row>
    <row r="59" spans="1:44" s="4149" customFormat="1" ht="17.25" customHeight="1">
      <c r="A59" s="257"/>
      <c r="C59" s="146"/>
      <c r="D59" s="4316"/>
      <c r="E59" s="4319"/>
      <c r="F59" s="4310"/>
      <c r="G59" s="4319"/>
      <c r="H59" s="4299"/>
      <c r="I59" s="4301"/>
      <c r="J59" s="4304"/>
      <c r="K59" s="4295"/>
      <c r="L59" s="1215"/>
      <c r="M59" s="1215"/>
      <c r="N59" s="1215"/>
      <c r="O59" s="1215"/>
      <c r="P59" s="1215"/>
      <c r="Q59" s="1215"/>
      <c r="R59" s="1215"/>
      <c r="S59" s="265"/>
      <c r="T59" s="265"/>
      <c r="U59" s="265"/>
      <c r="V59" s="265"/>
      <c r="W59" s="1216"/>
      <c r="Y59" s="1185"/>
      <c r="Z59" s="1185"/>
      <c r="AA59" s="1185"/>
      <c r="AB59" s="1185"/>
      <c r="AC59" s="1185"/>
      <c r="AD59" s="1185"/>
      <c r="AE59" s="1185"/>
      <c r="AF59" s="1185"/>
      <c r="AG59" s="1185"/>
      <c r="AH59" s="1185"/>
      <c r="AI59" s="1185"/>
      <c r="AJ59" s="1185"/>
      <c r="AK59" s="1185"/>
      <c r="AL59" s="1185"/>
      <c r="AM59" s="1185"/>
      <c r="AN59" s="1185"/>
      <c r="AO59" s="1185"/>
      <c r="AP59" s="1185"/>
      <c r="AQ59" s="1185"/>
      <c r="AR59" s="1244">
        <v>0</v>
      </c>
    </row>
    <row r="60" spans="1:44" s="4149" customFormat="1" ht="17.25" customHeight="1">
      <c r="A60" s="257"/>
      <c r="C60" s="256"/>
      <c r="D60" s="4317"/>
      <c r="E60" s="4320"/>
      <c r="F60" s="4311"/>
      <c r="G60" s="4320"/>
      <c r="H60" s="1217"/>
      <c r="I60" s="1218"/>
      <c r="J60" s="1218"/>
      <c r="K60" s="1218"/>
      <c r="L60" s="1218"/>
      <c r="M60" s="1218"/>
      <c r="N60" s="1218"/>
      <c r="O60" s="1218"/>
      <c r="P60" s="1218"/>
      <c r="Q60" s="1218"/>
      <c r="R60" s="1218"/>
      <c r="S60" s="1219"/>
      <c r="T60" s="1219"/>
      <c r="U60" s="1219"/>
      <c r="V60" s="1219"/>
      <c r="W60" s="1220"/>
      <c r="X60" s="1177"/>
      <c r="Y60" s="1177"/>
      <c r="Z60" s="1177"/>
      <c r="AA60" s="1177"/>
      <c r="AB60" s="1177"/>
      <c r="AC60" s="1177"/>
      <c r="AD60" s="1177"/>
      <c r="AE60" s="1177"/>
      <c r="AF60" s="1177"/>
      <c r="AG60" s="1177"/>
      <c r="AH60" s="1177"/>
      <c r="AI60" s="1177"/>
      <c r="AJ60" s="1177"/>
      <c r="AK60" s="1177"/>
      <c r="AL60" s="1177"/>
      <c r="AM60" s="1177"/>
      <c r="AN60" s="1177"/>
      <c r="AO60" s="1177"/>
      <c r="AP60" s="1177"/>
      <c r="AQ60" s="1177"/>
      <c r="AR60" s="1226">
        <v>0</v>
      </c>
    </row>
    <row r="61" spans="1:44" s="4149" customFormat="1" ht="17.25" customHeight="1">
      <c r="A61" s="257"/>
      <c r="C61" s="146"/>
      <c r="D61" s="4307">
        <v>8</v>
      </c>
      <c r="E61" s="4296" t="s">
        <v>219</v>
      </c>
      <c r="F61" s="4309" t="s">
        <v>19</v>
      </c>
      <c r="G61" s="4296"/>
      <c r="H61" s="4298"/>
      <c r="I61" s="4300"/>
      <c r="J61" s="4302"/>
      <c r="K61" s="4294"/>
      <c r="L61" s="4294"/>
      <c r="M61" s="4294"/>
      <c r="N61" s="4305"/>
      <c r="O61" s="4294"/>
      <c r="P61" s="4294"/>
      <c r="Q61" s="4294"/>
      <c r="R61" s="4292"/>
      <c r="S61" s="4294"/>
      <c r="T61" s="1388"/>
      <c r="U61" s="1388"/>
      <c r="V61" s="1390"/>
      <c r="W61" s="1214"/>
      <c r="X61" s="1185"/>
      <c r="Y61" s="1185"/>
      <c r="Z61" s="1185"/>
      <c r="AA61" s="1185"/>
      <c r="AB61" s="1185"/>
      <c r="AC61" s="1185" t="s">
        <v>220</v>
      </c>
      <c r="AD61" s="1185" t="s">
        <v>221</v>
      </c>
      <c r="AE61" s="1185" t="s">
        <v>222</v>
      </c>
      <c r="AF61" s="1185" t="s">
        <v>223</v>
      </c>
      <c r="AG61" s="1185" t="s">
        <v>224</v>
      </c>
      <c r="AH61" s="1185" t="str">
        <f>IF($E$61=0,"",$E$61)</f>
        <v>Плата за подключение (технологическое присоединение) к системе теплоснабжения</v>
      </c>
      <c r="AI61" s="1185" t="str">
        <f>IF($G$61=0,"",$G$61)</f>
        <v/>
      </c>
      <c r="AJ61" s="1185" t="str">
        <f>IF($J$61=0,"",$J$61)</f>
        <v/>
      </c>
      <c r="AK61" s="1185" t="str">
        <f>IF($K$61="нет","без дифференциации",IF($N$61=0,"",$N$61))</f>
        <v/>
      </c>
      <c r="AL61" s="1185" t="str">
        <f>IF($O$61="нет","без дифференциации",IF($R$61=0,"",$R$61))</f>
        <v/>
      </c>
      <c r="AM61" s="1185" t="str">
        <f>IF($S$61="нет","без дифференциации",IF($V$61=0,"",$V$61))</f>
        <v/>
      </c>
      <c r="AN61" s="1689">
        <f>$I$61</f>
        <v>0</v>
      </c>
      <c r="AO61" s="1185" t="str">
        <f>$I$61&amp;"."&amp;$M$61</f>
        <v>.</v>
      </c>
      <c r="AP61" s="1177" t="str">
        <f>$I$61&amp;"."&amp;$M$61&amp;"."&amp;$Q$61</f>
        <v>..</v>
      </c>
      <c r="AQ61" s="1177" t="str">
        <f>$I$61&amp;"."&amp;$M$61&amp;"."&amp;$Q$61&amp;"."&amp;$U$61</f>
        <v>...</v>
      </c>
      <c r="AR61" s="1226">
        <v>0</v>
      </c>
    </row>
    <row r="62" spans="1:44" s="4149" customFormat="1" ht="17.25" customHeight="1">
      <c r="A62" s="257"/>
      <c r="C62" s="256"/>
      <c r="D62" s="4307"/>
      <c r="E62" s="4296"/>
      <c r="F62" s="4310"/>
      <c r="G62" s="4296"/>
      <c r="H62" s="4299"/>
      <c r="I62" s="4301"/>
      <c r="J62" s="4303"/>
      <c r="K62" s="4295"/>
      <c r="L62" s="4295"/>
      <c r="M62" s="4295"/>
      <c r="N62" s="4306"/>
      <c r="O62" s="4295"/>
      <c r="P62" s="4295"/>
      <c r="Q62" s="4295"/>
      <c r="R62" s="4293"/>
      <c r="S62" s="4295"/>
      <c r="T62" s="1215"/>
      <c r="U62" s="1215"/>
      <c r="V62" s="1215"/>
      <c r="W62" s="1216"/>
      <c r="X62" s="1177"/>
      <c r="Y62" s="1177"/>
      <c r="Z62" s="1177"/>
      <c r="AA62" s="1177"/>
      <c r="AB62" s="1177"/>
      <c r="AC62" s="1177"/>
      <c r="AD62" s="1177"/>
      <c r="AE62" s="1177"/>
      <c r="AF62" s="1177"/>
      <c r="AG62" s="1177"/>
      <c r="AH62" s="1177"/>
      <c r="AI62" s="1177"/>
      <c r="AJ62" s="1177"/>
      <c r="AK62" s="1177"/>
      <c r="AL62" s="1177"/>
      <c r="AM62" s="1177"/>
      <c r="AN62" s="1177"/>
      <c r="AO62" s="1177"/>
      <c r="AP62" s="1177"/>
      <c r="AQ62" s="1177"/>
      <c r="AR62" s="1226">
        <v>0</v>
      </c>
    </row>
    <row r="63" spans="1:44" s="4149" customFormat="1" ht="17.25" customHeight="1">
      <c r="A63" s="257"/>
      <c r="C63" s="256"/>
      <c r="D63" s="4308"/>
      <c r="E63" s="4297"/>
      <c r="F63" s="4310"/>
      <c r="G63" s="4297"/>
      <c r="H63" s="4299"/>
      <c r="I63" s="4301"/>
      <c r="J63" s="4304"/>
      <c r="K63" s="4295"/>
      <c r="L63" s="4295"/>
      <c r="M63" s="4295"/>
      <c r="N63" s="4293"/>
      <c r="O63" s="4295"/>
      <c r="P63" s="1389"/>
      <c r="Q63" s="1215"/>
      <c r="R63" s="1215"/>
      <c r="S63" s="265"/>
      <c r="T63" s="265"/>
      <c r="U63" s="265"/>
      <c r="V63" s="265"/>
      <c r="W63" s="1216"/>
      <c r="X63" s="1177"/>
      <c r="Y63" s="1177"/>
      <c r="Z63" s="1177"/>
      <c r="AA63" s="1177"/>
      <c r="AB63" s="1177"/>
      <c r="AC63" s="1177"/>
      <c r="AD63" s="1177"/>
      <c r="AE63" s="1177"/>
      <c r="AF63" s="1177"/>
      <c r="AG63" s="1177"/>
      <c r="AH63" s="1177"/>
      <c r="AI63" s="1177"/>
      <c r="AJ63" s="1177"/>
      <c r="AK63" s="1177"/>
      <c r="AL63" s="1177"/>
      <c r="AM63" s="1177"/>
      <c r="AN63" s="1177"/>
      <c r="AO63" s="1177"/>
      <c r="AP63" s="1177"/>
      <c r="AQ63" s="1177"/>
      <c r="AR63" s="1226">
        <v>0</v>
      </c>
    </row>
    <row r="64" spans="1:44" s="4149" customFormat="1" ht="17.25" customHeight="1">
      <c r="A64" s="257"/>
      <c r="C64" s="146"/>
      <c r="D64" s="4308"/>
      <c r="E64" s="4297"/>
      <c r="F64" s="4310"/>
      <c r="G64" s="4297"/>
      <c r="H64" s="4299"/>
      <c r="I64" s="4301"/>
      <c r="J64" s="4304"/>
      <c r="K64" s="4295"/>
      <c r="L64" s="1215"/>
      <c r="M64" s="1215"/>
      <c r="N64" s="1215"/>
      <c r="O64" s="1215"/>
      <c r="P64" s="1215"/>
      <c r="Q64" s="1215"/>
      <c r="R64" s="1215"/>
      <c r="S64" s="265"/>
      <c r="T64" s="265"/>
      <c r="U64" s="265"/>
      <c r="V64" s="265"/>
      <c r="W64" s="1216"/>
      <c r="Y64" s="1185"/>
      <c r="Z64" s="1185"/>
      <c r="AA64" s="1185"/>
      <c r="AB64" s="1185"/>
      <c r="AC64" s="1185"/>
      <c r="AD64" s="1185"/>
      <c r="AE64" s="1185"/>
      <c r="AF64" s="1185"/>
      <c r="AG64" s="1185"/>
      <c r="AH64" s="1185"/>
      <c r="AI64" s="1185"/>
      <c r="AJ64" s="1185"/>
      <c r="AK64" s="1185"/>
      <c r="AL64" s="1185"/>
      <c r="AM64" s="1185"/>
      <c r="AN64" s="1185"/>
      <c r="AO64" s="1185"/>
      <c r="AP64" s="1185"/>
      <c r="AQ64" s="1185"/>
      <c r="AR64" s="1244">
        <v>0</v>
      </c>
    </row>
    <row r="65" spans="1:44" s="4149" customFormat="1" ht="17.25" customHeight="1">
      <c r="A65" s="257"/>
      <c r="C65" s="256"/>
      <c r="D65" s="4308"/>
      <c r="E65" s="4297"/>
      <c r="F65" s="4311"/>
      <c r="G65" s="4297"/>
      <c r="H65" s="1217"/>
      <c r="I65" s="1218"/>
      <c r="J65" s="1218"/>
      <c r="K65" s="1218"/>
      <c r="L65" s="1218"/>
      <c r="M65" s="1218"/>
      <c r="N65" s="1218"/>
      <c r="O65" s="1218"/>
      <c r="P65" s="1218"/>
      <c r="Q65" s="1218"/>
      <c r="R65" s="1218"/>
      <c r="S65" s="1219"/>
      <c r="T65" s="1219"/>
      <c r="U65" s="1219"/>
      <c r="V65" s="1219"/>
      <c r="W65" s="1220"/>
      <c r="X65" s="1177"/>
      <c r="Y65" s="1177"/>
      <c r="Z65" s="1177"/>
      <c r="AA65" s="1177"/>
      <c r="AB65" s="1177"/>
      <c r="AC65" s="1177"/>
      <c r="AD65" s="1177"/>
      <c r="AE65" s="1177"/>
      <c r="AF65" s="1177"/>
      <c r="AG65" s="1177"/>
      <c r="AH65" s="1177"/>
      <c r="AI65" s="1177"/>
      <c r="AJ65" s="1177"/>
      <c r="AK65" s="1177"/>
      <c r="AL65" s="1177"/>
      <c r="AM65" s="1177"/>
      <c r="AN65" s="1177"/>
      <c r="AO65" s="1177"/>
      <c r="AP65" s="1177"/>
      <c r="AQ65" s="1177"/>
      <c r="AR65" s="1226">
        <v>0</v>
      </c>
    </row>
    <row r="66" spans="1:44" s="4149" customFormat="1" ht="17.25" customHeight="1">
      <c r="A66" s="257"/>
      <c r="C66" s="146"/>
      <c r="D66" s="4307">
        <v>9</v>
      </c>
      <c r="E66" s="4296" t="s">
        <v>225</v>
      </c>
      <c r="F66" s="4309" t="s">
        <v>19</v>
      </c>
      <c r="G66" s="4296"/>
      <c r="H66" s="4298"/>
      <c r="I66" s="4300"/>
      <c r="J66" s="4302"/>
      <c r="K66" s="4294"/>
      <c r="L66" s="4294"/>
      <c r="M66" s="4294"/>
      <c r="N66" s="4305"/>
      <c r="O66" s="4294"/>
      <c r="P66" s="4294"/>
      <c r="Q66" s="4294"/>
      <c r="R66" s="4292"/>
      <c r="S66" s="4294"/>
      <c r="T66" s="1843"/>
      <c r="U66" s="1843"/>
      <c r="V66" s="1845"/>
      <c r="W66" s="1214"/>
      <c r="X66" s="1185"/>
      <c r="Y66" s="1185"/>
      <c r="Z66" s="1185"/>
      <c r="AA66" s="1185"/>
      <c r="AB66" s="1185"/>
      <c r="AC66" s="1185" t="s">
        <v>226</v>
      </c>
      <c r="AD66" s="1185" t="s">
        <v>227</v>
      </c>
      <c r="AE66" s="1185" t="s">
        <v>228</v>
      </c>
      <c r="AF66" s="1185" t="s">
        <v>229</v>
      </c>
      <c r="AG66" s="1185" t="s">
        <v>230</v>
      </c>
      <c r="AH66" s="1185" t="str">
        <f>IF($E$66=0,"",$E$66)</f>
        <v>Плата за подключение (технологическое присоединение) к системе теплоснабжения (индивидуальная)</v>
      </c>
      <c r="AI66" s="1185" t="str">
        <f>IF($G$66=0,"",$G$66)</f>
        <v/>
      </c>
      <c r="AJ66" s="1185" t="str">
        <f>IF($J$66=0,"",$J$66)</f>
        <v/>
      </c>
      <c r="AK66" s="1185" t="str">
        <f>IF($K$66="нет","без дифференциации",IF($N$66=0,"",$N$66))</f>
        <v/>
      </c>
      <c r="AL66" s="1185" t="str">
        <f>IF($O$66="нет","без дифференциации",IF($R$66=0,"",$R$66))</f>
        <v/>
      </c>
      <c r="AM66" s="1185" t="str">
        <f>IF($S$66="нет","без дифференциации",IF($V$66=0,"",$V$66))</f>
        <v/>
      </c>
      <c r="AN66" s="1689">
        <f>$I$66</f>
        <v>0</v>
      </c>
      <c r="AO66" s="1185" t="str">
        <f>$I$66&amp;"."&amp;$M$66</f>
        <v>.</v>
      </c>
      <c r="AP66" s="1184" t="str">
        <f>$I$66&amp;"."&amp;$M$66&amp;"."&amp;$Q$66</f>
        <v>..</v>
      </c>
      <c r="AQ66" s="1184" t="str">
        <f>$I$66&amp;"."&amp;$M$66&amp;"."&amp;$Q$66&amp;"."&amp;$U$66</f>
        <v>...</v>
      </c>
      <c r="AR66" s="1385">
        <v>0</v>
      </c>
    </row>
    <row r="67" spans="1:44" s="4149" customFormat="1" ht="17.25" customHeight="1">
      <c r="A67" s="257"/>
      <c r="C67" s="256"/>
      <c r="D67" s="4307"/>
      <c r="E67" s="4296"/>
      <c r="F67" s="4310"/>
      <c r="G67" s="4296"/>
      <c r="H67" s="4299"/>
      <c r="I67" s="4301"/>
      <c r="J67" s="4303"/>
      <c r="K67" s="4295"/>
      <c r="L67" s="4295"/>
      <c r="M67" s="4295"/>
      <c r="N67" s="4306"/>
      <c r="O67" s="4295"/>
      <c r="P67" s="4295"/>
      <c r="Q67" s="4295"/>
      <c r="R67" s="4293"/>
      <c r="S67" s="4295"/>
      <c r="T67" s="1846"/>
      <c r="U67" s="1846"/>
      <c r="V67" s="1846"/>
      <c r="W67" s="1847"/>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s="4149" customFormat="1" ht="17.25" customHeight="1">
      <c r="A68" s="257"/>
      <c r="C68" s="256"/>
      <c r="D68" s="4308"/>
      <c r="E68" s="4297"/>
      <c r="F68" s="4310"/>
      <c r="G68" s="4297"/>
      <c r="H68" s="4299"/>
      <c r="I68" s="4301"/>
      <c r="J68" s="4304"/>
      <c r="K68" s="4295"/>
      <c r="L68" s="4295"/>
      <c r="M68" s="4295"/>
      <c r="N68" s="4293"/>
      <c r="O68" s="4295"/>
      <c r="P68" s="1844"/>
      <c r="Q68" s="1846"/>
      <c r="R68" s="1846"/>
      <c r="S68" s="265"/>
      <c r="T68" s="265"/>
      <c r="U68" s="265"/>
      <c r="V68" s="265"/>
      <c r="W68" s="1847"/>
      <c r="X68" s="1184"/>
      <c r="Y68" s="1184"/>
      <c r="Z68" s="1184"/>
      <c r="AA68" s="1184"/>
      <c r="AB68" s="1184"/>
      <c r="AC68" s="1184"/>
      <c r="AD68" s="1184"/>
      <c r="AE68" s="1184"/>
      <c r="AF68" s="1184"/>
      <c r="AG68" s="1184"/>
      <c r="AH68" s="1184"/>
      <c r="AI68" s="1184"/>
      <c r="AJ68" s="1184"/>
      <c r="AK68" s="1184"/>
      <c r="AL68" s="1184"/>
      <c r="AM68" s="1184"/>
      <c r="AN68" s="1184"/>
      <c r="AO68" s="1184"/>
      <c r="AP68" s="1184"/>
      <c r="AQ68" s="1184"/>
      <c r="AR68" s="1385">
        <v>0</v>
      </c>
    </row>
    <row r="69" spans="1:44" s="4149" customFormat="1" ht="17.25" customHeight="1">
      <c r="A69" s="257"/>
      <c r="C69" s="146"/>
      <c r="D69" s="4308"/>
      <c r="E69" s="4297"/>
      <c r="F69" s="4310"/>
      <c r="G69" s="4297"/>
      <c r="H69" s="4299"/>
      <c r="I69" s="4301"/>
      <c r="J69" s="4304"/>
      <c r="K69" s="4295"/>
      <c r="L69" s="1846"/>
      <c r="M69" s="1846"/>
      <c r="N69" s="1846"/>
      <c r="O69" s="1846"/>
      <c r="P69" s="1846"/>
      <c r="Q69" s="1846"/>
      <c r="R69" s="1846"/>
      <c r="S69" s="265"/>
      <c r="T69" s="265"/>
      <c r="U69" s="265"/>
      <c r="V69" s="265"/>
      <c r="W69" s="1847"/>
      <c r="Y69" s="1185"/>
      <c r="Z69" s="1185"/>
      <c r="AA69" s="1185"/>
      <c r="AB69" s="1185"/>
      <c r="AC69" s="1185"/>
      <c r="AD69" s="1185"/>
      <c r="AE69" s="1185"/>
      <c r="AF69" s="1185"/>
      <c r="AG69" s="1185"/>
      <c r="AH69" s="1185"/>
      <c r="AI69" s="1185"/>
      <c r="AJ69" s="1185"/>
      <c r="AK69" s="1185"/>
      <c r="AL69" s="1185"/>
      <c r="AM69" s="1185"/>
      <c r="AN69" s="1185"/>
      <c r="AO69" s="1185"/>
      <c r="AP69" s="1185"/>
      <c r="AQ69" s="1185"/>
      <c r="AR69" s="1385">
        <v>0</v>
      </c>
    </row>
    <row r="70" spans="1:44" s="4149" customFormat="1" ht="17.25" customHeight="1">
      <c r="A70" s="257"/>
      <c r="C70" s="256"/>
      <c r="D70" s="4308"/>
      <c r="E70" s="4297"/>
      <c r="F70" s="4311"/>
      <c r="G70" s="4297"/>
      <c r="H70" s="1217"/>
      <c r="I70" s="1848"/>
      <c r="J70" s="1848"/>
      <c r="K70" s="1848"/>
      <c r="L70" s="1848"/>
      <c r="M70" s="1848"/>
      <c r="N70" s="1848"/>
      <c r="O70" s="1848"/>
      <c r="P70" s="1848"/>
      <c r="Q70" s="1848"/>
      <c r="R70" s="1848"/>
      <c r="S70" s="1219"/>
      <c r="T70" s="1219"/>
      <c r="U70" s="1219"/>
      <c r="V70" s="1219"/>
      <c r="W70" s="1849"/>
      <c r="X70" s="1184"/>
      <c r="Y70" s="1184"/>
      <c r="Z70" s="1184"/>
      <c r="AA70" s="1184"/>
      <c r="AB70" s="1184"/>
      <c r="AC70" s="1184"/>
      <c r="AD70" s="1184"/>
      <c r="AE70" s="1184"/>
      <c r="AF70" s="1184"/>
      <c r="AG70" s="1184"/>
      <c r="AH70" s="1184"/>
      <c r="AI70" s="1184"/>
      <c r="AJ70" s="1184"/>
      <c r="AK70" s="1184"/>
      <c r="AL70" s="1184"/>
      <c r="AM70" s="1184"/>
      <c r="AN70" s="1184"/>
      <c r="AO70" s="1184"/>
      <c r="AP70" s="1184"/>
      <c r="AQ70" s="1184"/>
      <c r="AR70" s="1385">
        <v>0</v>
      </c>
    </row>
    <row r="71" spans="1:44" s="4149" customFormat="1" ht="17.25" hidden="1" customHeight="1">
      <c r="A71" s="257"/>
      <c r="C71" s="146"/>
      <c r="D71" s="4307">
        <v>10</v>
      </c>
      <c r="E71" s="4296" t="s">
        <v>231</v>
      </c>
      <c r="F71" s="4309" t="s">
        <v>19</v>
      </c>
      <c r="G71" s="4296"/>
      <c r="H71" s="4298"/>
      <c r="I71" s="4300"/>
      <c r="J71" s="4302"/>
      <c r="K71" s="4294"/>
      <c r="L71" s="4294"/>
      <c r="M71" s="4294"/>
      <c r="N71" s="4305"/>
      <c r="O71" s="4294"/>
      <c r="P71" s="4294"/>
      <c r="Q71" s="4294"/>
      <c r="R71" s="4292"/>
      <c r="S71" s="4294"/>
      <c r="T71" s="1843"/>
      <c r="U71" s="1843"/>
      <c r="V71" s="1845"/>
      <c r="W71" s="1214"/>
      <c r="X71" s="1185"/>
      <c r="Y71" s="1185"/>
      <c r="Z71" s="1185"/>
      <c r="AA71" s="1185"/>
      <c r="AB71" s="1185"/>
      <c r="AC71" s="1185" t="s">
        <v>232</v>
      </c>
      <c r="AD71" s="1185" t="s">
        <v>233</v>
      </c>
      <c r="AE71" s="1185" t="s">
        <v>234</v>
      </c>
      <c r="AF71" s="1185" t="s">
        <v>235</v>
      </c>
      <c r="AG71" s="1185" t="s">
        <v>236</v>
      </c>
      <c r="AH71" s="1185" t="str">
        <f>IF($E$71=0,"",$E$71)</f>
        <v>Предельный уровень цены на тепловую энергию (мощность), поставляемую теплоснабжающими организациями потребителям</v>
      </c>
      <c r="AI71" s="1185" t="str">
        <f>IF($G$71=0,"",$G$71)</f>
        <v/>
      </c>
      <c r="AJ71" s="1185" t="str">
        <f>IF($J$71=0,"",$J$71)</f>
        <v/>
      </c>
      <c r="AK71" s="1185" t="str">
        <f>IF($K$71="нет","без дифференциации",IF($N$71=0,"",$N$71))</f>
        <v/>
      </c>
      <c r="AL71" s="1185" t="str">
        <f>IF($O$71="нет","без дифференциации",IF($R$71=0,"",$R$71))</f>
        <v/>
      </c>
      <c r="AM71" s="1185" t="str">
        <f>IF($S$71="нет","без дифференциации",IF($V$71=0,"",$V$71))</f>
        <v/>
      </c>
      <c r="AN71" s="1689">
        <f>$I$71</f>
        <v>0</v>
      </c>
      <c r="AO71" s="1185" t="str">
        <f>$I$71&amp;"."&amp;$M$71</f>
        <v>.</v>
      </c>
      <c r="AP71" s="1184" t="str">
        <f>$I$71&amp;"."&amp;$M$71&amp;"."&amp;$Q$71</f>
        <v>..</v>
      </c>
      <c r="AQ71" s="1184" t="str">
        <f>$I$71&amp;"."&amp;$M$71&amp;"."&amp;$Q$71&amp;"."&amp;$U$71</f>
        <v>...</v>
      </c>
      <c r="AR71" s="1385">
        <v>0</v>
      </c>
    </row>
    <row r="72" spans="1:44" s="4149" customFormat="1" ht="17.25" hidden="1" customHeight="1">
      <c r="A72" s="257"/>
      <c r="C72" s="256"/>
      <c r="D72" s="4307"/>
      <c r="E72" s="4296"/>
      <c r="F72" s="4310"/>
      <c r="G72" s="4296"/>
      <c r="H72" s="4299"/>
      <c r="I72" s="4301"/>
      <c r="J72" s="4303"/>
      <c r="K72" s="4295"/>
      <c r="L72" s="4295"/>
      <c r="M72" s="4295"/>
      <c r="N72" s="4306"/>
      <c r="O72" s="4295"/>
      <c r="P72" s="4295"/>
      <c r="Q72" s="4295"/>
      <c r="R72" s="4293"/>
      <c r="S72" s="4295"/>
      <c r="T72" s="1846"/>
      <c r="U72" s="1846"/>
      <c r="V72" s="1846"/>
      <c r="W72" s="1847"/>
      <c r="X72" s="1184"/>
      <c r="Y72" s="1184"/>
      <c r="Z72" s="1184"/>
      <c r="AA72" s="1184"/>
      <c r="AB72" s="1184"/>
      <c r="AC72" s="1184"/>
      <c r="AD72" s="1184"/>
      <c r="AE72" s="1184"/>
      <c r="AF72" s="1184"/>
      <c r="AG72" s="1184"/>
      <c r="AH72" s="1184"/>
      <c r="AI72" s="1184"/>
      <c r="AJ72" s="1184"/>
      <c r="AK72" s="1184"/>
      <c r="AL72" s="1184"/>
      <c r="AM72" s="1184"/>
      <c r="AN72" s="1184"/>
      <c r="AO72" s="1184"/>
      <c r="AP72" s="1184"/>
      <c r="AQ72" s="1184"/>
      <c r="AR72" s="1385">
        <v>0</v>
      </c>
    </row>
    <row r="73" spans="1:44" s="4149" customFormat="1" ht="17.25" hidden="1" customHeight="1">
      <c r="A73" s="257"/>
      <c r="C73" s="256"/>
      <c r="D73" s="4308"/>
      <c r="E73" s="4297"/>
      <c r="F73" s="4310"/>
      <c r="G73" s="4297"/>
      <c r="H73" s="4299"/>
      <c r="I73" s="4301"/>
      <c r="J73" s="4304"/>
      <c r="K73" s="4295"/>
      <c r="L73" s="4295"/>
      <c r="M73" s="4295"/>
      <c r="N73" s="4293"/>
      <c r="O73" s="4295"/>
      <c r="P73" s="1844"/>
      <c r="Q73" s="1846"/>
      <c r="R73" s="1846"/>
      <c r="S73" s="265"/>
      <c r="T73" s="265"/>
      <c r="U73" s="265"/>
      <c r="V73" s="265"/>
      <c r="W73" s="1847"/>
      <c r="X73" s="1184"/>
      <c r="Y73" s="1184"/>
      <c r="Z73" s="1184"/>
      <c r="AA73" s="1184"/>
      <c r="AB73" s="1184"/>
      <c r="AC73" s="1184"/>
      <c r="AD73" s="1184"/>
      <c r="AE73" s="1184"/>
      <c r="AF73" s="1184"/>
      <c r="AG73" s="1184"/>
      <c r="AH73" s="1184"/>
      <c r="AI73" s="1184"/>
      <c r="AJ73" s="1184"/>
      <c r="AK73" s="1184"/>
      <c r="AL73" s="1184"/>
      <c r="AM73" s="1184"/>
      <c r="AN73" s="1184"/>
      <c r="AO73" s="1184"/>
      <c r="AP73" s="1184"/>
      <c r="AQ73" s="1184"/>
      <c r="AR73" s="1385">
        <v>0</v>
      </c>
    </row>
    <row r="74" spans="1:44" s="4149" customFormat="1" ht="17.25" hidden="1" customHeight="1">
      <c r="A74" s="257"/>
      <c r="C74" s="146"/>
      <c r="D74" s="4308"/>
      <c r="E74" s="4297"/>
      <c r="F74" s="4310"/>
      <c r="G74" s="4297"/>
      <c r="H74" s="4299"/>
      <c r="I74" s="4301"/>
      <c r="J74" s="4304"/>
      <c r="K74" s="4295"/>
      <c r="L74" s="1846"/>
      <c r="M74" s="1846"/>
      <c r="N74" s="1846"/>
      <c r="O74" s="1846"/>
      <c r="P74" s="1846"/>
      <c r="Q74" s="1846"/>
      <c r="R74" s="1846"/>
      <c r="S74" s="265"/>
      <c r="T74" s="265"/>
      <c r="U74" s="265"/>
      <c r="V74" s="265"/>
      <c r="W74" s="1847"/>
      <c r="Y74" s="1185"/>
      <c r="Z74" s="1185"/>
      <c r="AA74" s="1185"/>
      <c r="AB74" s="1185"/>
      <c r="AC74" s="1185"/>
      <c r="AD74" s="1185"/>
      <c r="AE74" s="1185"/>
      <c r="AF74" s="1185"/>
      <c r="AG74" s="1185"/>
      <c r="AH74" s="1185"/>
      <c r="AI74" s="1185"/>
      <c r="AJ74" s="1185"/>
      <c r="AK74" s="1185"/>
      <c r="AL74" s="1185"/>
      <c r="AM74" s="1185"/>
      <c r="AN74" s="1185"/>
      <c r="AO74" s="1185"/>
      <c r="AP74" s="1185"/>
      <c r="AQ74" s="1185"/>
      <c r="AR74" s="1385">
        <v>0</v>
      </c>
    </row>
    <row r="75" spans="1:44" s="4149" customFormat="1" ht="17.25" hidden="1" customHeight="1">
      <c r="A75" s="257"/>
      <c r="C75" s="256"/>
      <c r="D75" s="4308"/>
      <c r="E75" s="4297"/>
      <c r="F75" s="4311"/>
      <c r="G75" s="4297"/>
      <c r="H75" s="1217"/>
      <c r="I75" s="1848"/>
      <c r="J75" s="1848"/>
      <c r="K75" s="1848"/>
      <c r="L75" s="1848"/>
      <c r="M75" s="1848"/>
      <c r="N75" s="1848"/>
      <c r="O75" s="1848"/>
      <c r="P75" s="1848"/>
      <c r="Q75" s="1848"/>
      <c r="R75" s="1848"/>
      <c r="S75" s="1219"/>
      <c r="T75" s="1219"/>
      <c r="U75" s="1219"/>
      <c r="V75" s="1219"/>
      <c r="W75" s="1849"/>
      <c r="X75" s="1184"/>
      <c r="Y75" s="1184"/>
      <c r="Z75" s="1184"/>
      <c r="AA75" s="1184"/>
      <c r="AB75" s="1184"/>
      <c r="AC75" s="1184"/>
      <c r="AD75" s="1184"/>
      <c r="AE75" s="1184"/>
      <c r="AF75" s="1184"/>
      <c r="AG75" s="1184"/>
      <c r="AH75" s="1184"/>
      <c r="AI75" s="1184"/>
      <c r="AJ75" s="1184"/>
      <c r="AK75" s="1184"/>
      <c r="AL75" s="1184"/>
      <c r="AM75" s="1184"/>
      <c r="AN75" s="1184"/>
      <c r="AO75" s="1184"/>
      <c r="AP75" s="1184"/>
      <c r="AQ75" s="1184"/>
      <c r="AR75" s="1385">
        <v>0</v>
      </c>
    </row>
    <row r="76" spans="1:44" ht="11.25" customHeight="1">
      <c r="AR76" s="44">
        <v>0</v>
      </c>
    </row>
    <row r="77" spans="1:44" ht="11.25" customHeight="1">
      <c r="E77" s="4314" t="s">
        <v>237</v>
      </c>
      <c r="F77" s="4314"/>
      <c r="G77" s="4314"/>
      <c r="H77" s="4314"/>
      <c r="I77" s="4314"/>
      <c r="J77" s="4314"/>
      <c r="K77" s="4314"/>
      <c r="L77" s="4314"/>
      <c r="M77" s="4314"/>
      <c r="N77" s="4314"/>
      <c r="O77" s="4314"/>
      <c r="P77" s="4314"/>
      <c r="Q77" s="4314"/>
      <c r="R77" s="4314"/>
      <c r="S77" s="4314"/>
      <c r="T77" s="4314"/>
      <c r="U77" s="4314"/>
      <c r="V77" s="4314"/>
      <c r="W77" s="4314"/>
      <c r="AR77" s="44">
        <v>0</v>
      </c>
    </row>
    <row r="78" spans="1:44" ht="36.75" customHeight="1">
      <c r="E78" s="4312" t="s">
        <v>238</v>
      </c>
      <c r="F78" s="4312"/>
      <c r="G78" s="4313"/>
      <c r="H78" s="4313"/>
      <c r="I78" s="4313"/>
      <c r="J78" s="4313"/>
      <c r="K78" s="4313"/>
      <c r="L78" s="4313"/>
      <c r="M78" s="4313"/>
      <c r="N78" s="4313"/>
      <c r="O78" s="4313"/>
      <c r="P78" s="4313"/>
      <c r="Q78" s="4313"/>
      <c r="R78" s="4313"/>
      <c r="S78" s="4313"/>
      <c r="T78" s="4313"/>
      <c r="U78" s="4313"/>
      <c r="V78" s="4313"/>
      <c r="W78" s="4313"/>
      <c r="AR78" s="44">
        <v>0</v>
      </c>
    </row>
    <row r="79" spans="1:44" ht="28.5" customHeight="1">
      <c r="E79" s="4312" t="s">
        <v>239</v>
      </c>
      <c r="F79" s="4312"/>
      <c r="G79" s="4313"/>
      <c r="H79" s="4313"/>
      <c r="I79" s="4313"/>
      <c r="J79" s="4313"/>
      <c r="K79" s="4313"/>
      <c r="L79" s="4313"/>
      <c r="M79" s="4313"/>
      <c r="N79" s="4313"/>
      <c r="O79" s="4313"/>
      <c r="P79" s="4313"/>
      <c r="Q79" s="4313"/>
      <c r="R79" s="4313"/>
      <c r="S79" s="4313"/>
      <c r="T79" s="4313"/>
      <c r="U79" s="4313"/>
      <c r="V79" s="4313"/>
      <c r="W79" s="4313"/>
      <c r="AR79" s="44">
        <v>0</v>
      </c>
    </row>
    <row r="80" spans="1:44" ht="27" customHeight="1">
      <c r="E80" s="4312" t="s">
        <v>240</v>
      </c>
      <c r="F80" s="4312"/>
      <c r="G80" s="4313"/>
      <c r="H80" s="4313"/>
      <c r="I80" s="4313"/>
      <c r="J80" s="4313"/>
      <c r="K80" s="4313"/>
      <c r="L80" s="4313"/>
      <c r="M80" s="4313"/>
      <c r="N80" s="4313"/>
      <c r="O80" s="4313"/>
      <c r="P80" s="4313"/>
      <c r="Q80" s="4313"/>
      <c r="R80" s="4313"/>
      <c r="S80" s="4313"/>
      <c r="T80" s="4313"/>
      <c r="U80" s="4313"/>
      <c r="V80" s="4313"/>
      <c r="W80" s="4313"/>
      <c r="AR80" s="44">
        <v>0</v>
      </c>
    </row>
    <row r="81" spans="1:44" ht="17.25" customHeight="1">
      <c r="E81" s="4312" t="s">
        <v>241</v>
      </c>
      <c r="F81" s="4312"/>
      <c r="G81" s="4313"/>
      <c r="H81" s="4313"/>
      <c r="I81" s="4313"/>
      <c r="J81" s="4313"/>
      <c r="K81" s="4313"/>
      <c r="L81" s="4313"/>
      <c r="M81" s="4313"/>
      <c r="N81" s="4313"/>
      <c r="O81" s="4313"/>
      <c r="P81" s="4313"/>
      <c r="Q81" s="4313"/>
      <c r="R81" s="4313"/>
      <c r="S81" s="4313"/>
      <c r="T81" s="4313"/>
      <c r="U81" s="4313"/>
      <c r="V81" s="4313"/>
      <c r="W81" s="4313"/>
      <c r="AR81" s="44">
        <v>0</v>
      </c>
    </row>
    <row r="82" spans="1:44" ht="15" customHeight="1">
      <c r="E82" s="276"/>
      <c r="F82" s="1203"/>
      <c r="G82" s="95"/>
      <c r="H82" s="95"/>
      <c r="I82" s="95"/>
      <c r="J82" s="95"/>
      <c r="K82" s="95"/>
      <c r="L82" s="95"/>
      <c r="M82" s="95"/>
      <c r="N82" s="95"/>
      <c r="O82" s="95"/>
      <c r="P82" s="95"/>
      <c r="Q82" s="95"/>
      <c r="R82" s="95"/>
      <c r="S82" s="95"/>
      <c r="T82" s="95"/>
      <c r="U82" s="95"/>
      <c r="V82" s="95"/>
      <c r="W82" s="95"/>
      <c r="AR82" s="44">
        <v>0</v>
      </c>
    </row>
    <row r="83" spans="1:44" ht="15" customHeight="1">
      <c r="E83" s="4314" t="s">
        <v>242</v>
      </c>
      <c r="F83" s="4314"/>
      <c r="G83" s="4314"/>
      <c r="H83" s="4314"/>
      <c r="I83" s="4314"/>
      <c r="J83" s="4314"/>
      <c r="K83" s="4314"/>
      <c r="L83" s="4314"/>
      <c r="M83" s="4314"/>
      <c r="N83" s="4314"/>
      <c r="O83" s="4314"/>
      <c r="P83" s="4314"/>
      <c r="Q83" s="4314"/>
      <c r="R83" s="4314"/>
      <c r="S83" s="4314"/>
      <c r="T83" s="4314"/>
      <c r="U83" s="4314"/>
      <c r="V83" s="4314"/>
      <c r="W83" s="4314"/>
      <c r="AR83" s="44">
        <v>0</v>
      </c>
    </row>
    <row r="84" spans="1:44" ht="17.25" customHeight="1">
      <c r="E84" s="4312" t="s">
        <v>243</v>
      </c>
      <c r="F84" s="4312"/>
      <c r="G84" s="4313"/>
      <c r="H84" s="4313"/>
      <c r="I84" s="4313"/>
      <c r="J84" s="4313"/>
      <c r="K84" s="4313"/>
      <c r="L84" s="4313"/>
      <c r="M84" s="4313"/>
      <c r="N84" s="4313"/>
      <c r="O84" s="4313"/>
      <c r="P84" s="4313"/>
      <c r="Q84" s="4313"/>
      <c r="R84" s="4313"/>
      <c r="S84" s="4313"/>
      <c r="T84" s="4313"/>
      <c r="U84" s="4313"/>
      <c r="V84" s="4313"/>
      <c r="W84" s="4313"/>
      <c r="AR84" s="44">
        <v>0</v>
      </c>
    </row>
    <row r="85" spans="1:44" ht="17.25" customHeight="1">
      <c r="E85" s="4312" t="s">
        <v>244</v>
      </c>
      <c r="F85" s="4312"/>
      <c r="G85" s="4313"/>
      <c r="H85" s="4313"/>
      <c r="I85" s="4313"/>
      <c r="J85" s="4313"/>
      <c r="K85" s="4313"/>
      <c r="L85" s="4313"/>
      <c r="M85" s="4313"/>
      <c r="N85" s="4313"/>
      <c r="O85" s="4313"/>
      <c r="P85" s="4313"/>
      <c r="Q85" s="4313"/>
      <c r="R85" s="4313"/>
      <c r="S85" s="4313"/>
      <c r="T85" s="4313"/>
      <c r="U85" s="4313"/>
      <c r="V85" s="4313"/>
      <c r="W85" s="4313"/>
      <c r="AR85" s="44">
        <v>0</v>
      </c>
    </row>
    <row r="86" spans="1:44" s="4149" customFormat="1" ht="11.25" hidden="1" customHeight="1">
      <c r="A86" s="213"/>
      <c r="B86" s="213"/>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4149" customFormat="1" ht="17.25" hidden="1" customHeight="1">
      <c r="A87" s="257"/>
      <c r="C87" s="146"/>
      <c r="D87" s="4307">
        <v>1</v>
      </c>
      <c r="E87" s="4296" t="s">
        <v>245</v>
      </c>
      <c r="F87" s="4309" t="s">
        <v>19</v>
      </c>
      <c r="G87" s="4296"/>
      <c r="H87" s="4298"/>
      <c r="I87" s="4300"/>
      <c r="J87" s="4302"/>
      <c r="K87" s="4294"/>
      <c r="L87" s="4294"/>
      <c r="M87" s="4294"/>
      <c r="N87" s="4305"/>
      <c r="O87" s="4294"/>
      <c r="P87" s="4294"/>
      <c r="Q87" s="4294"/>
      <c r="R87" s="4292"/>
      <c r="S87" s="4294"/>
      <c r="T87" s="1388"/>
      <c r="U87" s="1388"/>
      <c r="V87" s="1390"/>
      <c r="W87" s="1214"/>
      <c r="Y87" s="1185"/>
      <c r="Z87" s="1185"/>
      <c r="AA87" s="1185"/>
      <c r="AB87" s="1185"/>
      <c r="AC87" s="1185" t="s">
        <v>246</v>
      </c>
      <c r="AD87" s="1185" t="s">
        <v>247</v>
      </c>
      <c r="AE87" s="1185" t="s">
        <v>248</v>
      </c>
      <c r="AF87" s="1185" t="s">
        <v>249</v>
      </c>
      <c r="AG87" s="1185"/>
      <c r="AH87" s="1185" t="str">
        <f>IF($E$87=0,"",$E$87)</f>
        <v>Тариф на питьевую воду (питьевое водоснабжение)</v>
      </c>
      <c r="AI87" s="1185" t="str">
        <f>IF($G$87=0,"",$G$87)</f>
        <v/>
      </c>
      <c r="AJ87" s="1185" t="str">
        <f>IF($J$87=0,"",$J$87)</f>
        <v/>
      </c>
      <c r="AK87" s="1185" t="str">
        <f>IF($K$87="нет","без дифференциации",IF($N$87=0,"",$N$87))</f>
        <v/>
      </c>
      <c r="AL87" s="1185" t="str">
        <f>IF($O$87="нет","без дифференциации",IF($R$87=0,"",$R$87))</f>
        <v/>
      </c>
      <c r="AM87" s="1185" t="str">
        <f>IF($S$87="нет","без дифференциации",IF($V$87=0,"",$V$87))</f>
        <v/>
      </c>
      <c r="AN87" s="1185">
        <f>$I$87</f>
        <v>0</v>
      </c>
      <c r="AO87" s="1185" t="str">
        <f>$I$87&amp;"."&amp;$M$87</f>
        <v>.</v>
      </c>
      <c r="AP87" s="1185" t="str">
        <f>$I$87&amp;"."&amp;$M$87&amp;"."&amp;$Q$87</f>
        <v>..</v>
      </c>
      <c r="AQ87" s="1185" t="str">
        <f>$I$87&amp;"."&amp;$M$87&amp;"."&amp;$Q$87&amp;"."&amp;$U$87</f>
        <v>...</v>
      </c>
      <c r="AR87" s="1268">
        <v>0</v>
      </c>
    </row>
    <row r="88" spans="1:44" s="4149" customFormat="1" ht="17.25" hidden="1" customHeight="1">
      <c r="A88" s="257"/>
      <c r="C88" s="256"/>
      <c r="D88" s="4307"/>
      <c r="E88" s="4296"/>
      <c r="F88" s="4310"/>
      <c r="G88" s="4296"/>
      <c r="H88" s="4299"/>
      <c r="I88" s="4301"/>
      <c r="J88" s="4303"/>
      <c r="K88" s="4295"/>
      <c r="L88" s="4295"/>
      <c r="M88" s="4295"/>
      <c r="N88" s="4306"/>
      <c r="O88" s="4295"/>
      <c r="P88" s="4295"/>
      <c r="Q88" s="4295"/>
      <c r="R88" s="4293"/>
      <c r="S88" s="4295"/>
      <c r="T88" s="1215"/>
      <c r="U88" s="1215"/>
      <c r="V88" s="1215"/>
      <c r="W88" s="1216"/>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4149" customFormat="1" ht="17.25" hidden="1" customHeight="1">
      <c r="A89" s="257"/>
      <c r="C89" s="146"/>
      <c r="D89" s="4307"/>
      <c r="E89" s="4296"/>
      <c r="F89" s="4310"/>
      <c r="G89" s="4296"/>
      <c r="H89" s="4299"/>
      <c r="I89" s="4301"/>
      <c r="J89" s="4304"/>
      <c r="K89" s="4295"/>
      <c r="L89" s="4295"/>
      <c r="M89" s="4295"/>
      <c r="N89" s="4293"/>
      <c r="O89" s="4295"/>
      <c r="P89" s="1389"/>
      <c r="Q89" s="1215"/>
      <c r="R89" s="1215"/>
      <c r="S89" s="265"/>
      <c r="T89" s="265"/>
      <c r="U89" s="265"/>
      <c r="V89" s="265"/>
      <c r="W89" s="1216"/>
      <c r="Y89" s="1185"/>
      <c r="Z89" s="1185"/>
      <c r="AA89" s="1185"/>
      <c r="AB89" s="1185"/>
      <c r="AC89" s="1185"/>
      <c r="AD89" s="1185"/>
      <c r="AE89" s="1185"/>
      <c r="AF89" s="1185"/>
      <c r="AG89" s="1185"/>
      <c r="AH89" s="1185"/>
      <c r="AI89" s="1185"/>
      <c r="AJ89" s="1185"/>
      <c r="AK89" s="1185"/>
      <c r="AL89" s="1185"/>
      <c r="AM89" s="1185"/>
      <c r="AN89" s="1185"/>
      <c r="AO89" s="1185"/>
      <c r="AP89" s="1185"/>
      <c r="AQ89" s="1185"/>
      <c r="AR89" s="1359">
        <v>0</v>
      </c>
    </row>
    <row r="90" spans="1:44" s="4149" customFormat="1" ht="17.25" hidden="1" customHeight="1">
      <c r="A90" s="257"/>
      <c r="C90" s="256"/>
      <c r="D90" s="4307"/>
      <c r="E90" s="4296"/>
      <c r="F90" s="4310"/>
      <c r="G90" s="4296"/>
      <c r="H90" s="4299"/>
      <c r="I90" s="4301"/>
      <c r="J90" s="4304"/>
      <c r="K90" s="4295"/>
      <c r="L90" s="1215"/>
      <c r="M90" s="1215"/>
      <c r="N90" s="1215"/>
      <c r="O90" s="1215"/>
      <c r="P90" s="1215"/>
      <c r="Q90" s="1215"/>
      <c r="R90" s="1215"/>
      <c r="S90" s="265"/>
      <c r="T90" s="265"/>
      <c r="U90" s="265"/>
      <c r="V90" s="265"/>
      <c r="W90" s="1216"/>
      <c r="Y90" s="1177"/>
      <c r="Z90" s="1177"/>
      <c r="AA90" s="1177"/>
      <c r="AB90" s="1177"/>
      <c r="AC90" s="1177"/>
      <c r="AD90" s="1177"/>
      <c r="AE90" s="1177"/>
      <c r="AF90" s="1177"/>
      <c r="AG90" s="1177"/>
      <c r="AH90" s="1177"/>
      <c r="AI90" s="1177"/>
      <c r="AJ90" s="1177"/>
      <c r="AK90" s="1177"/>
      <c r="AL90" s="1177"/>
      <c r="AM90" s="1177"/>
      <c r="AN90" s="1177"/>
      <c r="AO90" s="1177"/>
      <c r="AP90" s="1177"/>
      <c r="AQ90" s="1177"/>
      <c r="AR90" s="1359">
        <v>0</v>
      </c>
    </row>
    <row r="91" spans="1:44" s="4149" customFormat="1" ht="17.25" hidden="1" customHeight="1">
      <c r="A91" s="257"/>
      <c r="C91" s="256"/>
      <c r="D91" s="4308"/>
      <c r="E91" s="4297"/>
      <c r="F91" s="4311"/>
      <c r="G91" s="4297"/>
      <c r="H91" s="1217"/>
      <c r="I91" s="1218"/>
      <c r="J91" s="1218"/>
      <c r="K91" s="1218"/>
      <c r="L91" s="1218"/>
      <c r="M91" s="1218"/>
      <c r="N91" s="1218"/>
      <c r="O91" s="1218"/>
      <c r="P91" s="1218"/>
      <c r="Q91" s="1218"/>
      <c r="R91" s="1218"/>
      <c r="S91" s="1219"/>
      <c r="T91" s="1219"/>
      <c r="U91" s="1219"/>
      <c r="V91" s="1219"/>
      <c r="W91" s="1220"/>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4149" customFormat="1" ht="17.25" hidden="1" customHeight="1">
      <c r="A92" s="257"/>
      <c r="C92" s="146"/>
      <c r="D92" s="4307">
        <v>2</v>
      </c>
      <c r="E92" s="4296" t="s">
        <v>250</v>
      </c>
      <c r="F92" s="4309" t="s">
        <v>19</v>
      </c>
      <c r="G92" s="4296"/>
      <c r="H92" s="4298"/>
      <c r="I92" s="4300"/>
      <c r="J92" s="4302"/>
      <c r="K92" s="4294"/>
      <c r="L92" s="4294"/>
      <c r="M92" s="4294"/>
      <c r="N92" s="4305"/>
      <c r="O92" s="4294"/>
      <c r="P92" s="4294"/>
      <c r="Q92" s="4294"/>
      <c r="R92" s="4292"/>
      <c r="S92" s="4294"/>
      <c r="T92" s="1361"/>
      <c r="U92" s="1361"/>
      <c r="V92" s="1363"/>
      <c r="W92" s="1214"/>
      <c r="X92" s="1185"/>
      <c r="Y92" s="1185"/>
      <c r="Z92" s="1185"/>
      <c r="AA92" s="1185"/>
      <c r="AB92" s="1185"/>
      <c r="AC92" s="1185" t="s">
        <v>251</v>
      </c>
      <c r="AD92" s="1185" t="s">
        <v>252</v>
      </c>
      <c r="AE92" s="1185" t="s">
        <v>253</v>
      </c>
      <c r="AF92" s="1185" t="s">
        <v>254</v>
      </c>
      <c r="AG92" s="1185"/>
      <c r="AH92" s="1185" t="str">
        <f>IF($E$92=0,"",$E$92)</f>
        <v>Тариф на техническую воду</v>
      </c>
      <c r="AI92" s="1185" t="str">
        <f>IF($G$92=0,"",$G$92)</f>
        <v/>
      </c>
      <c r="AJ92" s="1185" t="str">
        <f>IF($J$92=0,"",$J$92)</f>
        <v/>
      </c>
      <c r="AK92" s="1185" t="str">
        <f>IF($K$92="нет","без дифференциации",IF($N$92=0,"",$N$92))</f>
        <v/>
      </c>
      <c r="AL92" s="1185" t="str">
        <f>IF($O$92="нет","без дифференциации",IF($R$92=0,"",$R$92))</f>
        <v/>
      </c>
      <c r="AM92" s="1185" t="str">
        <f>IF($S$92="нет","без дифференциации",IF($V$92=0,"",$V$92))</f>
        <v/>
      </c>
      <c r="AN92" s="1689">
        <f>$I$92</f>
        <v>0</v>
      </c>
      <c r="AO92" s="1185" t="str">
        <f>$I$92&amp;"."&amp;$M$92</f>
        <v>.</v>
      </c>
      <c r="AP92" s="1177" t="str">
        <f>$I$92&amp;"."&amp;$M$92&amp;"."&amp;$Q$92</f>
        <v>..</v>
      </c>
      <c r="AQ92" s="1177" t="str">
        <f>$I$92&amp;"."&amp;$M$92&amp;"."&amp;$Q$92&amp;"."&amp;$U$92</f>
        <v>...</v>
      </c>
      <c r="AR92" s="1268">
        <v>0</v>
      </c>
    </row>
    <row r="93" spans="1:44" s="4149" customFormat="1" ht="17.25" hidden="1" customHeight="1">
      <c r="A93" s="257"/>
      <c r="C93" s="256"/>
      <c r="D93" s="4307"/>
      <c r="E93" s="4296"/>
      <c r="F93" s="4310"/>
      <c r="G93" s="4296"/>
      <c r="H93" s="4299"/>
      <c r="I93" s="4301"/>
      <c r="J93" s="4303"/>
      <c r="K93" s="4295"/>
      <c r="L93" s="4295"/>
      <c r="M93" s="4295"/>
      <c r="N93" s="4306"/>
      <c r="O93" s="4295"/>
      <c r="P93" s="4295"/>
      <c r="Q93" s="4295"/>
      <c r="R93" s="4293"/>
      <c r="S93" s="4295"/>
      <c r="T93" s="1215"/>
      <c r="U93" s="1215"/>
      <c r="V93" s="1215"/>
      <c r="W93" s="1216"/>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4149" customFormat="1" ht="17.25" hidden="1" customHeight="1">
      <c r="A94" s="257"/>
      <c r="C94" s="256"/>
      <c r="D94" s="4308"/>
      <c r="E94" s="4297"/>
      <c r="F94" s="4310"/>
      <c r="G94" s="4297"/>
      <c r="H94" s="4299"/>
      <c r="I94" s="4301"/>
      <c r="J94" s="4304"/>
      <c r="K94" s="4295"/>
      <c r="L94" s="4295"/>
      <c r="M94" s="4295"/>
      <c r="N94" s="4293"/>
      <c r="O94" s="4295"/>
      <c r="P94" s="1362"/>
      <c r="Q94" s="1215"/>
      <c r="R94" s="1215"/>
      <c r="S94" s="265"/>
      <c r="T94" s="265"/>
      <c r="U94" s="265"/>
      <c r="V94" s="265"/>
      <c r="W94" s="1216"/>
      <c r="X94" s="1177"/>
      <c r="Y94" s="1177"/>
      <c r="Z94" s="1177"/>
      <c r="AA94" s="1177"/>
      <c r="AB94" s="1177"/>
      <c r="AC94" s="1177"/>
      <c r="AD94" s="1177"/>
      <c r="AE94" s="1177"/>
      <c r="AF94" s="1177"/>
      <c r="AG94" s="1177"/>
      <c r="AH94" s="1177"/>
      <c r="AI94" s="1177"/>
      <c r="AJ94" s="1177"/>
      <c r="AK94" s="1177"/>
      <c r="AL94" s="1177"/>
      <c r="AM94" s="1177"/>
      <c r="AN94" s="1177"/>
      <c r="AO94" s="1177"/>
      <c r="AP94" s="1177"/>
      <c r="AQ94" s="1177"/>
      <c r="AR94" s="1268">
        <v>0</v>
      </c>
    </row>
    <row r="95" spans="1:44" s="4149" customFormat="1" ht="17.25" hidden="1" customHeight="1">
      <c r="A95" s="257"/>
      <c r="C95" s="256"/>
      <c r="D95" s="4308"/>
      <c r="E95" s="4297"/>
      <c r="F95" s="4310"/>
      <c r="G95" s="4297"/>
      <c r="H95" s="4299"/>
      <c r="I95" s="4301"/>
      <c r="J95" s="4304"/>
      <c r="K95" s="4295"/>
      <c r="L95" s="1215"/>
      <c r="M95" s="1215"/>
      <c r="N95" s="1215"/>
      <c r="O95" s="1215"/>
      <c r="P95" s="1215"/>
      <c r="Q95" s="1215"/>
      <c r="R95" s="1215"/>
      <c r="S95" s="265"/>
      <c r="T95" s="265"/>
      <c r="U95" s="265"/>
      <c r="V95" s="26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4149" customFormat="1" ht="17.25" hidden="1" customHeight="1">
      <c r="A96" s="257"/>
      <c r="C96" s="256"/>
      <c r="D96" s="4308"/>
      <c r="E96" s="4297"/>
      <c r="F96" s="4311"/>
      <c r="G96" s="4297"/>
      <c r="H96" s="1217"/>
      <c r="I96" s="1218"/>
      <c r="J96" s="1218"/>
      <c r="K96" s="1218"/>
      <c r="L96" s="1218"/>
      <c r="M96" s="1218"/>
      <c r="N96" s="1218"/>
      <c r="O96" s="1218"/>
      <c r="P96" s="1218"/>
      <c r="Q96" s="1218"/>
      <c r="R96" s="1218"/>
      <c r="S96" s="1219"/>
      <c r="T96" s="1219"/>
      <c r="U96" s="1219"/>
      <c r="V96" s="1219"/>
      <c r="W96" s="1220"/>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4149" customFormat="1" ht="17.25" hidden="1" customHeight="1">
      <c r="A97" s="257"/>
      <c r="C97" s="146"/>
      <c r="D97" s="4307">
        <v>3</v>
      </c>
      <c r="E97" s="4296" t="s">
        <v>255</v>
      </c>
      <c r="F97" s="4309" t="s">
        <v>19</v>
      </c>
      <c r="G97" s="4296"/>
      <c r="H97" s="4298"/>
      <c r="I97" s="4300"/>
      <c r="J97" s="4302"/>
      <c r="K97" s="4294"/>
      <c r="L97" s="4294"/>
      <c r="M97" s="4294"/>
      <c r="N97" s="4305"/>
      <c r="O97" s="4294"/>
      <c r="P97" s="4294"/>
      <c r="Q97" s="4294"/>
      <c r="R97" s="4292"/>
      <c r="S97" s="4294"/>
      <c r="T97" s="1361"/>
      <c r="U97" s="1361"/>
      <c r="V97" s="1363"/>
      <c r="W97" s="1214"/>
      <c r="X97" s="1185"/>
      <c r="Y97" s="1185"/>
      <c r="Z97" s="1185"/>
      <c r="AA97" s="1185"/>
      <c r="AB97" s="1185"/>
      <c r="AC97" s="1185" t="s">
        <v>256</v>
      </c>
      <c r="AD97" s="1185" t="s">
        <v>257</v>
      </c>
      <c r="AE97" s="1185" t="s">
        <v>258</v>
      </c>
      <c r="AF97" s="1185" t="s">
        <v>259</v>
      </c>
      <c r="AG97" s="1185"/>
      <c r="AH97" s="1185" t="str">
        <f>IF($E$97=0,"",$E$97)</f>
        <v>Тариф на транспортировку воды</v>
      </c>
      <c r="AI97" s="1185" t="str">
        <f>IF($G$97=0,"",$G$97)</f>
        <v/>
      </c>
      <c r="AJ97" s="1185" t="str">
        <f>IF($J$97=0,"",$J$97)</f>
        <v/>
      </c>
      <c r="AK97" s="1185" t="str">
        <f>IF($K$97="нет","без дифференциации",IF($N$97=0,"",$N$97))</f>
        <v/>
      </c>
      <c r="AL97" s="1185" t="str">
        <f>IF($O$97="нет","без дифференциации",IF($R$97=0,"",$R$97))</f>
        <v/>
      </c>
      <c r="AM97" s="1185" t="str">
        <f>IF($S$97="нет","без дифференциации",IF($V$97=0,"",$V$97))</f>
        <v/>
      </c>
      <c r="AN97" s="1689">
        <f>$I$97</f>
        <v>0</v>
      </c>
      <c r="AO97" s="1185" t="str">
        <f>$I$97&amp;"."&amp;$M$97</f>
        <v>.</v>
      </c>
      <c r="AP97" s="1177" t="str">
        <f>$I$97&amp;"."&amp;$M$97&amp;"."&amp;$Q$97</f>
        <v>..</v>
      </c>
      <c r="AQ97" s="1177" t="str">
        <f>$I$97&amp;"."&amp;$M$97&amp;"."&amp;$Q$97&amp;"."&amp;$U$97</f>
        <v>...</v>
      </c>
      <c r="AR97" s="1268">
        <v>0</v>
      </c>
    </row>
    <row r="98" spans="1:44" s="4149" customFormat="1" ht="17.25" hidden="1" customHeight="1">
      <c r="A98" s="257"/>
      <c r="C98" s="256"/>
      <c r="D98" s="4307"/>
      <c r="E98" s="4296"/>
      <c r="F98" s="4310"/>
      <c r="G98" s="4296"/>
      <c r="H98" s="4299"/>
      <c r="I98" s="4301"/>
      <c r="J98" s="4303"/>
      <c r="K98" s="4295"/>
      <c r="L98" s="4295"/>
      <c r="M98" s="4295"/>
      <c r="N98" s="4306"/>
      <c r="O98" s="4295"/>
      <c r="P98" s="4295"/>
      <c r="Q98" s="4295"/>
      <c r="R98" s="4293"/>
      <c r="S98" s="4295"/>
      <c r="T98" s="1215"/>
      <c r="U98" s="1215"/>
      <c r="V98" s="1215"/>
      <c r="W98" s="1216"/>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4149" customFormat="1" ht="17.25" hidden="1" customHeight="1">
      <c r="A99" s="257"/>
      <c r="C99" s="256"/>
      <c r="D99" s="4308"/>
      <c r="E99" s="4297"/>
      <c r="F99" s="4310"/>
      <c r="G99" s="4297"/>
      <c r="H99" s="4299"/>
      <c r="I99" s="4301"/>
      <c r="J99" s="4304"/>
      <c r="K99" s="4295"/>
      <c r="L99" s="4295"/>
      <c r="M99" s="4295"/>
      <c r="N99" s="4293"/>
      <c r="O99" s="4295"/>
      <c r="P99" s="1362"/>
      <c r="Q99" s="1215"/>
      <c r="R99" s="1215"/>
      <c r="S99" s="265"/>
      <c r="T99" s="265"/>
      <c r="U99" s="265"/>
      <c r="V99" s="265"/>
      <c r="W99" s="1216"/>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268">
        <v>0</v>
      </c>
    </row>
    <row r="100" spans="1:44" s="4149" customFormat="1" ht="17.25" hidden="1" customHeight="1">
      <c r="A100" s="257"/>
      <c r="C100" s="256"/>
      <c r="D100" s="4308"/>
      <c r="E100" s="4297"/>
      <c r="F100" s="4310"/>
      <c r="G100" s="4297"/>
      <c r="H100" s="4299"/>
      <c r="I100" s="4301"/>
      <c r="J100" s="4304"/>
      <c r="K100" s="4295"/>
      <c r="L100" s="1215"/>
      <c r="M100" s="1215"/>
      <c r="N100" s="1215"/>
      <c r="O100" s="1215"/>
      <c r="P100" s="1215"/>
      <c r="Q100" s="1215"/>
      <c r="R100" s="1215"/>
      <c r="S100" s="265"/>
      <c r="T100" s="265"/>
      <c r="U100" s="265"/>
      <c r="V100" s="265"/>
      <c r="W100" s="1216"/>
      <c r="X100" s="1177"/>
      <c r="Y100" s="1177"/>
      <c r="Z100" s="1177"/>
      <c r="AA100" s="1177"/>
      <c r="AB100" s="1177"/>
      <c r="AC100" s="1177"/>
      <c r="AD100" s="1177"/>
      <c r="AE100" s="1177"/>
      <c r="AF100" s="1177"/>
      <c r="AG100" s="1177"/>
      <c r="AH100" s="1177"/>
      <c r="AI100" s="1177"/>
      <c r="AJ100" s="1177"/>
      <c r="AK100" s="1177"/>
      <c r="AL100" s="1177"/>
      <c r="AM100" s="1177"/>
      <c r="AN100" s="1177"/>
      <c r="AO100" s="1177"/>
      <c r="AP100" s="1177"/>
      <c r="AQ100" s="1177"/>
      <c r="AR100" s="1268">
        <v>0</v>
      </c>
    </row>
    <row r="101" spans="1:44" s="4149" customFormat="1" ht="17.25" hidden="1" customHeight="1">
      <c r="A101" s="257"/>
      <c r="C101" s="256"/>
      <c r="D101" s="4308"/>
      <c r="E101" s="4297"/>
      <c r="F101" s="4311"/>
      <c r="G101" s="4297"/>
      <c r="H101" s="1217"/>
      <c r="I101" s="1218"/>
      <c r="J101" s="1218"/>
      <c r="K101" s="1218"/>
      <c r="L101" s="1218"/>
      <c r="M101" s="1218"/>
      <c r="N101" s="1218"/>
      <c r="O101" s="1218"/>
      <c r="P101" s="1218"/>
      <c r="Q101" s="1218"/>
      <c r="R101" s="1218"/>
      <c r="S101" s="1219"/>
      <c r="T101" s="1219"/>
      <c r="U101" s="1219"/>
      <c r="V101" s="1219"/>
      <c r="W101" s="1220"/>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c r="AR101" s="1268">
        <v>0</v>
      </c>
    </row>
    <row r="102" spans="1:44" s="4149" customFormat="1" ht="17.25" hidden="1" customHeight="1">
      <c r="A102" s="257"/>
      <c r="C102" s="146"/>
      <c r="D102" s="4307">
        <v>4</v>
      </c>
      <c r="E102" s="4296" t="s">
        <v>260</v>
      </c>
      <c r="F102" s="4309" t="s">
        <v>19</v>
      </c>
      <c r="G102" s="4296"/>
      <c r="H102" s="4298"/>
      <c r="I102" s="4300"/>
      <c r="J102" s="4302"/>
      <c r="K102" s="4294"/>
      <c r="L102" s="4294"/>
      <c r="M102" s="4294"/>
      <c r="N102" s="4305"/>
      <c r="O102" s="4294"/>
      <c r="P102" s="4294"/>
      <c r="Q102" s="4294"/>
      <c r="R102" s="4292"/>
      <c r="S102" s="4294"/>
      <c r="T102" s="1361"/>
      <c r="U102" s="1361"/>
      <c r="V102" s="1363"/>
      <c r="W102" s="1214"/>
      <c r="X102" s="1185"/>
      <c r="Y102" s="1185"/>
      <c r="Z102" s="1185"/>
      <c r="AA102" s="1185"/>
      <c r="AB102" s="1185"/>
      <c r="AC102" s="1185" t="s">
        <v>261</v>
      </c>
      <c r="AD102" s="1185" t="s">
        <v>262</v>
      </c>
      <c r="AE102" s="1185" t="s">
        <v>263</v>
      </c>
      <c r="AF102" s="1185" t="s">
        <v>264</v>
      </c>
      <c r="AG102" s="1185"/>
      <c r="AH102" s="1185" t="str">
        <f>IF($E$102=0,"",$E$102)</f>
        <v>Тариф на подвоз воды</v>
      </c>
      <c r="AI102" s="1185" t="str">
        <f>IF($G$102=0,"",$G$102)</f>
        <v/>
      </c>
      <c r="AJ102" s="1185" t="str">
        <f>IF($J$102=0,"",$J$102)</f>
        <v/>
      </c>
      <c r="AK102" s="1185" t="str">
        <f>IF($K$102="нет","без дифференциации",IF($N$102=0,"",$N$102))</f>
        <v/>
      </c>
      <c r="AL102" s="1185" t="str">
        <f>IF($O$102="нет","без дифференциации",IF($R$102=0,"",$R$102))</f>
        <v/>
      </c>
      <c r="AM102" s="1185" t="str">
        <f>IF($S$102="нет","без дифференциации",IF($V$102=0,"",$V$102))</f>
        <v/>
      </c>
      <c r="AN102" s="1689">
        <f>$I$102</f>
        <v>0</v>
      </c>
      <c r="AO102" s="1185" t="str">
        <f>$I$102&amp;"."&amp;$M$102</f>
        <v>.</v>
      </c>
      <c r="AP102" s="1177" t="str">
        <f>$I$102&amp;"."&amp;$M$102&amp;"."&amp;$Q$102</f>
        <v>..</v>
      </c>
      <c r="AQ102" s="1177" t="str">
        <f>$I$102&amp;"."&amp;$M$102&amp;"."&amp;$Q$102&amp;"."&amp;$U$102</f>
        <v>...</v>
      </c>
      <c r="AR102" s="1268">
        <v>0</v>
      </c>
    </row>
    <row r="103" spans="1:44" s="4149" customFormat="1" ht="17.25" hidden="1" customHeight="1">
      <c r="A103" s="257"/>
      <c r="C103" s="256"/>
      <c r="D103" s="4307"/>
      <c r="E103" s="4296"/>
      <c r="F103" s="4310"/>
      <c r="G103" s="4296"/>
      <c r="H103" s="4299"/>
      <c r="I103" s="4301"/>
      <c r="J103" s="4303"/>
      <c r="K103" s="4295"/>
      <c r="L103" s="4295"/>
      <c r="M103" s="4295"/>
      <c r="N103" s="4306"/>
      <c r="O103" s="4295"/>
      <c r="P103" s="4295"/>
      <c r="Q103" s="4295"/>
      <c r="R103" s="4293"/>
      <c r="S103" s="4295"/>
      <c r="T103" s="1215"/>
      <c r="U103" s="1215"/>
      <c r="V103" s="1215"/>
      <c r="W103" s="1216"/>
      <c r="X103" s="1177"/>
      <c r="Y103" s="1177"/>
      <c r="Z103" s="1177"/>
      <c r="AA103" s="1177"/>
      <c r="AB103" s="1177"/>
      <c r="AC103" s="1177"/>
      <c r="AD103" s="1177"/>
      <c r="AE103" s="1177"/>
      <c r="AF103" s="1177"/>
      <c r="AG103" s="1177"/>
      <c r="AH103" s="1177"/>
      <c r="AI103" s="1177"/>
      <c r="AJ103" s="1177"/>
      <c r="AK103" s="1177"/>
      <c r="AL103" s="1177"/>
      <c r="AM103" s="1177"/>
      <c r="AN103" s="1177"/>
      <c r="AO103" s="1177"/>
      <c r="AP103" s="1177"/>
      <c r="AQ103" s="1177"/>
      <c r="AR103" s="1268">
        <v>0</v>
      </c>
    </row>
    <row r="104" spans="1:44" s="4149" customFormat="1" ht="17.25" hidden="1" customHeight="1">
      <c r="A104" s="257"/>
      <c r="C104" s="256"/>
      <c r="D104" s="4308"/>
      <c r="E104" s="4297"/>
      <c r="F104" s="4310"/>
      <c r="G104" s="4297"/>
      <c r="H104" s="4299"/>
      <c r="I104" s="4301"/>
      <c r="J104" s="4304"/>
      <c r="K104" s="4295"/>
      <c r="L104" s="4295"/>
      <c r="M104" s="4295"/>
      <c r="N104" s="4293"/>
      <c r="O104" s="4295"/>
      <c r="P104" s="1362"/>
      <c r="Q104" s="1215"/>
      <c r="R104" s="1215"/>
      <c r="S104" s="265"/>
      <c r="T104" s="265"/>
      <c r="U104" s="265"/>
      <c r="V104" s="265"/>
      <c r="W104" s="1216"/>
      <c r="X104" s="1177"/>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268">
        <v>0</v>
      </c>
    </row>
    <row r="105" spans="1:44" s="4149" customFormat="1" ht="17.25" hidden="1" customHeight="1">
      <c r="A105" s="257"/>
      <c r="C105" s="256"/>
      <c r="D105" s="4308"/>
      <c r="E105" s="4297"/>
      <c r="F105" s="4310"/>
      <c r="G105" s="4297"/>
      <c r="H105" s="4299"/>
      <c r="I105" s="4301"/>
      <c r="J105" s="4304"/>
      <c r="K105" s="4295"/>
      <c r="L105" s="1215"/>
      <c r="M105" s="1215"/>
      <c r="N105" s="1215"/>
      <c r="O105" s="1215"/>
      <c r="P105" s="1215"/>
      <c r="Q105" s="1215"/>
      <c r="R105" s="1215"/>
      <c r="S105" s="265"/>
      <c r="T105" s="265"/>
      <c r="U105" s="265"/>
      <c r="V105" s="265"/>
      <c r="W105" s="1216"/>
      <c r="X105" s="1177"/>
      <c r="Y105" s="1177"/>
      <c r="Z105" s="1177"/>
      <c r="AA105" s="1177"/>
      <c r="AB105" s="1177"/>
      <c r="AC105" s="1177"/>
      <c r="AD105" s="1177"/>
      <c r="AE105" s="1177"/>
      <c r="AF105" s="1177"/>
      <c r="AG105" s="1177"/>
      <c r="AH105" s="1177"/>
      <c r="AI105" s="1177"/>
      <c r="AJ105" s="1177"/>
      <c r="AK105" s="1177"/>
      <c r="AL105" s="1177"/>
      <c r="AM105" s="1177"/>
      <c r="AN105" s="1177"/>
      <c r="AO105" s="1177"/>
      <c r="AP105" s="1177"/>
      <c r="AQ105" s="1177"/>
      <c r="AR105" s="1268">
        <v>0</v>
      </c>
    </row>
    <row r="106" spans="1:44" s="4149" customFormat="1" ht="17.25" hidden="1" customHeight="1">
      <c r="A106" s="257"/>
      <c r="C106" s="256"/>
      <c r="D106" s="4308"/>
      <c r="E106" s="4297"/>
      <c r="F106" s="4311"/>
      <c r="G106" s="4297"/>
      <c r="H106" s="1217"/>
      <c r="I106" s="1218"/>
      <c r="J106" s="1218"/>
      <c r="K106" s="1218"/>
      <c r="L106" s="1218"/>
      <c r="M106" s="1218"/>
      <c r="N106" s="1218"/>
      <c r="O106" s="1218"/>
      <c r="P106" s="1218"/>
      <c r="Q106" s="1218"/>
      <c r="R106" s="1218"/>
      <c r="S106" s="1219"/>
      <c r="T106" s="1219"/>
      <c r="U106" s="1219"/>
      <c r="V106" s="1219"/>
      <c r="W106" s="1220"/>
      <c r="X106" s="1177"/>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268">
        <v>0</v>
      </c>
    </row>
    <row r="107" spans="1:44" s="4149" customFormat="1" ht="17.25" hidden="1" customHeight="1">
      <c r="A107" s="257"/>
      <c r="C107" s="146"/>
      <c r="D107" s="4307">
        <v>5</v>
      </c>
      <c r="E107" s="4296" t="s">
        <v>265</v>
      </c>
      <c r="F107" s="4309" t="s">
        <v>19</v>
      </c>
      <c r="G107" s="4296"/>
      <c r="H107" s="4298"/>
      <c r="I107" s="4300"/>
      <c r="J107" s="4302"/>
      <c r="K107" s="4294"/>
      <c r="L107" s="4294"/>
      <c r="M107" s="4294"/>
      <c r="N107" s="4305"/>
      <c r="O107" s="4294"/>
      <c r="P107" s="4294"/>
      <c r="Q107" s="4294"/>
      <c r="R107" s="4292"/>
      <c r="S107" s="4294"/>
      <c r="T107" s="1855"/>
      <c r="U107" s="1855"/>
      <c r="V107" s="1857"/>
      <c r="W107" s="1214"/>
      <c r="X107" s="1185"/>
      <c r="Y107" s="1185"/>
      <c r="Z107" s="1185"/>
      <c r="AA107" s="1185"/>
      <c r="AB107" s="1185"/>
      <c r="AC107" s="1185" t="s">
        <v>266</v>
      </c>
      <c r="AD107" s="1185" t="s">
        <v>267</v>
      </c>
      <c r="AE107" s="1185" t="s">
        <v>268</v>
      </c>
      <c r="AF107" s="1185" t="s">
        <v>269</v>
      </c>
      <c r="AG107" s="1185"/>
      <c r="AH107" s="1185" t="str">
        <f>IF($E$107=0,"",$E$107)</f>
        <v>Тариф на подключение (технологическое присоединение) к централизованной системе холодного водоснабжения</v>
      </c>
      <c r="AI107" s="1185" t="str">
        <f>IF($G$107=0,"",$G$107)</f>
        <v/>
      </c>
      <c r="AJ107" s="1185" t="str">
        <f>IF($J$107=0,"",$J$107)</f>
        <v/>
      </c>
      <c r="AK107" s="1185" t="str">
        <f>IF($K$107="нет","без дифференциации",IF($N$107=0,"",$N$107))</f>
        <v/>
      </c>
      <c r="AL107" s="1185" t="str">
        <f>IF($O$107="нет","без дифференциации",IF($R$107=0,"",$R$107))</f>
        <v/>
      </c>
      <c r="AM107" s="1185" t="str">
        <f>IF($S$107="нет","без дифференциации",IF($V$107=0,"",$V$107))</f>
        <v/>
      </c>
      <c r="AN107" s="1689">
        <f>$I$107</f>
        <v>0</v>
      </c>
      <c r="AO107" s="1185" t="str">
        <f>$I$107&amp;"."&amp;$M$107</f>
        <v>.</v>
      </c>
      <c r="AP107" s="1184" t="str">
        <f>$I$107&amp;"."&amp;$M$107&amp;"."&amp;$Q$107</f>
        <v>..</v>
      </c>
      <c r="AQ107" s="1184" t="str">
        <f>$I$107&amp;"."&amp;$M$107&amp;"."&amp;$Q$107&amp;"."&amp;$U$107</f>
        <v>...</v>
      </c>
      <c r="AR107" s="1385">
        <v>0</v>
      </c>
    </row>
    <row r="108" spans="1:44" s="4149" customFormat="1" ht="17.25" hidden="1" customHeight="1">
      <c r="A108" s="257"/>
      <c r="C108" s="256"/>
      <c r="D108" s="4307"/>
      <c r="E108" s="4296"/>
      <c r="F108" s="4310"/>
      <c r="G108" s="4296"/>
      <c r="H108" s="4299"/>
      <c r="I108" s="4301"/>
      <c r="J108" s="4303"/>
      <c r="K108" s="4295"/>
      <c r="L108" s="4295"/>
      <c r="M108" s="4295"/>
      <c r="N108" s="4306"/>
      <c r="O108" s="4295"/>
      <c r="P108" s="4295"/>
      <c r="Q108" s="4295"/>
      <c r="R108" s="4293"/>
      <c r="S108" s="4295"/>
      <c r="T108" s="1860"/>
      <c r="U108" s="1860"/>
      <c r="V108" s="1860"/>
      <c r="W108" s="1861"/>
      <c r="X108" s="1184"/>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85">
        <v>0</v>
      </c>
    </row>
    <row r="109" spans="1:44" s="4149" customFormat="1" ht="17.25" hidden="1" customHeight="1">
      <c r="A109" s="257"/>
      <c r="C109" s="256"/>
      <c r="D109" s="4308"/>
      <c r="E109" s="4297"/>
      <c r="F109" s="4310"/>
      <c r="G109" s="4297"/>
      <c r="H109" s="4299"/>
      <c r="I109" s="4301"/>
      <c r="J109" s="4304"/>
      <c r="K109" s="4295"/>
      <c r="L109" s="4295"/>
      <c r="M109" s="4295"/>
      <c r="N109" s="4293"/>
      <c r="O109" s="4295"/>
      <c r="P109" s="1856"/>
      <c r="Q109" s="1860"/>
      <c r="R109" s="1860"/>
      <c r="S109" s="265"/>
      <c r="T109" s="265"/>
      <c r="U109" s="265"/>
      <c r="V109" s="265"/>
      <c r="W109" s="1861"/>
      <c r="X109" s="1184"/>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85">
        <v>0</v>
      </c>
    </row>
    <row r="110" spans="1:44" s="4149" customFormat="1" ht="17.25" hidden="1" customHeight="1">
      <c r="A110" s="257"/>
      <c r="C110" s="256"/>
      <c r="D110" s="4308"/>
      <c r="E110" s="4297"/>
      <c r="F110" s="4310"/>
      <c r="G110" s="4297"/>
      <c r="H110" s="4299"/>
      <c r="I110" s="4301"/>
      <c r="J110" s="4304"/>
      <c r="K110" s="4295"/>
      <c r="L110" s="1860"/>
      <c r="M110" s="1860"/>
      <c r="N110" s="1860"/>
      <c r="O110" s="1860"/>
      <c r="P110" s="1860"/>
      <c r="Q110" s="1860"/>
      <c r="R110" s="1860"/>
      <c r="S110" s="265"/>
      <c r="T110" s="265"/>
      <c r="U110" s="265"/>
      <c r="V110" s="265"/>
      <c r="W110" s="1861"/>
      <c r="X110" s="1184"/>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c r="AR110" s="1385">
        <v>0</v>
      </c>
    </row>
    <row r="111" spans="1:44" s="4149" customFormat="1" ht="17.25" hidden="1" customHeight="1">
      <c r="A111" s="257"/>
      <c r="C111" s="256"/>
      <c r="D111" s="4308"/>
      <c r="E111" s="4297"/>
      <c r="F111" s="4311"/>
      <c r="G111" s="4297"/>
      <c r="H111" s="1217"/>
      <c r="I111" s="1858"/>
      <c r="J111" s="1858"/>
      <c r="K111" s="1858"/>
      <c r="L111" s="1858"/>
      <c r="M111" s="1858"/>
      <c r="N111" s="1858"/>
      <c r="O111" s="1858"/>
      <c r="P111" s="1858"/>
      <c r="Q111" s="1858"/>
      <c r="R111" s="1858"/>
      <c r="S111" s="1219"/>
      <c r="T111" s="1219"/>
      <c r="U111" s="1219"/>
      <c r="V111" s="1219"/>
      <c r="W111" s="1859"/>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85">
        <v>0</v>
      </c>
    </row>
    <row r="112" spans="1:44" s="4149" customFormat="1" ht="11.25" hidden="1" customHeight="1">
      <c r="A112" s="213"/>
      <c r="B112" s="213"/>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4149" customFormat="1" ht="17.25" hidden="1" customHeight="1">
      <c r="A113" s="257"/>
      <c r="C113" s="146"/>
      <c r="D113" s="4307">
        <v>1</v>
      </c>
      <c r="E113" s="4296" t="s">
        <v>270</v>
      </c>
      <c r="F113" s="4309" t="s">
        <v>19</v>
      </c>
      <c r="G113" s="4296"/>
      <c r="H113" s="4298"/>
      <c r="I113" s="4300"/>
      <c r="J113" s="4302"/>
      <c r="K113" s="4294"/>
      <c r="L113" s="4294"/>
      <c r="M113" s="4294"/>
      <c r="N113" s="4305"/>
      <c r="O113" s="4294"/>
      <c r="P113" s="4294"/>
      <c r="Q113" s="4294"/>
      <c r="R113" s="4292"/>
      <c r="S113" s="4294"/>
      <c r="T113" s="1388"/>
      <c r="U113" s="1388"/>
      <c r="V113" s="1390"/>
      <c r="W113" s="1214"/>
      <c r="Y113" s="1185"/>
      <c r="Z113" s="1185"/>
      <c r="AA113" s="1185"/>
      <c r="AB113" s="1185"/>
      <c r="AC113" s="1185" t="s">
        <v>271</v>
      </c>
      <c r="AD113" s="1185" t="s">
        <v>272</v>
      </c>
      <c r="AE113" s="1185" t="s">
        <v>273</v>
      </c>
      <c r="AF113" s="1185" t="s">
        <v>274</v>
      </c>
      <c r="AG113" s="1185"/>
      <c r="AH113" s="1185" t="str">
        <f>IF($E$113=0,"",$E$113)</f>
        <v>Тариф на горячую воду (горячее водоснабжение)</v>
      </c>
      <c r="AI113" s="1185" t="str">
        <f>IF($G$113=0,"",$G$113)</f>
        <v/>
      </c>
      <c r="AJ113" s="1185" t="str">
        <f>IF($J$113=0,"",$J$113)</f>
        <v/>
      </c>
      <c r="AK113" s="1185" t="str">
        <f>IF($K$113="нет","без дифференциации",IF($N$113=0,"",$N$113))</f>
        <v/>
      </c>
      <c r="AL113" s="1185" t="str">
        <f>IF($O$113="нет","без дифференциации",IF($R$113=0,"",$R$113))</f>
        <v/>
      </c>
      <c r="AM113" s="1185" t="str">
        <f>IF($S$113="нет","без дифференциации",IF($V$113=0,"",$V$113))</f>
        <v/>
      </c>
      <c r="AN113" s="1185">
        <f>$I$113</f>
        <v>0</v>
      </c>
      <c r="AO113" s="1185" t="str">
        <f>$I$113&amp;"."&amp;$M$113</f>
        <v>.</v>
      </c>
      <c r="AP113" s="1185" t="str">
        <f>$I$113&amp;"."&amp;$M$113&amp;"."&amp;$Q$113</f>
        <v>..</v>
      </c>
      <c r="AQ113" s="1185" t="str">
        <f>$I$113&amp;"."&amp;$M$113&amp;"."&amp;$Q$113&amp;"."&amp;$U$113</f>
        <v>...</v>
      </c>
      <c r="AR113" s="1385">
        <v>0</v>
      </c>
    </row>
    <row r="114" spans="1:44" s="4149" customFormat="1" ht="17.25" hidden="1" customHeight="1">
      <c r="A114" s="257"/>
      <c r="C114" s="256"/>
      <c r="D114" s="4307"/>
      <c r="E114" s="4296"/>
      <c r="F114" s="4310"/>
      <c r="G114" s="4296"/>
      <c r="H114" s="4299"/>
      <c r="I114" s="4301"/>
      <c r="J114" s="4303"/>
      <c r="K114" s="4295"/>
      <c r="L114" s="4295"/>
      <c r="M114" s="4295"/>
      <c r="N114" s="4306"/>
      <c r="O114" s="4295"/>
      <c r="P114" s="4295"/>
      <c r="Q114" s="4295"/>
      <c r="R114" s="4293"/>
      <c r="S114" s="4295"/>
      <c r="T114" s="1215"/>
      <c r="U114" s="1215"/>
      <c r="V114" s="1215"/>
      <c r="W114" s="1216"/>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4149" customFormat="1" ht="17.25" hidden="1" customHeight="1">
      <c r="A115" s="257"/>
      <c r="C115" s="146"/>
      <c r="D115" s="4307"/>
      <c r="E115" s="4296"/>
      <c r="F115" s="4310"/>
      <c r="G115" s="4296"/>
      <c r="H115" s="4299"/>
      <c r="I115" s="4301"/>
      <c r="J115" s="4304"/>
      <c r="K115" s="4295"/>
      <c r="L115" s="4295"/>
      <c r="M115" s="4295"/>
      <c r="N115" s="4293"/>
      <c r="O115" s="4295"/>
      <c r="P115" s="1389"/>
      <c r="Q115" s="1215"/>
      <c r="R115" s="1215"/>
      <c r="S115" s="265"/>
      <c r="T115" s="265"/>
      <c r="U115" s="265"/>
      <c r="V115" s="265"/>
      <c r="W115" s="1216"/>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385">
        <v>0</v>
      </c>
    </row>
    <row r="116" spans="1:44" s="4149" customFormat="1" ht="17.25" hidden="1" customHeight="1">
      <c r="A116" s="257"/>
      <c r="C116" s="256"/>
      <c r="D116" s="4307"/>
      <c r="E116" s="4296"/>
      <c r="F116" s="4310"/>
      <c r="G116" s="4296"/>
      <c r="H116" s="4299"/>
      <c r="I116" s="4301"/>
      <c r="J116" s="4304"/>
      <c r="K116" s="4295"/>
      <c r="L116" s="1215"/>
      <c r="M116" s="1215"/>
      <c r="N116" s="1215"/>
      <c r="O116" s="1215"/>
      <c r="P116" s="1215"/>
      <c r="Q116" s="1215"/>
      <c r="R116" s="1215"/>
      <c r="S116" s="265"/>
      <c r="T116" s="265"/>
      <c r="U116" s="265"/>
      <c r="V116" s="265"/>
      <c r="W116" s="1216"/>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385">
        <v>0</v>
      </c>
    </row>
    <row r="117" spans="1:44" s="4149" customFormat="1" ht="17.25" hidden="1" customHeight="1">
      <c r="A117" s="257"/>
      <c r="C117" s="256"/>
      <c r="D117" s="4308"/>
      <c r="E117" s="4297"/>
      <c r="F117" s="4311"/>
      <c r="G117" s="4297"/>
      <c r="H117" s="1217"/>
      <c r="I117" s="1218"/>
      <c r="J117" s="1218"/>
      <c r="K117" s="1218"/>
      <c r="L117" s="1218"/>
      <c r="M117" s="1218"/>
      <c r="N117" s="1218"/>
      <c r="O117" s="1218"/>
      <c r="P117" s="1218"/>
      <c r="Q117" s="1218"/>
      <c r="R117" s="1218"/>
      <c r="S117" s="1219"/>
      <c r="T117" s="1219"/>
      <c r="U117" s="1219"/>
      <c r="V117" s="1219"/>
      <c r="W117" s="1220"/>
      <c r="Y117" s="1177"/>
      <c r="Z117" s="1177"/>
      <c r="AA117" s="1177"/>
      <c r="AB117" s="1177"/>
      <c r="AC117" s="1177"/>
      <c r="AD117" s="1177"/>
      <c r="AE117" s="1177"/>
      <c r="AF117" s="1177"/>
      <c r="AG117" s="1177"/>
      <c r="AH117" s="1177"/>
      <c r="AI117" s="1177"/>
      <c r="AJ117" s="1177"/>
      <c r="AK117" s="1177"/>
      <c r="AL117" s="1177"/>
      <c r="AM117" s="1177"/>
      <c r="AN117" s="1177"/>
      <c r="AO117" s="1177"/>
      <c r="AP117" s="1177"/>
      <c r="AQ117" s="1177"/>
      <c r="AR117" s="1385">
        <v>0</v>
      </c>
    </row>
    <row r="118" spans="1:44" s="4149" customFormat="1" ht="17.25" hidden="1" customHeight="1">
      <c r="A118" s="257"/>
      <c r="C118" s="146"/>
      <c r="D118" s="4307">
        <v>2</v>
      </c>
      <c r="E118" s="4296" t="s">
        <v>275</v>
      </c>
      <c r="F118" s="4309" t="s">
        <v>19</v>
      </c>
      <c r="G118" s="4296"/>
      <c r="H118" s="4298"/>
      <c r="I118" s="4300"/>
      <c r="J118" s="4302"/>
      <c r="K118" s="4294"/>
      <c r="L118" s="4294"/>
      <c r="M118" s="4294"/>
      <c r="N118" s="4305"/>
      <c r="O118" s="4294"/>
      <c r="P118" s="4294"/>
      <c r="Q118" s="4294"/>
      <c r="R118" s="4292"/>
      <c r="S118" s="4294"/>
      <c r="T118" s="1388"/>
      <c r="U118" s="1388"/>
      <c r="V118" s="1390"/>
      <c r="W118" s="1214"/>
      <c r="X118" s="1185"/>
      <c r="Y118" s="1185"/>
      <c r="Z118" s="1185"/>
      <c r="AA118" s="1185"/>
      <c r="AB118" s="1185"/>
      <c r="AC118" s="1185" t="s">
        <v>276</v>
      </c>
      <c r="AD118" s="1185" t="s">
        <v>277</v>
      </c>
      <c r="AE118" s="1185" t="s">
        <v>278</v>
      </c>
      <c r="AF118" s="1185" t="s">
        <v>279</v>
      </c>
      <c r="AG118" s="1185"/>
      <c r="AH118" s="1185" t="str">
        <f>IF($E$118=0,"",$E$118)</f>
        <v>Тариф на транспортировку горячей воды</v>
      </c>
      <c r="AI118" s="1185" t="str">
        <f>IF($G$118=0,"",$G$118)</f>
        <v/>
      </c>
      <c r="AJ118" s="1185" t="str">
        <f>IF($J$118=0,"",$J$118)</f>
        <v/>
      </c>
      <c r="AK118" s="1185" t="str">
        <f>IF($K$118="нет","без дифференциации",IF($N$118=0,"",$N$118))</f>
        <v/>
      </c>
      <c r="AL118" s="1185" t="str">
        <f>IF($O$118="нет","без дифференциации",IF($R$118=0,"",$R$118))</f>
        <v/>
      </c>
      <c r="AM118" s="1185" t="str">
        <f>IF($S$118="нет","без дифференциации",IF($V$118=0,"",$V$118))</f>
        <v/>
      </c>
      <c r="AN118" s="1689">
        <f>$I$118</f>
        <v>0</v>
      </c>
      <c r="AO118" s="1185" t="str">
        <f>$I$118&amp;"."&amp;$M$118</f>
        <v>.</v>
      </c>
      <c r="AP118" s="1177" t="str">
        <f>$I$118&amp;"."&amp;$M$118&amp;"."&amp;$Q$118</f>
        <v>..</v>
      </c>
      <c r="AQ118" s="1177" t="str">
        <f>$I$118&amp;"."&amp;$M$118&amp;"."&amp;$Q$118&amp;"."&amp;$U$118</f>
        <v>...</v>
      </c>
      <c r="AR118" s="1385">
        <v>0</v>
      </c>
    </row>
    <row r="119" spans="1:44" s="4149" customFormat="1" ht="17.25" hidden="1" customHeight="1">
      <c r="A119" s="257"/>
      <c r="C119" s="256"/>
      <c r="D119" s="4307"/>
      <c r="E119" s="4296"/>
      <c r="F119" s="4310"/>
      <c r="G119" s="4296"/>
      <c r="H119" s="4299"/>
      <c r="I119" s="4301"/>
      <c r="J119" s="4303"/>
      <c r="K119" s="4295"/>
      <c r="L119" s="4295"/>
      <c r="M119" s="4295"/>
      <c r="N119" s="4306"/>
      <c r="O119" s="4295"/>
      <c r="P119" s="4295"/>
      <c r="Q119" s="4295"/>
      <c r="R119" s="4293"/>
      <c r="S119" s="4295"/>
      <c r="T119" s="1215"/>
      <c r="U119" s="1215"/>
      <c r="V119" s="1215"/>
      <c r="W119" s="1216"/>
      <c r="X119" s="1177"/>
      <c r="Y119" s="1177"/>
      <c r="Z119" s="1177"/>
      <c r="AA119" s="1177"/>
      <c r="AB119" s="1177"/>
      <c r="AC119" s="1177"/>
      <c r="AD119" s="1177"/>
      <c r="AE119" s="1177"/>
      <c r="AF119" s="1177"/>
      <c r="AG119" s="1177"/>
      <c r="AH119" s="1177"/>
      <c r="AI119" s="1177"/>
      <c r="AJ119" s="1177"/>
      <c r="AK119" s="1177"/>
      <c r="AL119" s="1177"/>
      <c r="AM119" s="1177"/>
      <c r="AN119" s="1177"/>
      <c r="AO119" s="1177"/>
      <c r="AP119" s="1177"/>
      <c r="AQ119" s="1177"/>
      <c r="AR119" s="1385">
        <v>0</v>
      </c>
    </row>
    <row r="120" spans="1:44" s="4149" customFormat="1" ht="17.25" hidden="1" customHeight="1">
      <c r="A120" s="257"/>
      <c r="C120" s="256"/>
      <c r="D120" s="4308"/>
      <c r="E120" s="4297"/>
      <c r="F120" s="4310"/>
      <c r="G120" s="4297"/>
      <c r="H120" s="4299"/>
      <c r="I120" s="4301"/>
      <c r="J120" s="4304"/>
      <c r="K120" s="4295"/>
      <c r="L120" s="4295"/>
      <c r="M120" s="4295"/>
      <c r="N120" s="4293"/>
      <c r="O120" s="4295"/>
      <c r="P120" s="1389"/>
      <c r="Q120" s="1215"/>
      <c r="R120" s="1215"/>
      <c r="S120" s="265"/>
      <c r="T120" s="265"/>
      <c r="U120" s="265"/>
      <c r="V120" s="265"/>
      <c r="W120" s="1216"/>
      <c r="X120" s="1177"/>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4149" customFormat="1" ht="17.25" hidden="1" customHeight="1">
      <c r="A121" s="257"/>
      <c r="C121" s="256"/>
      <c r="D121" s="4308"/>
      <c r="E121" s="4297"/>
      <c r="F121" s="4310"/>
      <c r="G121" s="4297"/>
      <c r="H121" s="4299"/>
      <c r="I121" s="4301"/>
      <c r="J121" s="4304"/>
      <c r="K121" s="4295"/>
      <c r="L121" s="1215"/>
      <c r="M121" s="1215"/>
      <c r="N121" s="1215"/>
      <c r="O121" s="1215"/>
      <c r="P121" s="1215"/>
      <c r="Q121" s="1215"/>
      <c r="R121" s="1215"/>
      <c r="S121" s="265"/>
      <c r="T121" s="265"/>
      <c r="U121" s="265"/>
      <c r="V121" s="265"/>
      <c r="W121" s="1216"/>
      <c r="X121" s="1177"/>
      <c r="Y121" s="1177"/>
      <c r="Z121" s="1177"/>
      <c r="AA121" s="1177"/>
      <c r="AB121" s="1177"/>
      <c r="AC121" s="1177"/>
      <c r="AD121" s="1177"/>
      <c r="AE121" s="1177"/>
      <c r="AF121" s="1177"/>
      <c r="AG121" s="1177"/>
      <c r="AH121" s="1177"/>
      <c r="AI121" s="1177"/>
      <c r="AJ121" s="1177"/>
      <c r="AK121" s="1177"/>
      <c r="AL121" s="1177"/>
      <c r="AM121" s="1177"/>
      <c r="AN121" s="1177"/>
      <c r="AO121" s="1177"/>
      <c r="AP121" s="1177"/>
      <c r="AQ121" s="1177"/>
      <c r="AR121" s="1385">
        <v>0</v>
      </c>
    </row>
    <row r="122" spans="1:44" s="4149" customFormat="1" ht="17.25" hidden="1" customHeight="1">
      <c r="A122" s="257"/>
      <c r="C122" s="256"/>
      <c r="D122" s="4308"/>
      <c r="E122" s="4297"/>
      <c r="F122" s="4311"/>
      <c r="G122" s="4297"/>
      <c r="H122" s="1217"/>
      <c r="I122" s="1218"/>
      <c r="J122" s="1218"/>
      <c r="K122" s="1218"/>
      <c r="L122" s="1218"/>
      <c r="M122" s="1218"/>
      <c r="N122" s="1218"/>
      <c r="O122" s="1218"/>
      <c r="P122" s="1218"/>
      <c r="Q122" s="1218"/>
      <c r="R122" s="1218"/>
      <c r="S122" s="1219"/>
      <c r="T122" s="1219"/>
      <c r="U122" s="1219"/>
      <c r="V122" s="1219"/>
      <c r="W122" s="1220"/>
      <c r="X122" s="1177"/>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4149" customFormat="1" ht="17.25" hidden="1" customHeight="1">
      <c r="A123" s="257"/>
      <c r="C123" s="146"/>
      <c r="D123" s="4307">
        <v>3</v>
      </c>
      <c r="E123" s="4296" t="s">
        <v>280</v>
      </c>
      <c r="F123" s="4309" t="s">
        <v>19</v>
      </c>
      <c r="G123" s="4296"/>
      <c r="H123" s="4298"/>
      <c r="I123" s="4300"/>
      <c r="J123" s="4302"/>
      <c r="K123" s="4294"/>
      <c r="L123" s="4294"/>
      <c r="M123" s="4294"/>
      <c r="N123" s="4305"/>
      <c r="O123" s="4294"/>
      <c r="P123" s="4294"/>
      <c r="Q123" s="4294"/>
      <c r="R123" s="4292"/>
      <c r="S123" s="4294"/>
      <c r="T123" s="1855"/>
      <c r="U123" s="1855"/>
      <c r="V123" s="1857"/>
      <c r="W123" s="1214"/>
      <c r="X123" s="1185"/>
      <c r="Y123" s="1185"/>
      <c r="Z123" s="1185"/>
      <c r="AA123" s="1185"/>
      <c r="AB123" s="1185"/>
      <c r="AC123" s="1185" t="s">
        <v>281</v>
      </c>
      <c r="AD123" s="1185" t="s">
        <v>282</v>
      </c>
      <c r="AE123" s="1185" t="s">
        <v>283</v>
      </c>
      <c r="AF123" s="1185" t="s">
        <v>284</v>
      </c>
      <c r="AG123" s="1185"/>
      <c r="AH123" s="1185" t="str">
        <f>IF($E$123=0,"",$E$123)</f>
        <v>Тариф на подключение (технологическое присоединение) к централизованной системе горячего водоснабжения</v>
      </c>
      <c r="AI123" s="1185" t="str">
        <f>IF($G$123=0,"",$G$123)</f>
        <v/>
      </c>
      <c r="AJ123" s="1185" t="str">
        <f>IF($J$123=0,"",$J$123)</f>
        <v/>
      </c>
      <c r="AK123" s="1185" t="str">
        <f>IF($K$123="нет","без дифференциации",IF($N$123=0,"",$N$123))</f>
        <v/>
      </c>
      <c r="AL123" s="1185" t="str">
        <f>IF($O$123="нет","без дифференциации",IF($R$123=0,"",$R$123))</f>
        <v/>
      </c>
      <c r="AM123" s="1185" t="str">
        <f>IF($S$123="нет","без дифференциации",IF($V$123=0,"",$V$123))</f>
        <v/>
      </c>
      <c r="AN123" s="1689">
        <f>$I$123</f>
        <v>0</v>
      </c>
      <c r="AO123" s="1185" t="str">
        <f>$I$123&amp;"."&amp;$M$123</f>
        <v>.</v>
      </c>
      <c r="AP123" s="1184" t="str">
        <f>$I$123&amp;"."&amp;$M$123&amp;"."&amp;$Q$123</f>
        <v>..</v>
      </c>
      <c r="AQ123" s="1184" t="str">
        <f>$I$123&amp;"."&amp;$M$123&amp;"."&amp;$Q$123&amp;"."&amp;$U$123</f>
        <v>...</v>
      </c>
      <c r="AR123" s="1385">
        <v>0</v>
      </c>
    </row>
    <row r="124" spans="1:44" s="4149" customFormat="1" ht="17.25" hidden="1" customHeight="1">
      <c r="A124" s="257"/>
      <c r="C124" s="256"/>
      <c r="D124" s="4307"/>
      <c r="E124" s="4296"/>
      <c r="F124" s="4310"/>
      <c r="G124" s="4296"/>
      <c r="H124" s="4299"/>
      <c r="I124" s="4301"/>
      <c r="J124" s="4303"/>
      <c r="K124" s="4295"/>
      <c r="L124" s="4295"/>
      <c r="M124" s="4295"/>
      <c r="N124" s="4306"/>
      <c r="O124" s="4295"/>
      <c r="P124" s="4295"/>
      <c r="Q124" s="4295"/>
      <c r="R124" s="4293"/>
      <c r="S124" s="4295"/>
      <c r="T124" s="1860"/>
      <c r="U124" s="1860"/>
      <c r="V124" s="1860"/>
      <c r="W124" s="1861"/>
      <c r="X124" s="1184"/>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85">
        <v>0</v>
      </c>
    </row>
    <row r="125" spans="1:44" s="4149" customFormat="1" ht="17.25" hidden="1" customHeight="1">
      <c r="A125" s="257"/>
      <c r="C125" s="256"/>
      <c r="D125" s="4308"/>
      <c r="E125" s="4297"/>
      <c r="F125" s="4310"/>
      <c r="G125" s="4297"/>
      <c r="H125" s="4299"/>
      <c r="I125" s="4301"/>
      <c r="J125" s="4304"/>
      <c r="K125" s="4295"/>
      <c r="L125" s="4295"/>
      <c r="M125" s="4295"/>
      <c r="N125" s="4293"/>
      <c r="O125" s="4295"/>
      <c r="P125" s="1856"/>
      <c r="Q125" s="1860"/>
      <c r="R125" s="1860"/>
      <c r="S125" s="265"/>
      <c r="T125" s="265"/>
      <c r="U125" s="265"/>
      <c r="V125" s="265"/>
      <c r="W125" s="1861"/>
      <c r="X125" s="1184"/>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85">
        <v>0</v>
      </c>
    </row>
    <row r="126" spans="1:44" s="4149" customFormat="1" ht="17.25" hidden="1" customHeight="1">
      <c r="A126" s="257"/>
      <c r="C126" s="256"/>
      <c r="D126" s="4308"/>
      <c r="E126" s="4297"/>
      <c r="F126" s="4310"/>
      <c r="G126" s="4297"/>
      <c r="H126" s="4299"/>
      <c r="I126" s="4301"/>
      <c r="J126" s="4304"/>
      <c r="K126" s="4295"/>
      <c r="L126" s="1860"/>
      <c r="M126" s="1860"/>
      <c r="N126" s="1860"/>
      <c r="O126" s="1860"/>
      <c r="P126" s="1860"/>
      <c r="Q126" s="1860"/>
      <c r="R126" s="1860"/>
      <c r="S126" s="265"/>
      <c r="T126" s="265"/>
      <c r="U126" s="265"/>
      <c r="V126" s="265"/>
      <c r="W126" s="1861"/>
      <c r="X126" s="1184"/>
      <c r="Y126" s="1184"/>
      <c r="Z126" s="1184"/>
      <c r="AA126" s="1184"/>
      <c r="AB126" s="1184"/>
      <c r="AC126" s="1184"/>
      <c r="AD126" s="1184"/>
      <c r="AE126" s="1184"/>
      <c r="AF126" s="1184"/>
      <c r="AG126" s="1184"/>
      <c r="AH126" s="1184"/>
      <c r="AI126" s="1184"/>
      <c r="AJ126" s="1184"/>
      <c r="AK126" s="1184"/>
      <c r="AL126" s="1184"/>
      <c r="AM126" s="1184"/>
      <c r="AN126" s="1184"/>
      <c r="AO126" s="1184"/>
      <c r="AP126" s="1184"/>
      <c r="AQ126" s="1184"/>
      <c r="AR126" s="1385">
        <v>0</v>
      </c>
    </row>
    <row r="127" spans="1:44" s="4149" customFormat="1" ht="17.25" hidden="1" customHeight="1">
      <c r="A127" s="257"/>
      <c r="C127" s="256"/>
      <c r="D127" s="4308"/>
      <c r="E127" s="4297"/>
      <c r="F127" s="4311"/>
      <c r="G127" s="4297"/>
      <c r="H127" s="1217"/>
      <c r="I127" s="1858"/>
      <c r="J127" s="1858"/>
      <c r="K127" s="1858"/>
      <c r="L127" s="1858"/>
      <c r="M127" s="1858"/>
      <c r="N127" s="1858"/>
      <c r="O127" s="1858"/>
      <c r="P127" s="1858"/>
      <c r="Q127" s="1858"/>
      <c r="R127" s="1858"/>
      <c r="S127" s="1219"/>
      <c r="T127" s="1219"/>
      <c r="U127" s="1219"/>
      <c r="V127" s="1219"/>
      <c r="W127" s="1859"/>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85">
        <v>0</v>
      </c>
    </row>
    <row r="128" spans="1:44" s="4149" customFormat="1" ht="11.25" hidden="1" customHeight="1">
      <c r="A128" s="213"/>
      <c r="B128" s="213"/>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4149" customFormat="1" ht="17.25" hidden="1" customHeight="1">
      <c r="A129" s="257"/>
      <c r="C129" s="146"/>
      <c r="D129" s="4307">
        <v>1</v>
      </c>
      <c r="E129" s="4296" t="s">
        <v>285</v>
      </c>
      <c r="F129" s="4309" t="s">
        <v>19</v>
      </c>
      <c r="G129" s="4296"/>
      <c r="H129" s="4298"/>
      <c r="I129" s="4300"/>
      <c r="J129" s="4302"/>
      <c r="K129" s="4294"/>
      <c r="L129" s="4294"/>
      <c r="M129" s="4294"/>
      <c r="N129" s="4305"/>
      <c r="O129" s="4294"/>
      <c r="P129" s="4294"/>
      <c r="Q129" s="4294"/>
      <c r="R129" s="4292"/>
      <c r="S129" s="4294"/>
      <c r="T129" s="1388"/>
      <c r="U129" s="1388"/>
      <c r="V129" s="1390"/>
      <c r="W129" s="1214"/>
      <c r="Y129" s="1185"/>
      <c r="Z129" s="1185"/>
      <c r="AA129" s="1185"/>
      <c r="AB129" s="1185"/>
      <c r="AC129" s="1185" t="s">
        <v>286</v>
      </c>
      <c r="AD129" s="1185" t="s">
        <v>287</v>
      </c>
      <c r="AE129" s="1185" t="s">
        <v>288</v>
      </c>
      <c r="AF129" s="1185" t="s">
        <v>289</v>
      </c>
      <c r="AG129" s="1185"/>
      <c r="AH129" s="1185" t="str">
        <f>IF($E$129=0,"",$E$129)</f>
        <v>Тариф на водоотведение</v>
      </c>
      <c r="AI129" s="1185" t="str">
        <f>IF($G$129=0,"",$G$129)</f>
        <v/>
      </c>
      <c r="AJ129" s="1185" t="str">
        <f>IF($J$129=0,"",$J$129)</f>
        <v/>
      </c>
      <c r="AK129" s="1185" t="str">
        <f>IF($K$129="нет","без дифференциации",IF($N$129=0,"",$N$129))</f>
        <v/>
      </c>
      <c r="AL129" s="1185" t="str">
        <f>IF($O$129="нет","без дифференциации",IF($R$129=0,"",$R$129))</f>
        <v/>
      </c>
      <c r="AM129" s="1185" t="str">
        <f>IF($S$129="нет","без дифференциации",IF($V$129=0,"",$V$129))</f>
        <v/>
      </c>
      <c r="AN129" s="1185">
        <f>$I$129</f>
        <v>0</v>
      </c>
      <c r="AO129" s="1185" t="str">
        <f>$I$129&amp;"."&amp;$M$129</f>
        <v>.</v>
      </c>
      <c r="AP129" s="1185" t="str">
        <f>$I$129&amp;"."&amp;$M$129&amp;"."&amp;$Q$129</f>
        <v>..</v>
      </c>
      <c r="AQ129" s="1185" t="str">
        <f>$I$129&amp;"."&amp;$M$129&amp;"."&amp;$Q$129&amp;"."&amp;$U$129</f>
        <v>...</v>
      </c>
      <c r="AR129" s="1385">
        <v>0</v>
      </c>
    </row>
    <row r="130" spans="1:44" s="4149" customFormat="1" ht="17.25" hidden="1" customHeight="1">
      <c r="A130" s="257"/>
      <c r="C130" s="256"/>
      <c r="D130" s="4307"/>
      <c r="E130" s="4296"/>
      <c r="F130" s="4310"/>
      <c r="G130" s="4296"/>
      <c r="H130" s="4299"/>
      <c r="I130" s="4301"/>
      <c r="J130" s="4303"/>
      <c r="K130" s="4295"/>
      <c r="L130" s="4295"/>
      <c r="M130" s="4295"/>
      <c r="N130" s="4306"/>
      <c r="O130" s="4295"/>
      <c r="P130" s="4295"/>
      <c r="Q130" s="4295"/>
      <c r="R130" s="4293"/>
      <c r="S130" s="4295"/>
      <c r="T130" s="1215"/>
      <c r="U130" s="1215"/>
      <c r="V130" s="1215"/>
      <c r="W130" s="1216"/>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4149" customFormat="1" ht="17.25" hidden="1" customHeight="1">
      <c r="A131" s="257"/>
      <c r="C131" s="146"/>
      <c r="D131" s="4307"/>
      <c r="E131" s="4296"/>
      <c r="F131" s="4310"/>
      <c r="G131" s="4296"/>
      <c r="H131" s="4299"/>
      <c r="I131" s="4301"/>
      <c r="J131" s="4304"/>
      <c r="K131" s="4295"/>
      <c r="L131" s="4295"/>
      <c r="M131" s="4295"/>
      <c r="N131" s="4293"/>
      <c r="O131" s="4295"/>
      <c r="P131" s="1389"/>
      <c r="Q131" s="1215"/>
      <c r="R131" s="1215"/>
      <c r="S131" s="265"/>
      <c r="T131" s="265"/>
      <c r="U131" s="265"/>
      <c r="V131" s="265"/>
      <c r="W131" s="1216"/>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385">
        <v>0</v>
      </c>
    </row>
    <row r="132" spans="1:44" s="4149" customFormat="1" ht="17.25" hidden="1" customHeight="1">
      <c r="A132" s="257"/>
      <c r="C132" s="256"/>
      <c r="D132" s="4307"/>
      <c r="E132" s="4296"/>
      <c r="F132" s="4310"/>
      <c r="G132" s="4296"/>
      <c r="H132" s="4299"/>
      <c r="I132" s="4301"/>
      <c r="J132" s="4304"/>
      <c r="K132" s="4295"/>
      <c r="L132" s="1215"/>
      <c r="M132" s="1215"/>
      <c r="N132" s="1215"/>
      <c r="O132" s="1215"/>
      <c r="P132" s="1215"/>
      <c r="Q132" s="1215"/>
      <c r="R132" s="1215"/>
      <c r="S132" s="265"/>
      <c r="T132" s="265"/>
      <c r="U132" s="265"/>
      <c r="V132" s="265"/>
      <c r="W132" s="1216"/>
      <c r="Y132" s="1177"/>
      <c r="Z132" s="1177"/>
      <c r="AA132" s="1177"/>
      <c r="AB132" s="1177"/>
      <c r="AC132" s="1177"/>
      <c r="AD132" s="1177"/>
      <c r="AE132" s="1177"/>
      <c r="AF132" s="1177"/>
      <c r="AG132" s="1177"/>
      <c r="AH132" s="1177"/>
      <c r="AI132" s="1177"/>
      <c r="AJ132" s="1177"/>
      <c r="AK132" s="1177"/>
      <c r="AL132" s="1177"/>
      <c r="AM132" s="1177"/>
      <c r="AN132" s="1177"/>
      <c r="AO132" s="1177"/>
      <c r="AP132" s="1177"/>
      <c r="AQ132" s="1177"/>
      <c r="AR132" s="1385">
        <v>0</v>
      </c>
    </row>
    <row r="133" spans="1:44" s="4149" customFormat="1" ht="17.25" hidden="1" customHeight="1">
      <c r="A133" s="257"/>
      <c r="C133" s="256"/>
      <c r="D133" s="4308"/>
      <c r="E133" s="4297"/>
      <c r="F133" s="4311"/>
      <c r="G133" s="4297"/>
      <c r="H133" s="1217"/>
      <c r="I133" s="1218"/>
      <c r="J133" s="1218"/>
      <c r="K133" s="1218"/>
      <c r="L133" s="1218"/>
      <c r="M133" s="1218"/>
      <c r="N133" s="1218"/>
      <c r="O133" s="1218"/>
      <c r="P133" s="1218"/>
      <c r="Q133" s="1218"/>
      <c r="R133" s="1218"/>
      <c r="S133" s="1219"/>
      <c r="T133" s="1219"/>
      <c r="U133" s="1219"/>
      <c r="V133" s="1219"/>
      <c r="W133" s="1220"/>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385">
        <v>0</v>
      </c>
    </row>
    <row r="134" spans="1:44" s="4149" customFormat="1" ht="17.25" hidden="1" customHeight="1">
      <c r="A134" s="257"/>
      <c r="C134" s="146"/>
      <c r="D134" s="4307">
        <v>2</v>
      </c>
      <c r="E134" s="4296" t="s">
        <v>290</v>
      </c>
      <c r="F134" s="4309" t="s">
        <v>19</v>
      </c>
      <c r="G134" s="4296"/>
      <c r="H134" s="4298"/>
      <c r="I134" s="4300"/>
      <c r="J134" s="4302"/>
      <c r="K134" s="4294"/>
      <c r="L134" s="4294"/>
      <c r="M134" s="4294"/>
      <c r="N134" s="4305"/>
      <c r="O134" s="4294"/>
      <c r="P134" s="4294"/>
      <c r="Q134" s="4294"/>
      <c r="R134" s="4292"/>
      <c r="S134" s="4294"/>
      <c r="T134" s="1388"/>
      <c r="U134" s="1388"/>
      <c r="V134" s="1390"/>
      <c r="W134" s="1214"/>
      <c r="X134" s="1185"/>
      <c r="Y134" s="1185"/>
      <c r="Z134" s="1185"/>
      <c r="AA134" s="1185"/>
      <c r="AB134" s="1185"/>
      <c r="AC134" s="1185" t="s">
        <v>291</v>
      </c>
      <c r="AD134" s="1185" t="s">
        <v>292</v>
      </c>
      <c r="AE134" s="1185" t="s">
        <v>293</v>
      </c>
      <c r="AF134" s="1185" t="s">
        <v>294</v>
      </c>
      <c r="AG134" s="1185"/>
      <c r="AH134" s="1185" t="str">
        <f>IF($E$134=0,"",$E$134)</f>
        <v>Тариф на транспортировку сточных вод</v>
      </c>
      <c r="AI134" s="1185" t="str">
        <f>IF($G$134=0,"",$G$134)</f>
        <v/>
      </c>
      <c r="AJ134" s="1185" t="str">
        <f>IF($J$134=0,"",$J$134)</f>
        <v/>
      </c>
      <c r="AK134" s="1185" t="str">
        <f>IF($K$134="нет","без дифференциации",IF($N$134=0,"",$N$134))</f>
        <v/>
      </c>
      <c r="AL134" s="1185" t="str">
        <f>IF($O$134="нет","без дифференциации",IF($R$134=0,"",$R$134))</f>
        <v/>
      </c>
      <c r="AM134" s="1185" t="str">
        <f>IF($S$134="нет","без дифференциации",IF($V$134=0,"",$V$134))</f>
        <v/>
      </c>
      <c r="AN134" s="1689">
        <f>$I$134</f>
        <v>0</v>
      </c>
      <c r="AO134" s="1185" t="str">
        <f>$I$134&amp;"."&amp;$M$134</f>
        <v>.</v>
      </c>
      <c r="AP134" s="1177" t="str">
        <f>$I$134&amp;"."&amp;$M$134&amp;"."&amp;$Q$134</f>
        <v>..</v>
      </c>
      <c r="AQ134" s="1177" t="str">
        <f>$I$134&amp;"."&amp;$M$134&amp;"."&amp;$Q$134&amp;"."&amp;$U$134</f>
        <v>...</v>
      </c>
      <c r="AR134" s="1385">
        <v>0</v>
      </c>
    </row>
    <row r="135" spans="1:44" s="4149" customFormat="1" ht="17.25" hidden="1" customHeight="1">
      <c r="A135" s="257"/>
      <c r="C135" s="256"/>
      <c r="D135" s="4307"/>
      <c r="E135" s="4296"/>
      <c r="F135" s="4310"/>
      <c r="G135" s="4296"/>
      <c r="H135" s="4299"/>
      <c r="I135" s="4301"/>
      <c r="J135" s="4303"/>
      <c r="K135" s="4295"/>
      <c r="L135" s="4295"/>
      <c r="M135" s="4295"/>
      <c r="N135" s="4306"/>
      <c r="O135" s="4295"/>
      <c r="P135" s="4295"/>
      <c r="Q135" s="4295"/>
      <c r="R135" s="4293"/>
      <c r="S135" s="4295"/>
      <c r="T135" s="1215"/>
      <c r="U135" s="1215"/>
      <c r="V135" s="1215"/>
      <c r="W135" s="1216"/>
      <c r="X135" s="1177"/>
      <c r="Y135" s="1177"/>
      <c r="Z135" s="1177"/>
      <c r="AA135" s="1177"/>
      <c r="AB135" s="1177"/>
      <c r="AC135" s="1177"/>
      <c r="AD135" s="1177"/>
      <c r="AE135" s="1177"/>
      <c r="AF135" s="1177"/>
      <c r="AG135" s="1177"/>
      <c r="AH135" s="1177"/>
      <c r="AI135" s="1177"/>
      <c r="AJ135" s="1177"/>
      <c r="AK135" s="1177"/>
      <c r="AL135" s="1177"/>
      <c r="AM135" s="1177"/>
      <c r="AN135" s="1177"/>
      <c r="AO135" s="1177"/>
      <c r="AP135" s="1177"/>
      <c r="AQ135" s="1177"/>
      <c r="AR135" s="1385">
        <v>0</v>
      </c>
    </row>
    <row r="136" spans="1:44" s="4149" customFormat="1" ht="17.25" hidden="1" customHeight="1">
      <c r="A136" s="257"/>
      <c r="C136" s="256"/>
      <c r="D136" s="4308"/>
      <c r="E136" s="4297"/>
      <c r="F136" s="4310"/>
      <c r="G136" s="4297"/>
      <c r="H136" s="4299"/>
      <c r="I136" s="4301"/>
      <c r="J136" s="4304"/>
      <c r="K136" s="4295"/>
      <c r="L136" s="4295"/>
      <c r="M136" s="4295"/>
      <c r="N136" s="4293"/>
      <c r="O136" s="4295"/>
      <c r="P136" s="1389"/>
      <c r="Q136" s="1215"/>
      <c r="R136" s="1215"/>
      <c r="S136" s="265"/>
      <c r="T136" s="265"/>
      <c r="U136" s="265"/>
      <c r="V136" s="265"/>
      <c r="W136" s="1216"/>
      <c r="X136" s="1177"/>
      <c r="Y136" s="1177"/>
      <c r="Z136" s="1177"/>
      <c r="AA136" s="1177"/>
      <c r="AB136" s="1177"/>
      <c r="AC136" s="1177"/>
      <c r="AD136" s="1177"/>
      <c r="AE136" s="1177"/>
      <c r="AF136" s="1177"/>
      <c r="AG136" s="1177"/>
      <c r="AH136" s="1177"/>
      <c r="AI136" s="1177"/>
      <c r="AJ136" s="1177"/>
      <c r="AK136" s="1177"/>
      <c r="AL136" s="1177"/>
      <c r="AM136" s="1177"/>
      <c r="AN136" s="1177"/>
      <c r="AO136" s="1177"/>
      <c r="AP136" s="1177"/>
      <c r="AQ136" s="1177"/>
      <c r="AR136" s="1385">
        <v>0</v>
      </c>
    </row>
    <row r="137" spans="1:44" s="4149" customFormat="1" ht="17.25" hidden="1" customHeight="1">
      <c r="A137" s="257"/>
      <c r="C137" s="256"/>
      <c r="D137" s="4308"/>
      <c r="E137" s="4297"/>
      <c r="F137" s="4310"/>
      <c r="G137" s="4297"/>
      <c r="H137" s="4299"/>
      <c r="I137" s="4301"/>
      <c r="J137" s="4304"/>
      <c r="K137" s="4295"/>
      <c r="L137" s="1215"/>
      <c r="M137" s="1215"/>
      <c r="N137" s="1215"/>
      <c r="O137" s="1215"/>
      <c r="P137" s="1215"/>
      <c r="Q137" s="1215"/>
      <c r="R137" s="1215"/>
      <c r="S137" s="265"/>
      <c r="T137" s="265"/>
      <c r="U137" s="265"/>
      <c r="V137" s="265"/>
      <c r="W137" s="1216"/>
      <c r="X137" s="1177"/>
      <c r="Y137" s="1177"/>
      <c r="Z137" s="1177"/>
      <c r="AA137" s="1177"/>
      <c r="AB137" s="1177"/>
      <c r="AC137" s="1177"/>
      <c r="AD137" s="1177"/>
      <c r="AE137" s="1177"/>
      <c r="AF137" s="1177"/>
      <c r="AG137" s="1177"/>
      <c r="AH137" s="1177"/>
      <c r="AI137" s="1177"/>
      <c r="AJ137" s="1177"/>
      <c r="AK137" s="1177"/>
      <c r="AL137" s="1177"/>
      <c r="AM137" s="1177"/>
      <c r="AN137" s="1177"/>
      <c r="AO137" s="1177"/>
      <c r="AP137" s="1177"/>
      <c r="AQ137" s="1177"/>
      <c r="AR137" s="1385">
        <v>0</v>
      </c>
    </row>
    <row r="138" spans="1:44" s="4149" customFormat="1" ht="17.25" hidden="1" customHeight="1">
      <c r="A138" s="257"/>
      <c r="C138" s="256"/>
      <c r="D138" s="4308"/>
      <c r="E138" s="4297"/>
      <c r="F138" s="4311"/>
      <c r="G138" s="4297"/>
      <c r="H138" s="1217"/>
      <c r="I138" s="1218"/>
      <c r="J138" s="1218"/>
      <c r="K138" s="1218"/>
      <c r="L138" s="1218"/>
      <c r="M138" s="1218"/>
      <c r="N138" s="1218"/>
      <c r="O138" s="1218"/>
      <c r="P138" s="1218"/>
      <c r="Q138" s="1218"/>
      <c r="R138" s="1218"/>
      <c r="S138" s="1219"/>
      <c r="T138" s="1219"/>
      <c r="U138" s="1219"/>
      <c r="V138" s="1219"/>
      <c r="W138" s="1220"/>
      <c r="X138" s="1177"/>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385">
        <v>0</v>
      </c>
    </row>
    <row r="139" spans="1:44" s="4149" customFormat="1" ht="17.25" hidden="1" customHeight="1">
      <c r="A139" s="257"/>
      <c r="C139" s="146"/>
      <c r="D139" s="4307">
        <v>3</v>
      </c>
      <c r="E139" s="4296" t="s">
        <v>295</v>
      </c>
      <c r="F139" s="4309" t="s">
        <v>19</v>
      </c>
      <c r="G139" s="4296"/>
      <c r="H139" s="4298"/>
      <c r="I139" s="4300"/>
      <c r="J139" s="4302"/>
      <c r="K139" s="4294"/>
      <c r="L139" s="4294"/>
      <c r="M139" s="4294"/>
      <c r="N139" s="4305"/>
      <c r="O139" s="4294"/>
      <c r="P139" s="4294"/>
      <c r="Q139" s="4294"/>
      <c r="R139" s="4292"/>
      <c r="S139" s="4294"/>
      <c r="T139" s="1855"/>
      <c r="U139" s="1855"/>
      <c r="V139" s="1857"/>
      <c r="W139" s="1214"/>
      <c r="X139" s="1185"/>
      <c r="Y139" s="1185"/>
      <c r="Z139" s="1185"/>
      <c r="AA139" s="1185"/>
      <c r="AB139" s="1185"/>
      <c r="AC139" s="1185" t="s">
        <v>296</v>
      </c>
      <c r="AD139" s="1185" t="s">
        <v>297</v>
      </c>
      <c r="AE139" s="1185" t="s">
        <v>298</v>
      </c>
      <c r="AF139" s="1185" t="s">
        <v>299</v>
      </c>
      <c r="AG139" s="1185"/>
      <c r="AH139" s="1185" t="str">
        <f>IF($E$139=0,"",$E$139)</f>
        <v>Тариф на подключение (технологическое присоединение) к централизованной системе водоотведения</v>
      </c>
      <c r="AI139" s="1185" t="str">
        <f>IF($G$139=0,"",$G$139)</f>
        <v/>
      </c>
      <c r="AJ139" s="1185" t="str">
        <f>IF($J$139=0,"",$J$139)</f>
        <v/>
      </c>
      <c r="AK139" s="1185" t="str">
        <f>IF($K$139="нет","без дифференциации",IF($N$139=0,"",$N$139))</f>
        <v/>
      </c>
      <c r="AL139" s="1185" t="str">
        <f>IF($O$139="нет","без дифференциации",IF($R$139=0,"",$R$139))</f>
        <v/>
      </c>
      <c r="AM139" s="1185" t="str">
        <f>IF($S$139="нет","без дифференциации",IF($V$139=0,"",$V$139))</f>
        <v/>
      </c>
      <c r="AN139" s="1689">
        <f>$I$139</f>
        <v>0</v>
      </c>
      <c r="AO139" s="1185" t="str">
        <f>$I$139&amp;"."&amp;$M$139</f>
        <v>.</v>
      </c>
      <c r="AP139" s="1184" t="str">
        <f>$I$139&amp;"."&amp;$M$139&amp;"."&amp;$Q$139</f>
        <v>..</v>
      </c>
      <c r="AQ139" s="1184" t="str">
        <f>$I$139&amp;"."&amp;$M$139&amp;"."&amp;$Q$139&amp;"."&amp;$U$139</f>
        <v>...</v>
      </c>
      <c r="AR139" s="1385">
        <v>0</v>
      </c>
    </row>
    <row r="140" spans="1:44" s="4149" customFormat="1" ht="17.25" hidden="1" customHeight="1">
      <c r="A140" s="257"/>
      <c r="C140" s="256"/>
      <c r="D140" s="4307"/>
      <c r="E140" s="4296"/>
      <c r="F140" s="4310"/>
      <c r="G140" s="4296"/>
      <c r="H140" s="4299"/>
      <c r="I140" s="4301"/>
      <c r="J140" s="4303"/>
      <c r="K140" s="4295"/>
      <c r="L140" s="4295"/>
      <c r="M140" s="4295"/>
      <c r="N140" s="4306"/>
      <c r="O140" s="4295"/>
      <c r="P140" s="4295"/>
      <c r="Q140" s="4295"/>
      <c r="R140" s="4293"/>
      <c r="S140" s="4295"/>
      <c r="T140" s="1860"/>
      <c r="U140" s="1860"/>
      <c r="V140" s="1860"/>
      <c r="W140" s="1861"/>
      <c r="X140" s="1184"/>
      <c r="Y140" s="1184"/>
      <c r="Z140" s="1184"/>
      <c r="AA140" s="1184"/>
      <c r="AB140" s="1184"/>
      <c r="AC140" s="1184"/>
      <c r="AD140" s="1184"/>
      <c r="AE140" s="1184"/>
      <c r="AF140" s="1184"/>
      <c r="AG140" s="1184"/>
      <c r="AH140" s="1184"/>
      <c r="AI140" s="1184"/>
      <c r="AJ140" s="1184"/>
      <c r="AK140" s="1184"/>
      <c r="AL140" s="1184"/>
      <c r="AM140" s="1184"/>
      <c r="AN140" s="1184"/>
      <c r="AO140" s="1184"/>
      <c r="AP140" s="1184"/>
      <c r="AQ140" s="1184"/>
      <c r="AR140" s="1385">
        <v>0</v>
      </c>
    </row>
    <row r="141" spans="1:44" s="4149" customFormat="1" ht="17.25" hidden="1" customHeight="1">
      <c r="A141" s="257"/>
      <c r="C141" s="256"/>
      <c r="D141" s="4308"/>
      <c r="E141" s="4297"/>
      <c r="F141" s="4310"/>
      <c r="G141" s="4297"/>
      <c r="H141" s="4299"/>
      <c r="I141" s="4301"/>
      <c r="J141" s="4304"/>
      <c r="K141" s="4295"/>
      <c r="L141" s="4295"/>
      <c r="M141" s="4295"/>
      <c r="N141" s="4293"/>
      <c r="O141" s="4295"/>
      <c r="P141" s="1856"/>
      <c r="Q141" s="1860"/>
      <c r="R141" s="1860"/>
      <c r="S141" s="265"/>
      <c r="T141" s="265"/>
      <c r="U141" s="265"/>
      <c r="V141" s="265"/>
      <c r="W141" s="1861"/>
      <c r="X141" s="1184"/>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c r="AR141" s="1385">
        <v>0</v>
      </c>
    </row>
    <row r="142" spans="1:44" s="4149" customFormat="1" ht="17.25" hidden="1" customHeight="1">
      <c r="A142" s="257"/>
      <c r="C142" s="256"/>
      <c r="D142" s="4308"/>
      <c r="E142" s="4297"/>
      <c r="F142" s="4310"/>
      <c r="G142" s="4297"/>
      <c r="H142" s="4299"/>
      <c r="I142" s="4301"/>
      <c r="J142" s="4304"/>
      <c r="K142" s="4295"/>
      <c r="L142" s="1860"/>
      <c r="M142" s="1860"/>
      <c r="N142" s="1860"/>
      <c r="O142" s="1860"/>
      <c r="P142" s="1860"/>
      <c r="Q142" s="1860"/>
      <c r="R142" s="1860"/>
      <c r="S142" s="265"/>
      <c r="T142" s="265"/>
      <c r="U142" s="265"/>
      <c r="V142" s="265"/>
      <c r="W142" s="1861"/>
      <c r="X142" s="1184"/>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c r="AR142" s="1385">
        <v>0</v>
      </c>
    </row>
    <row r="143" spans="1:44" s="4149" customFormat="1" ht="17.25" hidden="1" customHeight="1">
      <c r="A143" s="257"/>
      <c r="C143" s="256"/>
      <c r="D143" s="4308"/>
      <c r="E143" s="4297"/>
      <c r="F143" s="4311"/>
      <c r="G143" s="4297"/>
      <c r="H143" s="1217"/>
      <c r="I143" s="1858"/>
      <c r="J143" s="1858"/>
      <c r="K143" s="1858"/>
      <c r="L143" s="1858"/>
      <c r="M143" s="1858"/>
      <c r="N143" s="1858"/>
      <c r="O143" s="1858"/>
      <c r="P143" s="1858"/>
      <c r="Q143" s="1858"/>
      <c r="R143" s="1858"/>
      <c r="S143" s="1219"/>
      <c r="T143" s="1219"/>
      <c r="U143" s="1219"/>
      <c r="V143" s="1219"/>
      <c r="W143" s="1859"/>
      <c r="X143" s="1184"/>
      <c r="Y143" s="1184"/>
      <c r="Z143" s="1184"/>
      <c r="AA143" s="1184"/>
      <c r="AB143" s="1184"/>
      <c r="AC143" s="1184"/>
      <c r="AD143" s="1184"/>
      <c r="AE143" s="1184"/>
      <c r="AF143" s="1184"/>
      <c r="AG143" s="1184"/>
      <c r="AH143" s="1184"/>
      <c r="AI143" s="1184"/>
      <c r="AJ143" s="1184"/>
      <c r="AK143" s="1184"/>
      <c r="AL143" s="1184"/>
      <c r="AM143" s="1184"/>
      <c r="AN143" s="1184"/>
      <c r="AO143" s="1184"/>
      <c r="AP143" s="1184"/>
      <c r="AQ143" s="1184"/>
      <c r="AR143" s="1385">
        <v>0</v>
      </c>
    </row>
    <row r="144" spans="1:44" ht="11.45" customHeight="1">
      <c r="AR144" s="44">
        <v>11</v>
      </c>
    </row>
    <row r="145" spans="1:44" ht="11.45" customHeight="1">
      <c r="AR145" s="44">
        <v>11</v>
      </c>
    </row>
    <row r="146" spans="1:44" ht="11.45" customHeight="1">
      <c r="AR146" s="44">
        <v>11</v>
      </c>
    </row>
    <row r="147" spans="1:44" ht="11.45" customHeight="1">
      <c r="E147" s="1268"/>
      <c r="AR147" s="44">
        <v>11</v>
      </c>
    </row>
    <row r="148" spans="1:44" ht="11.45" customHeight="1">
      <c r="E148" s="1268"/>
      <c r="AR148" s="44">
        <v>11</v>
      </c>
    </row>
    <row r="149" spans="1:44" ht="11.45" customHeight="1">
      <c r="E149" s="1268"/>
      <c r="AR149" s="44">
        <v>11</v>
      </c>
    </row>
    <row r="150" spans="1:44" ht="11.45" customHeight="1">
      <c r="E150" s="1268"/>
      <c r="AR150" s="44">
        <v>11</v>
      </c>
    </row>
    <row r="151" spans="1:44" ht="11.45" customHeight="1">
      <c r="E151" s="1268"/>
      <c r="AR151" s="44">
        <v>11</v>
      </c>
    </row>
    <row r="152" spans="1:44" ht="11.45" customHeight="1">
      <c r="E152" s="1268"/>
      <c r="AR152" s="44">
        <v>11</v>
      </c>
    </row>
    <row r="153" spans="1:44" ht="11.45" customHeight="1">
      <c r="E153" s="1268"/>
      <c r="AR153" s="44">
        <v>11</v>
      </c>
    </row>
    <row r="154" spans="1:44" ht="11.25" hidden="1" customHeight="1">
      <c r="A154" s="91" t="s">
        <v>86</v>
      </c>
      <c r="B154" s="91">
        <v>0</v>
      </c>
      <c r="C154" s="44">
        <v>3</v>
      </c>
      <c r="D154" s="44">
        <v>6</v>
      </c>
      <c r="E154" s="44">
        <v>42</v>
      </c>
      <c r="F154" s="1201">
        <v>14</v>
      </c>
      <c r="G154" s="44">
        <v>42</v>
      </c>
      <c r="H154" s="44">
        <v>3</v>
      </c>
      <c r="I154" s="44">
        <v>5</v>
      </c>
      <c r="J154" s="44">
        <v>47</v>
      </c>
      <c r="K154" s="44">
        <v>3</v>
      </c>
      <c r="L154" s="44">
        <v>3</v>
      </c>
      <c r="M154" s="44">
        <v>5</v>
      </c>
      <c r="N154" s="44">
        <v>28</v>
      </c>
      <c r="O154" s="44">
        <v>3</v>
      </c>
      <c r="P154" s="44">
        <v>3</v>
      </c>
      <c r="Q154" s="44">
        <v>5</v>
      </c>
      <c r="R154" s="44">
        <v>34</v>
      </c>
      <c r="S154" s="218">
        <v>0</v>
      </c>
      <c r="T154" s="218">
        <v>0</v>
      </c>
      <c r="U154" s="218">
        <v>0</v>
      </c>
      <c r="V154" s="218">
        <v>0</v>
      </c>
      <c r="W154" s="44">
        <v>30</v>
      </c>
      <c r="X154" s="44">
        <v>3</v>
      </c>
      <c r="Y154" s="1177">
        <v>0</v>
      </c>
      <c r="Z154" s="1177">
        <v>0</v>
      </c>
      <c r="AA154" s="1177">
        <v>0</v>
      </c>
      <c r="AB154" s="1177">
        <v>0</v>
      </c>
      <c r="AC154" s="1177">
        <v>0</v>
      </c>
      <c r="AD154" s="1177">
        <v>0</v>
      </c>
      <c r="AE154" s="1177">
        <v>0</v>
      </c>
      <c r="AF154" s="1177">
        <v>0</v>
      </c>
      <c r="AG154" s="1177">
        <v>0</v>
      </c>
      <c r="AH154" s="1177">
        <v>0</v>
      </c>
      <c r="AI154" s="1177">
        <v>0</v>
      </c>
      <c r="AJ154" s="1177">
        <v>0</v>
      </c>
      <c r="AK154" s="1177">
        <v>0</v>
      </c>
      <c r="AL154" s="1177">
        <v>0</v>
      </c>
      <c r="AM154" s="1177">
        <v>0</v>
      </c>
      <c r="AN154" s="1177">
        <v>0</v>
      </c>
      <c r="AO154" s="1177">
        <v>0</v>
      </c>
      <c r="AP154" s="1177">
        <v>0</v>
      </c>
      <c r="AQ154" s="1177">
        <v>0</v>
      </c>
      <c r="AR154" s="44">
        <v>11</v>
      </c>
    </row>
  </sheetData>
  <sheetProtection formatColumns="0" formatRows="0" insertRows="0" deleteColumns="0" deleteRows="0" sort="0" autoFilter="0"/>
  <mergeCells count="403">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S18:S19"/>
    <mergeCell ref="P18:P19"/>
    <mergeCell ref="Q18:Q19"/>
    <mergeCell ref="R18:R19"/>
    <mergeCell ref="K18:K21"/>
    <mergeCell ref="M18:M20"/>
    <mergeCell ref="L18:L20"/>
    <mergeCell ref="N18:N20"/>
    <mergeCell ref="J18:J21"/>
    <mergeCell ref="D66:D70"/>
    <mergeCell ref="M107:M109"/>
    <mergeCell ref="M66:M68"/>
    <mergeCell ref="N66:N68"/>
    <mergeCell ref="O66:O68"/>
    <mergeCell ref="P66:P67"/>
    <mergeCell ref="Q66:Q67"/>
    <mergeCell ref="R66:R67"/>
    <mergeCell ref="S66:S67"/>
    <mergeCell ref="D71:D75"/>
    <mergeCell ref="E71:E75"/>
    <mergeCell ref="F71:F75"/>
    <mergeCell ref="G71:G75"/>
    <mergeCell ref="H71:H74"/>
    <mergeCell ref="I71:I74"/>
    <mergeCell ref="J71:J74"/>
    <mergeCell ref="K71:K74"/>
    <mergeCell ref="L71:L73"/>
    <mergeCell ref="M71:M73"/>
    <mergeCell ref="N71:N73"/>
    <mergeCell ref="O71:O73"/>
    <mergeCell ref="P71:P72"/>
    <mergeCell ref="Q71:Q72"/>
    <mergeCell ref="R71:R72"/>
    <mergeCell ref="S71:S72"/>
    <mergeCell ref="E66:E70"/>
    <mergeCell ref="F66:F70"/>
    <mergeCell ref="G66:G70"/>
    <mergeCell ref="H66:H69"/>
    <mergeCell ref="I66:I69"/>
    <mergeCell ref="J66:J69"/>
    <mergeCell ref="K66:K69"/>
    <mergeCell ref="L66:L68"/>
    <mergeCell ref="D97:D101"/>
    <mergeCell ref="E97:E101"/>
    <mergeCell ref="M97:M99"/>
    <mergeCell ref="D102:D106"/>
    <mergeCell ref="E102:E106"/>
    <mergeCell ref="F102:F106"/>
    <mergeCell ref="G102:G106"/>
    <mergeCell ref="H102:H105"/>
    <mergeCell ref="I102:I105"/>
    <mergeCell ref="J102:J105"/>
    <mergeCell ref="K102:K105"/>
    <mergeCell ref="L102:L104"/>
    <mergeCell ref="F97:F101"/>
    <mergeCell ref="G97:G101"/>
    <mergeCell ref="H97:H100"/>
    <mergeCell ref="I97:I100"/>
    <mergeCell ref="J97:J100"/>
    <mergeCell ref="L92:L94"/>
    <mergeCell ref="N87:N89"/>
    <mergeCell ref="O87:O89"/>
    <mergeCell ref="P87:P88"/>
    <mergeCell ref="Q87:Q88"/>
    <mergeCell ref="R87:R88"/>
    <mergeCell ref="S87:S88"/>
    <mergeCell ref="M92:M94"/>
    <mergeCell ref="M102:M104"/>
    <mergeCell ref="N102:N104"/>
    <mergeCell ref="O102:O104"/>
    <mergeCell ref="P102:P103"/>
    <mergeCell ref="Q102:Q103"/>
    <mergeCell ref="R102:R103"/>
    <mergeCell ref="S102:S103"/>
    <mergeCell ref="N92:N94"/>
    <mergeCell ref="O92:O94"/>
    <mergeCell ref="P92:P93"/>
    <mergeCell ref="S97:S98"/>
    <mergeCell ref="N97:N99"/>
    <mergeCell ref="O97:O99"/>
    <mergeCell ref="P97:P98"/>
    <mergeCell ref="Q97:Q98"/>
    <mergeCell ref="R97:R98"/>
    <mergeCell ref="W9:W10"/>
    <mergeCell ref="O9:R9"/>
    <mergeCell ref="K9:N9"/>
    <mergeCell ref="T11:U11"/>
    <mergeCell ref="S9:V9"/>
    <mergeCell ref="T10:U10"/>
    <mergeCell ref="D87:D91"/>
    <mergeCell ref="E87:E91"/>
    <mergeCell ref="D92:D96"/>
    <mergeCell ref="E92:E96"/>
    <mergeCell ref="F92:F96"/>
    <mergeCell ref="G92:G96"/>
    <mergeCell ref="H92:H95"/>
    <mergeCell ref="I92:I95"/>
    <mergeCell ref="J92:J95"/>
    <mergeCell ref="F87:F91"/>
    <mergeCell ref="G87:G91"/>
    <mergeCell ref="H87:H90"/>
    <mergeCell ref="I87:I90"/>
    <mergeCell ref="J87:J90"/>
    <mergeCell ref="K13:K16"/>
    <mergeCell ref="G18:G30"/>
    <mergeCell ref="N36:N38"/>
    <mergeCell ref="Q92:Q9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36:K39"/>
    <mergeCell ref="L36:L38"/>
    <mergeCell ref="P13:P14"/>
    <mergeCell ref="P36:P37"/>
    <mergeCell ref="Q36:Q37"/>
    <mergeCell ref="L13:L15"/>
    <mergeCell ref="M13:M15"/>
    <mergeCell ref="N13:N15"/>
    <mergeCell ref="O13:O15"/>
    <mergeCell ref="Q13:Q14"/>
    <mergeCell ref="P31:P32"/>
    <mergeCell ref="Q31:Q32"/>
    <mergeCell ref="O18:O20"/>
    <mergeCell ref="K22:K25"/>
    <mergeCell ref="L22:L24"/>
    <mergeCell ref="M22:M24"/>
    <mergeCell ref="N22:N24"/>
    <mergeCell ref="D18:D30"/>
    <mergeCell ref="E18:E30"/>
    <mergeCell ref="F18:F30"/>
    <mergeCell ref="M36:M38"/>
    <mergeCell ref="R36:R37"/>
    <mergeCell ref="O36:O38"/>
    <mergeCell ref="D36:D40"/>
    <mergeCell ref="E36:E40"/>
    <mergeCell ref="F36:F40"/>
    <mergeCell ref="H36:H39"/>
    <mergeCell ref="I36:I39"/>
    <mergeCell ref="J36:J39"/>
    <mergeCell ref="G36:G40"/>
    <mergeCell ref="D31:D35"/>
    <mergeCell ref="E31:E35"/>
    <mergeCell ref="F31:F35"/>
    <mergeCell ref="H18:H21"/>
    <mergeCell ref="I18:I21"/>
    <mergeCell ref="H22:H25"/>
    <mergeCell ref="I22:I25"/>
    <mergeCell ref="J22:J25"/>
    <mergeCell ref="D61:D65"/>
    <mergeCell ref="E61:E65"/>
    <mergeCell ref="F61:F65"/>
    <mergeCell ref="H61:H64"/>
    <mergeCell ref="N51:N53"/>
    <mergeCell ref="G46:G50"/>
    <mergeCell ref="K46:K49"/>
    <mergeCell ref="G61:G65"/>
    <mergeCell ref="K61:K64"/>
    <mergeCell ref="N61:N63"/>
    <mergeCell ref="I61:I64"/>
    <mergeCell ref="J61:J64"/>
    <mergeCell ref="L61:L63"/>
    <mergeCell ref="M61:M63"/>
    <mergeCell ref="L51:L53"/>
    <mergeCell ref="M51:M53"/>
    <mergeCell ref="K51:K54"/>
    <mergeCell ref="D51:D55"/>
    <mergeCell ref="I51:I54"/>
    <mergeCell ref="J51:J54"/>
    <mergeCell ref="I46:I49"/>
    <mergeCell ref="J46:J49"/>
    <mergeCell ref="L46:L48"/>
    <mergeCell ref="M46:M48"/>
    <mergeCell ref="D46:D50"/>
    <mergeCell ref="Q41:Q42"/>
    <mergeCell ref="R41:R42"/>
    <mergeCell ref="D56:D60"/>
    <mergeCell ref="E56:E60"/>
    <mergeCell ref="F56:F60"/>
    <mergeCell ref="G56:G60"/>
    <mergeCell ref="H56:H59"/>
    <mergeCell ref="I56:I59"/>
    <mergeCell ref="J56:J59"/>
    <mergeCell ref="K56:K59"/>
    <mergeCell ref="L56:L58"/>
    <mergeCell ref="D41:D45"/>
    <mergeCell ref="E41:E45"/>
    <mergeCell ref="F41:F45"/>
    <mergeCell ref="H41:H44"/>
    <mergeCell ref="I41:I44"/>
    <mergeCell ref="N41:N43"/>
    <mergeCell ref="P51:P52"/>
    <mergeCell ref="O46:O48"/>
    <mergeCell ref="Q51:Q52"/>
    <mergeCell ref="R51:R52"/>
    <mergeCell ref="O51:O53"/>
    <mergeCell ref="J41:J44"/>
    <mergeCell ref="E51:E55"/>
    <mergeCell ref="F51:F55"/>
    <mergeCell ref="H51:H54"/>
    <mergeCell ref="G51:G55"/>
    <mergeCell ref="G41:G45"/>
    <mergeCell ref="K41:K44"/>
    <mergeCell ref="S41:S42"/>
    <mergeCell ref="S46:S47"/>
    <mergeCell ref="S51:S52"/>
    <mergeCell ref="O41:O43"/>
    <mergeCell ref="E46:E50"/>
    <mergeCell ref="F46:F50"/>
    <mergeCell ref="H46:H49"/>
    <mergeCell ref="L41:L43"/>
    <mergeCell ref="M41:M43"/>
    <mergeCell ref="P46:P47"/>
    <mergeCell ref="Q46:Q47"/>
    <mergeCell ref="R46:R47"/>
    <mergeCell ref="P41:P42"/>
    <mergeCell ref="M113:M115"/>
    <mergeCell ref="N113:N115"/>
    <mergeCell ref="O113:O115"/>
    <mergeCell ref="P113:P114"/>
    <mergeCell ref="Q113:Q114"/>
    <mergeCell ref="R113:R114"/>
    <mergeCell ref="S113:S114"/>
    <mergeCell ref="O61:O63"/>
    <mergeCell ref="E85:W85"/>
    <mergeCell ref="E77:W77"/>
    <mergeCell ref="E78:W78"/>
    <mergeCell ref="E79:W79"/>
    <mergeCell ref="E80:W80"/>
    <mergeCell ref="E81:W81"/>
    <mergeCell ref="L87:L89"/>
    <mergeCell ref="M87:M89"/>
    <mergeCell ref="E83:W83"/>
    <mergeCell ref="E84:W84"/>
    <mergeCell ref="K97:K100"/>
    <mergeCell ref="L97:L99"/>
    <mergeCell ref="R92:R93"/>
    <mergeCell ref="S92:S93"/>
    <mergeCell ref="K92:K95"/>
    <mergeCell ref="K87:K90"/>
    <mergeCell ref="R13:R14"/>
    <mergeCell ref="S13:S14"/>
    <mergeCell ref="M56:M58"/>
    <mergeCell ref="N56:N58"/>
    <mergeCell ref="O56:O58"/>
    <mergeCell ref="N46:N48"/>
    <mergeCell ref="D113:D117"/>
    <mergeCell ref="E113:E117"/>
    <mergeCell ref="F113:F117"/>
    <mergeCell ref="G113:G117"/>
    <mergeCell ref="H113:H116"/>
    <mergeCell ref="I113:I116"/>
    <mergeCell ref="J113:J116"/>
    <mergeCell ref="K113:K116"/>
    <mergeCell ref="L113:L115"/>
    <mergeCell ref="P61:P62"/>
    <mergeCell ref="Q61:Q62"/>
    <mergeCell ref="R61:R62"/>
    <mergeCell ref="S61:S62"/>
    <mergeCell ref="P56:P57"/>
    <mergeCell ref="Q56:Q57"/>
    <mergeCell ref="R56:R57"/>
    <mergeCell ref="S56:S57"/>
    <mergeCell ref="S36:S37"/>
    <mergeCell ref="S129:S130"/>
    <mergeCell ref="D129:D133"/>
    <mergeCell ref="E129:E133"/>
    <mergeCell ref="F129:F133"/>
    <mergeCell ref="G129:G133"/>
    <mergeCell ref="M118:M120"/>
    <mergeCell ref="N118:N120"/>
    <mergeCell ref="O118:O120"/>
    <mergeCell ref="P118:P119"/>
    <mergeCell ref="Q118:Q119"/>
    <mergeCell ref="R118:R119"/>
    <mergeCell ref="S118:S119"/>
    <mergeCell ref="D118:D122"/>
    <mergeCell ref="E118:E122"/>
    <mergeCell ref="F118:F122"/>
    <mergeCell ref="G118:G122"/>
    <mergeCell ref="H118:H121"/>
    <mergeCell ref="I118:I121"/>
    <mergeCell ref="J118:J121"/>
    <mergeCell ref="K118:K121"/>
    <mergeCell ref="L118:L120"/>
    <mergeCell ref="O129:O131"/>
    <mergeCell ref="M134:M136"/>
    <mergeCell ref="N134:N136"/>
    <mergeCell ref="O134:O136"/>
    <mergeCell ref="P129:P130"/>
    <mergeCell ref="Q129:Q130"/>
    <mergeCell ref="R129:R130"/>
    <mergeCell ref="P134:P135"/>
    <mergeCell ref="Q134:Q135"/>
    <mergeCell ref="R134:R135"/>
    <mergeCell ref="F107:F111"/>
    <mergeCell ref="G107:G111"/>
    <mergeCell ref="H107:H110"/>
    <mergeCell ref="I107:I110"/>
    <mergeCell ref="J107:J110"/>
    <mergeCell ref="K107:K110"/>
    <mergeCell ref="L107:L109"/>
    <mergeCell ref="S134:S135"/>
    <mergeCell ref="D134:D138"/>
    <mergeCell ref="E134:E138"/>
    <mergeCell ref="F134:F138"/>
    <mergeCell ref="G134:G138"/>
    <mergeCell ref="H134:H137"/>
    <mergeCell ref="I134:I137"/>
    <mergeCell ref="J134:J137"/>
    <mergeCell ref="K134:K137"/>
    <mergeCell ref="L134:L136"/>
    <mergeCell ref="H129:H132"/>
    <mergeCell ref="I129:I132"/>
    <mergeCell ref="J129:J132"/>
    <mergeCell ref="K129:K132"/>
    <mergeCell ref="L129:L131"/>
    <mergeCell ref="M129:M131"/>
    <mergeCell ref="N129:N131"/>
    <mergeCell ref="N107:N109"/>
    <mergeCell ref="O107:O109"/>
    <mergeCell ref="P107:P108"/>
    <mergeCell ref="Q107:Q108"/>
    <mergeCell ref="R107:R108"/>
    <mergeCell ref="S107:S108"/>
    <mergeCell ref="D123:D127"/>
    <mergeCell ref="E123:E127"/>
    <mergeCell ref="F123:F127"/>
    <mergeCell ref="G123:G127"/>
    <mergeCell ref="H123:H126"/>
    <mergeCell ref="I123:I126"/>
    <mergeCell ref="J123:J126"/>
    <mergeCell ref="K123:K126"/>
    <mergeCell ref="L123:L125"/>
    <mergeCell ref="M123:M125"/>
    <mergeCell ref="N123:N125"/>
    <mergeCell ref="O123:O125"/>
    <mergeCell ref="P123:P124"/>
    <mergeCell ref="Q123:Q124"/>
    <mergeCell ref="R123:R124"/>
    <mergeCell ref="S123:S124"/>
    <mergeCell ref="D107:D111"/>
    <mergeCell ref="E107:E111"/>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R31:R32"/>
    <mergeCell ref="S31:S32"/>
    <mergeCell ref="G31:G35"/>
    <mergeCell ref="H31:H34"/>
    <mergeCell ref="I31:I34"/>
    <mergeCell ref="J31:J34"/>
    <mergeCell ref="K31:K34"/>
    <mergeCell ref="L31:L33"/>
    <mergeCell ref="M31:M33"/>
    <mergeCell ref="N31:N33"/>
    <mergeCell ref="O31:O33"/>
  </mergeCells>
  <dataValidations count="60">
    <dataValidation allowBlank="1" showInputMessage="1" showErrorMessage="1" prompt="Для выбора выполните двойной щелчок левой клавиши мыши по соответствующей ячейке." sqref="K46:K47 K13:K14 K56:K57 O56:O57 S56:S57 K51:K52 K36:K37 O46:O47 O51:O52 O36:O37 S46:S47 S51:S52 S36:S37 O13:O14 S13:S14 K41:K42 O41:O42 S41:S42 K87:K88 O87:O88 S87:S88 K92:K93 O92:O93 S92:S93 K102:K103 O102:O103 S102:S103 K97:K98 O97:O98 S61:S62 S97:S98 K61:K62 O61:O62 O139:O140 O113:O114 S113:S114 O118:O119 S118:S119 K113:K114 K118:K119 S107:S108 K134:K135 O134:O135 K129:K130 O129:O130 S134:S135 O123:O124 S129:S130 O66:O67 S66:S67 K66:K67 K71:K72 O71:O72 S71:S72 F87:F111 K107:K108 O107:O108 F113:F127 S123:S124 K123:K124 F129:F143 S139:S140 K139:K140 F13:F21 F30:F75 K31:K32 O31:O32 S31:S32"/>
    <dataValidation type="textLength" operator="lessThanOrEqual" allowBlank="1" showInputMessage="1" showErrorMessage="1" errorTitle="Ошибка" error="Допускается ввод не более 900 символов!" sqref="J46:J47 J13:J14 J56:J57 R56:R57 V56:W56 J51:J52 J36:J37 R46:R47 R13:R14 R51:R52 R36:R37 V46:W46 V13:W13 V51:W51 V36:W36 J41:J42 R41:R42 V41:W41 J87:J88 R87:R88 V87:W87 J92:J93 R92:R93 V92:W92 J102:J103 R102:R103 V102:W102 J97:J98 R97:R98 V97:W97 J61:J62 R61:R62 V61:W61 J113:J114 R113:R114 V113:W113 J118:J119 R118:R119 V118:W118 J134:J135 R134:R135 V134:W134 J129:J130 R129:R130 V129:W129 J66:J67 R66:R67 V66:W66 J71:J72 R71:R72 V71:W71 J107:J108 R107:R108 V107:W107 J123:J124 R123:R124 V123:W123 J139:J140 R139:R140 V139:W139 J31:J32 R31:R32 V31:W3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N58 N51:N53 N36:N38 N46:N48 N13:N15 N41:N43 N87:N89 N102:N104 N92:N94 N97:N99 N61:N63 N113:N115 N118:N120 N134:N136 N129:N131 N66:N68 N71:N73 N107:N109 N123:N125 N139:N141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G113:G127 G129:G143 G87:G111 G13:G21 G30:G75"/>
    <dataValidation type="list" allowBlank="1" showInputMessage="1" showErrorMessage="1" errorTitle="Ошибка" error="Выберите значение из списка" prompt="Выберите значение из списка" sqref="E18:E21 E30">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Для выбора выполните двойной щелчок левой клавиши мыши по соответствующей ячейке." sqref="K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O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W22">
      <formula1>900</formula1>
    </dataValidation>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4131" hidden="1" customWidth="1"/>
    <col min="2" max="2" width="9.140625" style="4133" hidden="1" customWidth="1"/>
    <col min="3" max="3" width="4" style="4206" customWidth="1"/>
    <col min="4" max="4" width="6" style="4133" customWidth="1"/>
    <col min="5" max="5" width="47" style="4133" customWidth="1"/>
    <col min="6" max="6" width="9" style="4133" customWidth="1"/>
    <col min="7" max="7" width="25.7109375" style="4133" hidden="1" customWidth="1"/>
    <col min="8" max="8" width="34" style="4133" hidden="1" customWidth="1"/>
    <col min="9" max="9" width="25.7109375" style="4133" customWidth="1"/>
    <col min="10" max="10" width="33" style="4133" customWidth="1"/>
    <col min="11" max="11" width="50" style="4139" customWidth="1"/>
    <col min="12" max="20" width="10" style="4133" customWidth="1"/>
    <col min="21" max="21" width="10" style="4207" customWidth="1"/>
    <col min="22" max="22" width="10.5703125" style="4133" hidden="1"/>
  </cols>
  <sheetData>
    <row r="1" spans="1:22" s="4139" customFormat="1" ht="22.5" hidden="1" customHeight="1">
      <c r="C1" s="607"/>
      <c r="G1" s="352">
        <v>4</v>
      </c>
      <c r="I1" s="352">
        <v>4</v>
      </c>
      <c r="U1" s="355"/>
      <c r="V1" s="352" t="s">
        <v>14</v>
      </c>
    </row>
    <row r="2" spans="1:22" s="4133" customFormat="1" ht="15" hidden="1" customHeight="1">
      <c r="A2" s="297"/>
      <c r="C2" s="113"/>
      <c r="D2" s="282"/>
      <c r="E2" s="608"/>
      <c r="F2" s="457"/>
      <c r="G2" s="551"/>
      <c r="H2" s="551"/>
      <c r="I2" s="551"/>
      <c r="J2" s="551"/>
      <c r="U2" s="609"/>
      <c r="V2" s="444">
        <v>0</v>
      </c>
    </row>
    <row r="3" spans="1:22" s="4139"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4393" t="s">
        <v>1199</v>
      </c>
      <c r="E5" s="4393"/>
      <c r="F5" s="4393"/>
      <c r="G5" s="4393"/>
      <c r="H5" s="4393"/>
      <c r="I5" s="4393"/>
      <c r="J5" s="4393"/>
      <c r="V5" s="440">
        <v>63</v>
      </c>
    </row>
    <row r="6" spans="1:22" ht="15.75" customHeight="1">
      <c r="C6" s="113"/>
      <c r="D6" s="4365" t="str">
        <f>IF(org=0,"Не определено",org)</f>
        <v>АО "Мурманэнергосбыт"</v>
      </c>
      <c r="E6" s="4365"/>
      <c r="F6" s="4365"/>
      <c r="G6" s="4365"/>
      <c r="H6" s="4365"/>
      <c r="I6" s="4365"/>
      <c r="J6" s="4365"/>
      <c r="K6" s="472"/>
      <c r="V6" s="440">
        <v>15</v>
      </c>
    </row>
    <row r="7" spans="1:22" ht="15.75" customHeight="1">
      <c r="C7" s="113"/>
      <c r="D7" s="687"/>
      <c r="E7" s="444"/>
      <c r="F7" s="444"/>
      <c r="G7" s="472">
        <v>22</v>
      </c>
      <c r="I7" s="472">
        <v>1</v>
      </c>
      <c r="J7" s="687"/>
      <c r="V7" s="440">
        <v>15</v>
      </c>
    </row>
    <row r="8" spans="1:22" s="4133" customFormat="1" ht="1.1499999999999999" customHeight="1">
      <c r="A8" s="692"/>
      <c r="C8" s="113"/>
      <c r="D8" s="444"/>
      <c r="E8" s="444"/>
      <c r="F8" s="444"/>
      <c r="G8" s="472"/>
      <c r="H8" s="687"/>
      <c r="I8" s="472" t="s">
        <v>120</v>
      </c>
      <c r="J8" s="687"/>
      <c r="K8" s="352"/>
      <c r="U8" s="610"/>
      <c r="V8" s="691">
        <v>1</v>
      </c>
    </row>
    <row r="9" spans="1:22" ht="15.75" customHeight="1">
      <c r="C9" s="113"/>
      <c r="D9" s="646"/>
      <c r="E9" s="4499" t="s">
        <v>109</v>
      </c>
      <c r="F9" s="4500"/>
      <c r="G9" s="4524" t="str">
        <f>IF(G8="","",INDEX(DIFFERENTIATION_UNMERGE_VD,MATCH(G8,DIFFERENTIATION_ID_DIFF,0)))</f>
        <v/>
      </c>
      <c r="H9" s="4525"/>
      <c r="I9" s="4524">
        <f>IF(I8="","",INDEX(DIFFERENTIATION_UNMERGE_VD,MATCH(I8,DIFFERENTIATION_ID_DIFF,0)))</f>
        <v>0</v>
      </c>
      <c r="J9" s="4525"/>
      <c r="K9" s="4345" t="s">
        <v>322</v>
      </c>
      <c r="V9" s="440">
        <v>15</v>
      </c>
    </row>
    <row r="10" spans="1:22" s="4133" customFormat="1" ht="15.75" customHeight="1">
      <c r="A10" s="692"/>
      <c r="C10" s="113"/>
      <c r="D10" s="646"/>
      <c r="E10" s="4499" t="s">
        <v>585</v>
      </c>
      <c r="F10" s="4500"/>
      <c r="G10" s="4524" t="str">
        <f>IF(G8="","",INDEX(DIFFERENTIATION_UNMERGE_AREA,MATCH(G8,DIFFERENTIATION_ID_DIFF,0)))</f>
        <v/>
      </c>
      <c r="H10" s="4525"/>
      <c r="I10" s="4524" t="str">
        <f>IF(I8="","",INDEX(DIFFERENTIATION_UNMERGE_AREA,MATCH(I8,DIFFERENTIATION_ID_DIFF,0)))</f>
        <v/>
      </c>
      <c r="J10" s="4525"/>
      <c r="K10" s="4350"/>
      <c r="U10" s="610"/>
      <c r="V10" s="691">
        <v>15</v>
      </c>
    </row>
    <row r="11" spans="1:22" s="4133" customFormat="1" ht="15.75" customHeight="1">
      <c r="A11" s="692"/>
      <c r="C11" s="113"/>
      <c r="D11" s="646"/>
      <c r="E11" s="4499" t="s">
        <v>586</v>
      </c>
      <c r="F11" s="4500"/>
      <c r="G11" s="4524" t="str">
        <f>IF(G8="","",INDEX(DIFFERENTIATION_UNMERGE_SYSTEM,MATCH(G8,DIFFERENTIATION_ID_DIFF,0)))</f>
        <v/>
      </c>
      <c r="H11" s="4525"/>
      <c r="I11" s="4524" t="str">
        <f>IF(I8="","",INDEX(DIFFERENTIATION_UNMERGE_SYSTEM,MATCH(I8,DIFFERENTIATION_ID_DIFF,0)))</f>
        <v>без дифференциации</v>
      </c>
      <c r="J11" s="4525"/>
      <c r="K11" s="4350"/>
      <c r="U11" s="610"/>
      <c r="V11" s="691">
        <v>15</v>
      </c>
    </row>
    <row r="12" spans="1:22" s="4133" customFormat="1" ht="15.75" customHeight="1">
      <c r="A12" s="692"/>
      <c r="C12" s="113"/>
      <c r="D12" s="4501" t="s">
        <v>321</v>
      </c>
      <c r="E12" s="4502"/>
      <c r="F12" s="4502"/>
      <c r="G12" s="811"/>
      <c r="H12" s="811"/>
      <c r="I12" s="811"/>
      <c r="J12" s="811"/>
      <c r="K12" s="4350"/>
      <c r="U12" s="610"/>
      <c r="V12" s="691">
        <v>15</v>
      </c>
    </row>
    <row r="13" spans="1:22" ht="35.65" customHeight="1">
      <c r="C13" s="113"/>
      <c r="D13" s="734" t="s">
        <v>92</v>
      </c>
      <c r="E13" s="736" t="s">
        <v>323</v>
      </c>
      <c r="F13" s="736" t="s">
        <v>587</v>
      </c>
      <c r="G13" s="737" t="s">
        <v>324</v>
      </c>
      <c r="H13" s="736" t="s">
        <v>411</v>
      </c>
      <c r="I13" s="737" t="s">
        <v>324</v>
      </c>
      <c r="J13" s="736" t="s">
        <v>411</v>
      </c>
      <c r="K13" s="4398"/>
      <c r="V13" s="440">
        <v>34</v>
      </c>
    </row>
    <row r="14" spans="1:22" ht="15" hidden="1" customHeight="1">
      <c r="C14" s="113"/>
      <c r="D14" s="528" t="s">
        <v>113</v>
      </c>
      <c r="E14" s="528" t="s">
        <v>114</v>
      </c>
      <c r="F14" s="528" t="s">
        <v>94</v>
      </c>
      <c r="G14" s="594" t="str">
        <f>G1&amp;".1"</f>
        <v>4.1</v>
      </c>
      <c r="H14" s="594"/>
      <c r="I14" s="594" t="str">
        <f>I1&amp;".1"</f>
        <v>4.1</v>
      </c>
      <c r="J14" s="594"/>
      <c r="K14" s="225"/>
      <c r="V14" s="440">
        <v>0</v>
      </c>
    </row>
    <row r="15" spans="1:22" ht="22.5" hidden="1" customHeight="1">
      <c r="A15" s="440"/>
      <c r="C15" s="461"/>
      <c r="D15" s="456">
        <v>1</v>
      </c>
      <c r="E15" s="612" t="s">
        <v>829</v>
      </c>
      <c r="F15" s="456" t="s">
        <v>830</v>
      </c>
      <c r="G15" s="613"/>
      <c r="H15" s="613"/>
      <c r="I15" s="613"/>
      <c r="J15" s="613"/>
      <c r="K15" s="225" t="s">
        <v>831</v>
      </c>
      <c r="V15" s="440">
        <v>0</v>
      </c>
    </row>
    <row r="16" spans="1:22" ht="22.5" hidden="1" customHeight="1">
      <c r="A16" s="440"/>
      <c r="C16" s="461"/>
      <c r="D16" s="456">
        <v>2</v>
      </c>
      <c r="E16" s="215" t="s">
        <v>832</v>
      </c>
      <c r="F16" s="456" t="s">
        <v>833</v>
      </c>
      <c r="G16" s="613"/>
      <c r="H16" s="613"/>
      <c r="I16" s="613"/>
      <c r="J16" s="613"/>
      <c r="K16" s="225" t="s">
        <v>834</v>
      </c>
      <c r="V16" s="440">
        <v>0</v>
      </c>
    </row>
    <row r="17" spans="1:22" ht="123.75" hidden="1" customHeight="1">
      <c r="A17" s="440"/>
      <c r="C17" s="461"/>
      <c r="D17" s="456">
        <v>3</v>
      </c>
      <c r="E17" s="215" t="s">
        <v>1200</v>
      </c>
      <c r="F17" s="456" t="s">
        <v>327</v>
      </c>
      <c r="G17" s="613"/>
      <c r="H17" s="613"/>
      <c r="I17" s="613"/>
      <c r="J17" s="613"/>
      <c r="K17" s="225" t="s">
        <v>1201</v>
      </c>
      <c r="V17" s="440">
        <v>0</v>
      </c>
    </row>
    <row r="18" spans="1:22" ht="48.2" customHeight="1">
      <c r="A18" s="440"/>
      <c r="C18" s="461"/>
      <c r="D18" s="456">
        <v>3</v>
      </c>
      <c r="E18" s="215" t="s">
        <v>835</v>
      </c>
      <c r="F18" s="456" t="s">
        <v>327</v>
      </c>
      <c r="G18" s="738" t="s">
        <v>327</v>
      </c>
      <c r="H18" s="739" t="s">
        <v>327</v>
      </c>
      <c r="I18" s="456" t="s">
        <v>327</v>
      </c>
      <c r="J18" s="513" t="s">
        <v>327</v>
      </c>
      <c r="K18" s="225" t="s">
        <v>1202</v>
      </c>
      <c r="V18" s="440">
        <v>46</v>
      </c>
    </row>
    <row r="19" spans="1:22" ht="35.65" customHeight="1">
      <c r="A19" s="440"/>
      <c r="C19" s="461"/>
      <c r="D19" s="474" t="s">
        <v>345</v>
      </c>
      <c r="E19" s="494" t="s">
        <v>837</v>
      </c>
      <c r="F19" s="456" t="s">
        <v>838</v>
      </c>
      <c r="G19" s="746"/>
      <c r="H19" s="46"/>
      <c r="I19" s="746"/>
      <c r="J19" s="747"/>
      <c r="K19" s="614"/>
      <c r="V19" s="440">
        <v>34</v>
      </c>
    </row>
    <row r="20" spans="1:22" ht="35.65" customHeight="1">
      <c r="A20" s="440"/>
      <c r="C20" s="461"/>
      <c r="D20" s="1805" t="s">
        <v>353</v>
      </c>
      <c r="E20" s="494" t="s">
        <v>839</v>
      </c>
      <c r="F20" s="456" t="s">
        <v>840</v>
      </c>
      <c r="G20" s="746"/>
      <c r="H20" s="46"/>
      <c r="I20" s="746"/>
      <c r="J20" s="46"/>
      <c r="K20" s="614"/>
      <c r="V20" s="440">
        <v>34</v>
      </c>
    </row>
    <row r="21" spans="1:22" ht="48.2" customHeight="1">
      <c r="A21" s="440"/>
      <c r="C21" s="461"/>
      <c r="D21" s="1805" t="s">
        <v>355</v>
      </c>
      <c r="E21" s="494" t="s">
        <v>841</v>
      </c>
      <c r="F21" s="456" t="s">
        <v>592</v>
      </c>
      <c r="G21" s="615"/>
      <c r="H21" s="46"/>
      <c r="I21" s="615"/>
      <c r="J21" s="46"/>
      <c r="K21" s="614"/>
      <c r="V21" s="440">
        <v>46</v>
      </c>
    </row>
    <row r="22" spans="1:22" ht="67.5" hidden="1" customHeight="1">
      <c r="A22" s="440"/>
      <c r="C22" s="461"/>
      <c r="D22" s="456">
        <v>5</v>
      </c>
      <c r="E22" s="215" t="s">
        <v>1203</v>
      </c>
      <c r="F22" s="456" t="s">
        <v>579</v>
      </c>
      <c r="G22" s="616"/>
      <c r="H22" s="617"/>
      <c r="I22" s="616"/>
      <c r="J22" s="617"/>
      <c r="K22" s="225" t="s">
        <v>1204</v>
      </c>
      <c r="V22" s="440">
        <v>0</v>
      </c>
    </row>
    <row r="23" spans="1:22" ht="33.75" hidden="1" customHeight="1">
      <c r="C23" s="386"/>
      <c r="D23" s="456">
        <v>6</v>
      </c>
      <c r="E23" s="215" t="s">
        <v>1205</v>
      </c>
      <c r="F23" s="456" t="s">
        <v>1206</v>
      </c>
      <c r="G23" s="616"/>
      <c r="H23" s="616"/>
      <c r="I23" s="616"/>
      <c r="J23" s="616"/>
      <c r="K23" s="225" t="s">
        <v>1207</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86</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4219" customWidth="1"/>
    <col min="2" max="2" width="11" style="4143" customWidth="1"/>
    <col min="3" max="3" width="9.140625" style="4143"/>
    <col min="4" max="4" width="26.5703125" style="4143" customWidth="1"/>
    <col min="5" max="5" width="36.85546875" style="4215" customWidth="1"/>
    <col min="6" max="6" width="23.5703125" style="4215" customWidth="1"/>
    <col min="7" max="7" width="31.42578125" style="4215" customWidth="1"/>
    <col min="8" max="8" width="40.85546875" style="4215" customWidth="1"/>
    <col min="9" max="9" width="14.5703125" style="4215" customWidth="1"/>
    <col min="10" max="10" width="26.85546875" style="4215" customWidth="1"/>
    <col min="11" max="11" width="50" style="4215" customWidth="1"/>
    <col min="12" max="12" width="52.42578125" style="4215" customWidth="1"/>
    <col min="13" max="13" width="10.7109375" style="4215" customWidth="1"/>
    <col min="14" max="14" width="55.140625" style="4215" customWidth="1"/>
    <col min="15" max="15" width="31.85546875" style="4215" customWidth="1"/>
    <col min="16" max="16" width="23.85546875" style="4215" customWidth="1"/>
    <col min="17" max="17" width="46.5703125" style="4215" customWidth="1"/>
    <col min="18" max="18" width="24" style="4215" customWidth="1"/>
    <col min="19" max="19" width="20.5703125" style="4215" customWidth="1"/>
    <col min="20" max="20" width="22" style="4215" customWidth="1"/>
    <col min="21" max="22" width="26.42578125" style="4215" customWidth="1"/>
    <col min="23" max="23" width="8.28515625" style="4215" hidden="1" customWidth="1"/>
    <col min="24" max="24" width="59.7109375" style="4215" customWidth="1"/>
    <col min="25" max="25" width="49.140625" style="4215" customWidth="1"/>
    <col min="26" max="26" width="11.140625" style="4215" customWidth="1"/>
    <col min="27" max="30" width="29" style="4215" customWidth="1"/>
    <col min="31" max="31" width="9.140625" style="4215"/>
    <col min="32" max="32" width="34.7109375" style="4215" customWidth="1"/>
    <col min="33" max="33" width="9.140625" style="4215"/>
    <col min="34" max="35" width="34.42578125" style="4215" customWidth="1"/>
    <col min="36" max="36" width="9.140625" style="4215"/>
    <col min="37" max="37" width="24.5703125" style="4215" customWidth="1"/>
    <col min="38" max="38" width="9.140625" style="4215"/>
    <col min="39" max="39" width="26.140625" style="4215" customWidth="1"/>
    <col min="40" max="40" width="1.7109375" style="4215" customWidth="1"/>
    <col min="41" max="41" width="9.140625" style="4215"/>
    <col min="42" max="43" width="47.85546875" style="4215" customWidth="1"/>
    <col min="44" max="44" width="1.7109375" style="4215" customWidth="1"/>
    <col min="45" max="45" width="21.42578125" style="4215" customWidth="1"/>
    <col min="46" max="46" width="1.7109375" style="4215" customWidth="1"/>
    <col min="47" max="47" width="31.28515625" style="4215" customWidth="1"/>
    <col min="48" max="48" width="1.7109375" style="4215" customWidth="1"/>
    <col min="49" max="50" width="9.140625" style="4215"/>
    <col min="51" max="51" width="3.7109375" style="4215" customWidth="1"/>
    <col min="52" max="52" width="60.85546875" style="4215" customWidth="1"/>
    <col min="53" max="53" width="49.28515625" style="4215" customWidth="1"/>
    <col min="54" max="54" width="35.140625" style="4215" customWidth="1"/>
    <col min="55" max="55" width="9.140625" style="4215"/>
    <col min="56" max="56" width="1.7109375" style="4215" customWidth="1"/>
    <col min="57" max="57" width="12.5703125" style="4220" customWidth="1"/>
    <col min="58" max="58" width="14.28515625" style="4220" customWidth="1"/>
    <col min="59" max="59" width="30.7109375" style="4215" customWidth="1"/>
    <col min="60" max="60" width="40.7109375" style="4221" customWidth="1"/>
    <col min="61" max="61" width="15" style="4221" customWidth="1"/>
    <col min="62" max="62" width="40.7109375" style="4221" customWidth="1"/>
    <col min="63" max="63" width="2.7109375" style="4221" customWidth="1"/>
    <col min="64" max="64" width="44.7109375" style="4221" customWidth="1"/>
    <col min="65" max="65" width="2.7109375" style="4221" customWidth="1"/>
    <col min="66" max="66" width="40.7109375" style="4221" customWidth="1"/>
    <col min="67" max="68" width="9.140625" style="4215"/>
    <col min="69" max="69" width="18.140625" style="4215" customWidth="1"/>
    <col min="70" max="70" width="57.85546875" style="4215" customWidth="1"/>
    <col min="71" max="71" width="1.7109375" style="4215" customWidth="1"/>
    <col min="72" max="72" width="22.5703125" style="4215" customWidth="1"/>
    <col min="73" max="73" width="57.85546875" style="4215" customWidth="1"/>
    <col min="74" max="74" width="1.7109375" style="4215" customWidth="1"/>
    <col min="75" max="75" width="22.5703125" style="4215" customWidth="1"/>
    <col min="76" max="76" width="57.85546875" style="4215" customWidth="1"/>
    <col min="77" max="77" width="1.7109375" style="4215" customWidth="1"/>
    <col min="78" max="78" width="22.5703125" style="4215" customWidth="1"/>
    <col min="79" max="79" width="57.85546875" style="4215" customWidth="1"/>
    <col min="80" max="81" width="9.140625" style="4215"/>
    <col min="82" max="82" width="49.5703125" style="4215" customWidth="1"/>
  </cols>
  <sheetData>
    <row r="1" spans="1:79" s="4218" customFormat="1" ht="11.25" customHeight="1">
      <c r="A1" s="988" t="s">
        <v>1208</v>
      </c>
      <c r="B1" s="988" t="s">
        <v>1209</v>
      </c>
      <c r="C1" s="988" t="s">
        <v>1210</v>
      </c>
      <c r="D1" s="988" t="s">
        <v>1211</v>
      </c>
      <c r="E1" s="988" t="s">
        <v>1212</v>
      </c>
      <c r="F1" s="988" t="s">
        <v>1213</v>
      </c>
      <c r="G1" s="988" t="s">
        <v>1214</v>
      </c>
      <c r="H1" s="988" t="s">
        <v>1215</v>
      </c>
      <c r="I1" s="988" t="s">
        <v>1216</v>
      </c>
      <c r="J1" s="988" t="s">
        <v>1217</v>
      </c>
      <c r="K1" s="988" t="s">
        <v>1218</v>
      </c>
      <c r="L1" s="988" t="s">
        <v>1219</v>
      </c>
      <c r="M1" s="988"/>
      <c r="N1" s="988" t="s">
        <v>1220</v>
      </c>
      <c r="O1" s="988" t="s">
        <v>1221</v>
      </c>
      <c r="P1" s="988" t="s">
        <v>1222</v>
      </c>
      <c r="Q1" s="988" t="s">
        <v>1223</v>
      </c>
      <c r="R1" s="988" t="s">
        <v>1224</v>
      </c>
      <c r="S1" s="988" t="s">
        <v>1225</v>
      </c>
      <c r="T1" s="988" t="s">
        <v>1226</v>
      </c>
      <c r="U1" s="988" t="s">
        <v>1227</v>
      </c>
      <c r="V1" s="988"/>
      <c r="W1" s="726" t="s">
        <v>1228</v>
      </c>
      <c r="X1" s="988" t="s">
        <v>1229</v>
      </c>
      <c r="Y1" s="988" t="s">
        <v>1230</v>
      </c>
      <c r="Z1" s="988"/>
      <c r="AA1" s="988" t="s">
        <v>1231</v>
      </c>
      <c r="AB1" s="988"/>
      <c r="AC1" s="988" t="s">
        <v>1232</v>
      </c>
      <c r="AD1" s="988"/>
      <c r="AF1" s="988" t="s">
        <v>1233</v>
      </c>
      <c r="AH1" s="988" t="s">
        <v>1234</v>
      </c>
      <c r="AI1" s="988" t="s">
        <v>1235</v>
      </c>
      <c r="AK1" s="988" t="s">
        <v>1236</v>
      </c>
      <c r="AM1" s="988" t="s">
        <v>1237</v>
      </c>
      <c r="AP1" s="988" t="s">
        <v>1238</v>
      </c>
      <c r="AQ1" s="988" t="s">
        <v>1239</v>
      </c>
      <c r="AS1" s="988" t="s">
        <v>1240</v>
      </c>
      <c r="AU1" s="988" t="s">
        <v>1241</v>
      </c>
      <c r="AW1" s="988" t="s">
        <v>1242</v>
      </c>
      <c r="AX1" s="988" t="s">
        <v>1243</v>
      </c>
      <c r="AZ1" s="1070" t="s">
        <v>1244</v>
      </c>
      <c r="BB1" s="988" t="s">
        <v>1245</v>
      </c>
      <c r="BC1" s="988"/>
      <c r="BE1" s="988" t="s">
        <v>1246</v>
      </c>
      <c r="BF1" s="988" t="s">
        <v>1247</v>
      </c>
      <c r="BH1" s="990" t="s">
        <v>828</v>
      </c>
      <c r="BI1" s="991"/>
      <c r="BJ1" s="992" t="s">
        <v>1248</v>
      </c>
      <c r="BK1" s="991"/>
      <c r="BL1" s="993" t="s">
        <v>927</v>
      </c>
      <c r="BM1" s="991"/>
      <c r="BN1" s="994" t="s">
        <v>1249</v>
      </c>
      <c r="BS1" s="1345"/>
    </row>
    <row r="2" spans="1:79" ht="11.25" customHeight="1">
      <c r="A2" s="995" t="s">
        <v>1250</v>
      </c>
      <c r="B2" s="996">
        <v>2000</v>
      </c>
      <c r="C2" s="996">
        <v>2022</v>
      </c>
      <c r="D2" s="996" t="s">
        <v>65</v>
      </c>
      <c r="E2" s="997" t="s">
        <v>1251</v>
      </c>
      <c r="F2" s="997" t="s">
        <v>1252</v>
      </c>
      <c r="G2" s="997" t="s">
        <v>1253</v>
      </c>
      <c r="H2" s="998" t="s">
        <v>59</v>
      </c>
      <c r="I2" s="997" t="s">
        <v>113</v>
      </c>
      <c r="J2" s="997" t="s">
        <v>1254</v>
      </c>
      <c r="K2" s="999" t="s">
        <v>1255</v>
      </c>
      <c r="L2" s="1000"/>
      <c r="M2" s="999">
        <v>1</v>
      </c>
      <c r="N2" s="1080" t="s">
        <v>1256</v>
      </c>
      <c r="O2" s="998" t="s">
        <v>469</v>
      </c>
      <c r="P2" s="1001" t="s">
        <v>1257</v>
      </c>
      <c r="Q2" s="1002" t="s">
        <v>467</v>
      </c>
      <c r="R2" s="82" t="s">
        <v>1258</v>
      </c>
      <c r="S2" s="82" t="s">
        <v>1259</v>
      </c>
      <c r="T2" s="1003" t="s">
        <v>1260</v>
      </c>
      <c r="U2" s="1000" t="s">
        <v>1261</v>
      </c>
      <c r="V2" s="1004">
        <v>1</v>
      </c>
      <c r="W2" s="1005"/>
      <c r="X2" s="1005" t="s">
        <v>1262</v>
      </c>
      <c r="Y2" s="996" t="s">
        <v>1263</v>
      </c>
      <c r="Z2" s="1006"/>
      <c r="AA2" s="996" t="s">
        <v>1264</v>
      </c>
      <c r="AB2" s="1007" t="s">
        <v>1264</v>
      </c>
      <c r="AC2" s="996" t="s">
        <v>1265</v>
      </c>
      <c r="AD2" s="1007" t="s">
        <v>1265</v>
      </c>
      <c r="AF2" s="998" t="s">
        <v>1261</v>
      </c>
      <c r="AH2" s="997" t="s">
        <v>1266</v>
      </c>
      <c r="AI2" s="997" t="s">
        <v>1266</v>
      </c>
      <c r="AK2" s="997" t="s">
        <v>1267</v>
      </c>
      <c r="AM2" s="997" t="s">
        <v>1268</v>
      </c>
      <c r="AP2" s="1008" t="s">
        <v>1262</v>
      </c>
      <c r="AQ2" s="1009" t="s">
        <v>1262</v>
      </c>
      <c r="AS2" s="996" t="s">
        <v>1269</v>
      </c>
      <c r="AU2" s="1038" t="s">
        <v>1270</v>
      </c>
      <c r="AW2" s="1038" t="s">
        <v>1271</v>
      </c>
      <c r="AX2" s="1038" t="s">
        <v>1271</v>
      </c>
      <c r="AZ2" s="1038" t="s">
        <v>57</v>
      </c>
      <c r="BB2" s="1038" t="s">
        <v>1272</v>
      </c>
      <c r="BC2" s="1038" t="s">
        <v>1273</v>
      </c>
      <c r="BE2" s="1038">
        <v>2000</v>
      </c>
      <c r="BF2" s="1038" t="s">
        <v>1274</v>
      </c>
    </row>
    <row r="3" spans="1:79" ht="11.25" customHeight="1">
      <c r="A3" s="995" t="s">
        <v>1275</v>
      </c>
      <c r="B3" s="996">
        <v>2001</v>
      </c>
      <c r="C3" s="996">
        <v>2023</v>
      </c>
      <c r="D3" s="996" t="s">
        <v>19</v>
      </c>
      <c r="E3" s="997" t="s">
        <v>1276</v>
      </c>
      <c r="F3" s="997" t="s">
        <v>1277</v>
      </c>
      <c r="G3" s="997" t="s">
        <v>1278</v>
      </c>
      <c r="H3" s="998" t="s">
        <v>1279</v>
      </c>
      <c r="I3" s="997" t="s">
        <v>114</v>
      </c>
      <c r="J3" s="997" t="s">
        <v>577</v>
      </c>
      <c r="K3" s="999" t="s">
        <v>1280</v>
      </c>
      <c r="L3" s="1000">
        <f>IFERROR(MATCH(K3,OFFER_METHOD,0),0)</f>
        <v>0</v>
      </c>
      <c r="M3" s="999">
        <v>2</v>
      </c>
      <c r="N3" s="1080" t="s">
        <v>1281</v>
      </c>
      <c r="O3" s="998" t="s">
        <v>1282</v>
      </c>
      <c r="P3" s="1001" t="s">
        <v>37</v>
      </c>
      <c r="Q3" s="1002" t="s">
        <v>1283</v>
      </c>
      <c r="R3" s="82" t="s">
        <v>1284</v>
      </c>
      <c r="S3" s="82" t="s">
        <v>1285</v>
      </c>
      <c r="T3" s="1003" t="s">
        <v>1286</v>
      </c>
      <c r="U3" s="1000" t="s">
        <v>1287</v>
      </c>
      <c r="V3" s="1004">
        <v>2</v>
      </c>
      <c r="W3" s="1005"/>
      <c r="X3" s="1005" t="s">
        <v>1288</v>
      </c>
      <c r="Y3" s="996" t="s">
        <v>1263</v>
      </c>
      <c r="Z3" s="1006"/>
      <c r="AA3" s="996" t="s">
        <v>1289</v>
      </c>
      <c r="AB3" s="1007" t="s">
        <v>1289</v>
      </c>
      <c r="AC3" s="996" t="s">
        <v>1290</v>
      </c>
      <c r="AD3" s="1007" t="s">
        <v>1290</v>
      </c>
      <c r="AF3" s="998" t="s">
        <v>1287</v>
      </c>
      <c r="AH3" s="997" t="s">
        <v>1291</v>
      </c>
      <c r="AI3" s="997" t="s">
        <v>1292</v>
      </c>
      <c r="AK3" s="997" t="s">
        <v>1293</v>
      </c>
      <c r="AM3" s="997" t="s">
        <v>1294</v>
      </c>
      <c r="AP3" s="1008" t="s">
        <v>1295</v>
      </c>
      <c r="AQ3" s="1009" t="s">
        <v>1295</v>
      </c>
      <c r="AS3" s="996" t="s">
        <v>1296</v>
      </c>
      <c r="AU3" s="1038" t="s">
        <v>1297</v>
      </c>
      <c r="AW3" s="1038" t="s">
        <v>1298</v>
      </c>
      <c r="AX3" s="1038" t="s">
        <v>1298</v>
      </c>
      <c r="AZ3" s="1038" t="s">
        <v>1299</v>
      </c>
      <c r="BB3" s="1038" t="s">
        <v>1300</v>
      </c>
      <c r="BC3" s="1038" t="s">
        <v>1273</v>
      </c>
      <c r="BE3" s="1038">
        <v>2001</v>
      </c>
      <c r="BF3" s="1038" t="s">
        <v>1301</v>
      </c>
      <c r="BH3" s="988" t="s">
        <v>1302</v>
      </c>
      <c r="BJ3" s="988" t="s">
        <v>1303</v>
      </c>
      <c r="BL3" s="988" t="s">
        <v>1304</v>
      </c>
      <c r="BN3" s="988" t="s">
        <v>1305</v>
      </c>
      <c r="BR3" s="988" t="s">
        <v>1306</v>
      </c>
      <c r="BS3" s="1346"/>
      <c r="BT3" s="991"/>
      <c r="BU3" s="988" t="s">
        <v>1307</v>
      </c>
      <c r="BV3" s="991"/>
      <c r="BW3" s="1608"/>
      <c r="BX3" s="1610" t="s">
        <v>1308</v>
      </c>
      <c r="CA3" s="988" t="s">
        <v>1309</v>
      </c>
    </row>
    <row r="4" spans="1:79" ht="11.25" customHeight="1">
      <c r="A4" s="995" t="s">
        <v>1310</v>
      </c>
      <c r="B4" s="996">
        <v>2002</v>
      </c>
      <c r="C4" s="996">
        <v>2024</v>
      </c>
      <c r="E4" s="997" t="s">
        <v>1311</v>
      </c>
      <c r="F4" s="997" t="s">
        <v>1312</v>
      </c>
      <c r="H4" s="998" t="s">
        <v>1313</v>
      </c>
      <c r="I4" s="997" t="s">
        <v>94</v>
      </c>
      <c r="J4" s="997" t="s">
        <v>1314</v>
      </c>
      <c r="K4" s="999" t="s">
        <v>1315</v>
      </c>
      <c r="L4" s="1000">
        <f>IFERROR(MATCH(K4,OFFER_METHOD,0),0)</f>
        <v>0</v>
      </c>
      <c r="M4" s="999">
        <v>3</v>
      </c>
      <c r="N4" s="1080" t="s">
        <v>1316</v>
      </c>
      <c r="O4" s="997" t="s">
        <v>1317</v>
      </c>
      <c r="Q4" s="1002" t="s">
        <v>1318</v>
      </c>
      <c r="R4" s="82" t="s">
        <v>1319</v>
      </c>
      <c r="S4" s="82" t="s">
        <v>1320</v>
      </c>
      <c r="T4" s="1003" t="s">
        <v>1321</v>
      </c>
      <c r="U4" s="1000" t="s">
        <v>1322</v>
      </c>
      <c r="V4" s="1004">
        <v>3</v>
      </c>
      <c r="W4" s="1005"/>
      <c r="X4" s="1005" t="s">
        <v>1323</v>
      </c>
      <c r="Y4" s="996" t="s">
        <v>1263</v>
      </c>
      <c r="Z4" s="1011"/>
      <c r="AC4" s="996" t="s">
        <v>1324</v>
      </c>
      <c r="AD4" s="1007" t="s">
        <v>1324</v>
      </c>
      <c r="AF4" s="998" t="s">
        <v>1322</v>
      </c>
      <c r="AH4" s="998" t="s">
        <v>1325</v>
      </c>
      <c r="AK4" s="997" t="s">
        <v>1326</v>
      </c>
      <c r="AM4" s="997" t="s">
        <v>1327</v>
      </c>
      <c r="AP4" s="1008" t="s">
        <v>1288</v>
      </c>
      <c r="AQ4" s="1009" t="s">
        <v>1288</v>
      </c>
      <c r="AS4" s="996" t="s">
        <v>1328</v>
      </c>
      <c r="AU4" s="1038" t="s">
        <v>1329</v>
      </c>
      <c r="AW4" s="1038" t="s">
        <v>1330</v>
      </c>
      <c r="AX4" s="1038" t="s">
        <v>1330</v>
      </c>
      <c r="AZ4" s="1038" t="s">
        <v>1331</v>
      </c>
      <c r="BB4" s="1038" t="s">
        <v>1332</v>
      </c>
      <c r="BC4" s="1038" t="s">
        <v>1333</v>
      </c>
      <c r="BE4" s="1038">
        <v>2002</v>
      </c>
      <c r="BF4" s="1038" t="s">
        <v>1334</v>
      </c>
      <c r="BH4" s="989" t="s">
        <v>1335</v>
      </c>
      <c r="BJ4" s="989" t="s">
        <v>1335</v>
      </c>
      <c r="BL4" s="989" t="s">
        <v>1335</v>
      </c>
      <c r="BN4" s="989" t="s">
        <v>1335</v>
      </c>
      <c r="BQ4" s="1350" t="s">
        <v>1336</v>
      </c>
      <c r="BR4" s="1077" t="s">
        <v>1337</v>
      </c>
      <c r="BS4" s="210"/>
      <c r="BT4" s="1350" t="s">
        <v>1338</v>
      </c>
      <c r="BU4" s="1077" t="s">
        <v>1339</v>
      </c>
      <c r="BV4" s="991"/>
      <c r="BW4" s="1615" t="s">
        <v>1340</v>
      </c>
      <c r="BX4" s="1609" t="s">
        <v>1341</v>
      </c>
      <c r="BZ4" s="1350" t="s">
        <v>1342</v>
      </c>
      <c r="CA4" s="1077" t="s">
        <v>1343</v>
      </c>
    </row>
    <row r="5" spans="1:79" ht="11.25" customHeight="1">
      <c r="A5" s="995" t="s">
        <v>1344</v>
      </c>
      <c r="B5" s="996">
        <v>2003</v>
      </c>
      <c r="C5" s="996">
        <v>2025</v>
      </c>
      <c r="E5" s="997" t="s">
        <v>1345</v>
      </c>
      <c r="F5" s="997" t="s">
        <v>1346</v>
      </c>
      <c r="H5" s="998" t="s">
        <v>1347</v>
      </c>
      <c r="I5" s="997" t="s">
        <v>95</v>
      </c>
      <c r="K5" s="999" t="s">
        <v>1348</v>
      </c>
      <c r="L5" s="1000">
        <f>IFERROR(MATCH(K5,OFFER_METHOD,0),0)</f>
        <v>0</v>
      </c>
      <c r="M5" s="999">
        <v>4</v>
      </c>
      <c r="N5" s="1012" t="s">
        <v>1349</v>
      </c>
      <c r="O5" s="997" t="s">
        <v>1350</v>
      </c>
      <c r="Q5" s="1002" t="s">
        <v>1351</v>
      </c>
      <c r="R5" s="82" t="s">
        <v>468</v>
      </c>
      <c r="T5" s="998" t="s">
        <v>1352</v>
      </c>
      <c r="U5" s="1000" t="s">
        <v>1353</v>
      </c>
      <c r="V5" s="1004">
        <v>4</v>
      </c>
      <c r="W5" s="1005"/>
      <c r="X5" s="1005" t="s">
        <v>189</v>
      </c>
      <c r="Y5" s="996" t="s">
        <v>1354</v>
      </c>
      <c r="Z5" s="1011">
        <v>1</v>
      </c>
      <c r="AF5" s="998" t="s">
        <v>1355</v>
      </c>
      <c r="AH5" s="997" t="s">
        <v>1356</v>
      </c>
      <c r="AK5" s="997" t="s">
        <v>1357</v>
      </c>
      <c r="AM5" s="997" t="s">
        <v>1358</v>
      </c>
      <c r="AP5" s="1008" t="s">
        <v>189</v>
      </c>
      <c r="AQ5" s="1009" t="s">
        <v>189</v>
      </c>
      <c r="AU5" s="1038" t="s">
        <v>1359</v>
      </c>
      <c r="AW5" s="1038" t="s">
        <v>1360</v>
      </c>
      <c r="AX5" s="1038" t="s">
        <v>1360</v>
      </c>
      <c r="AZ5" s="1038" t="s">
        <v>1361</v>
      </c>
      <c r="BB5" s="1038" t="s">
        <v>1362</v>
      </c>
      <c r="BC5" s="1038" t="s">
        <v>1363</v>
      </c>
      <c r="BE5" s="1038">
        <v>2003</v>
      </c>
      <c r="BF5" s="1038" t="s">
        <v>1364</v>
      </c>
      <c r="BH5" s="989" t="s">
        <v>1365</v>
      </c>
      <c r="BJ5" s="989" t="s">
        <v>1365</v>
      </c>
      <c r="BL5" s="989" t="s">
        <v>1365</v>
      </c>
      <c r="BN5" s="989" t="s">
        <v>1366</v>
      </c>
      <c r="BQ5" s="1199">
        <v>4213775</v>
      </c>
      <c r="BR5" s="989" t="s">
        <v>1262</v>
      </c>
      <c r="BS5" s="1347"/>
      <c r="BT5" s="1199">
        <v>64236871</v>
      </c>
      <c r="BU5" s="989" t="s">
        <v>250</v>
      </c>
      <c r="BV5" s="991"/>
      <c r="BW5" s="1613">
        <v>4213767</v>
      </c>
      <c r="BX5" s="1611" t="s">
        <v>1367</v>
      </c>
      <c r="BZ5" s="1199">
        <v>64237509</v>
      </c>
      <c r="CA5" s="1213" t="s">
        <v>1368</v>
      </c>
    </row>
    <row r="6" spans="1:79" ht="11.25" customHeight="1">
      <c r="A6" s="995" t="s">
        <v>1369</v>
      </c>
      <c r="B6" s="996">
        <v>2004</v>
      </c>
      <c r="C6" s="996">
        <v>2026</v>
      </c>
      <c r="E6" s="997" t="s">
        <v>1370</v>
      </c>
      <c r="F6" s="1013"/>
      <c r="H6" s="998" t="s">
        <v>1371</v>
      </c>
      <c r="I6" s="997" t="s">
        <v>103</v>
      </c>
      <c r="J6" s="988" t="s">
        <v>1372</v>
      </c>
      <c r="L6" s="1000">
        <f>SUM(kind_of_control_method_filter)</f>
        <v>0</v>
      </c>
      <c r="N6" s="1012" t="s">
        <v>1373</v>
      </c>
      <c r="O6" s="997" t="s">
        <v>1374</v>
      </c>
      <c r="R6" s="82" t="s">
        <v>467</v>
      </c>
      <c r="T6" s="998" t="s">
        <v>1375</v>
      </c>
      <c r="U6" s="1000" t="s">
        <v>1355</v>
      </c>
      <c r="V6" s="1004">
        <v>5</v>
      </c>
      <c r="W6" s="1005"/>
      <c r="X6" s="996" t="s">
        <v>195</v>
      </c>
      <c r="Y6" s="996" t="s">
        <v>1376</v>
      </c>
      <c r="Z6" s="1011"/>
      <c r="AA6" s="1014"/>
      <c r="AH6" s="997" t="s">
        <v>1377</v>
      </c>
      <c r="AK6" s="997" t="s">
        <v>1378</v>
      </c>
      <c r="AM6" s="997" t="s">
        <v>1379</v>
      </c>
      <c r="AP6" s="1008" t="s">
        <v>195</v>
      </c>
      <c r="AQ6" s="1009" t="s">
        <v>195</v>
      </c>
      <c r="AU6" s="1038" t="s">
        <v>1380</v>
      </c>
      <c r="AW6" s="1038" t="s">
        <v>1381</v>
      </c>
      <c r="AX6" s="1038" t="s">
        <v>1381</v>
      </c>
      <c r="BB6" s="1038" t="s">
        <v>1382</v>
      </c>
      <c r="BC6" s="1038" t="s">
        <v>1363</v>
      </c>
      <c r="BE6" s="1038">
        <v>2004</v>
      </c>
      <c r="BF6" s="1038" t="s">
        <v>1383</v>
      </c>
      <c r="BH6" s="989" t="s">
        <v>1384</v>
      </c>
      <c r="BJ6" s="989" t="s">
        <v>1385</v>
      </c>
      <c r="BL6" s="989" t="s">
        <v>1385</v>
      </c>
      <c r="BN6" s="989" t="s">
        <v>1386</v>
      </c>
      <c r="BQ6" s="1199">
        <v>4213784</v>
      </c>
      <c r="BR6" s="1213" t="s">
        <v>1295</v>
      </c>
      <c r="BS6" s="1348"/>
      <c r="BT6" s="1199">
        <v>64236872</v>
      </c>
      <c r="BU6" s="989" t="s">
        <v>255</v>
      </c>
      <c r="BV6" s="991"/>
      <c r="BW6" s="1613">
        <v>4213768</v>
      </c>
      <c r="BX6" s="1611" t="s">
        <v>275</v>
      </c>
      <c r="BZ6" s="1199">
        <v>64237510</v>
      </c>
      <c r="CA6" s="989" t="s">
        <v>1387</v>
      </c>
    </row>
    <row r="7" spans="1:79" ht="11.25" customHeight="1">
      <c r="A7" s="995" t="s">
        <v>1388</v>
      </c>
      <c r="B7" s="996">
        <v>2005</v>
      </c>
      <c r="E7" s="997" t="s">
        <v>1389</v>
      </c>
      <c r="F7" s="1013"/>
      <c r="H7" s="998" t="s">
        <v>1390</v>
      </c>
      <c r="I7" s="997" t="s">
        <v>96</v>
      </c>
      <c r="J7" s="997" t="s">
        <v>1391</v>
      </c>
      <c r="N7" s="1016" t="s">
        <v>1392</v>
      </c>
      <c r="O7" s="997" t="s">
        <v>1393</v>
      </c>
      <c r="U7" s="1000" t="s">
        <v>19</v>
      </c>
      <c r="V7" s="305" t="s">
        <v>96</v>
      </c>
      <c r="W7" s="1005"/>
      <c r="X7" s="996" t="s">
        <v>201</v>
      </c>
      <c r="Y7" s="996" t="s">
        <v>1354</v>
      </c>
      <c r="Z7" s="1011"/>
      <c r="AA7" s="1014"/>
      <c r="AH7" s="997" t="s">
        <v>1394</v>
      </c>
      <c r="AK7" s="997" t="s">
        <v>1395</v>
      </c>
      <c r="AM7" s="997" t="s">
        <v>1396</v>
      </c>
      <c r="AP7" s="1008" t="s">
        <v>201</v>
      </c>
      <c r="AQ7" s="1009" t="s">
        <v>201</v>
      </c>
      <c r="AU7" s="1038" t="s">
        <v>1397</v>
      </c>
      <c r="AW7" s="1038" t="s">
        <v>1398</v>
      </c>
      <c r="AX7" s="1038" t="s">
        <v>1398</v>
      </c>
      <c r="AZ7" s="988" t="s">
        <v>1399</v>
      </c>
      <c r="BB7" s="1038" t="s">
        <v>1400</v>
      </c>
      <c r="BC7" s="1038" t="s">
        <v>1363</v>
      </c>
      <c r="BE7" s="1038">
        <v>2005</v>
      </c>
      <c r="BF7" s="1038" t="s">
        <v>1401</v>
      </c>
      <c r="BH7" s="989" t="s">
        <v>1402</v>
      </c>
      <c r="BJ7" s="989" t="s">
        <v>1384</v>
      </c>
      <c r="BL7" s="989" t="s">
        <v>1384</v>
      </c>
      <c r="BN7" s="989" t="s">
        <v>1403</v>
      </c>
      <c r="BQ7" s="1199">
        <v>4213781</v>
      </c>
      <c r="BR7" s="989" t="s">
        <v>1288</v>
      </c>
      <c r="BS7" s="1347"/>
      <c r="BT7" s="1199">
        <v>64236873</v>
      </c>
      <c r="BU7" s="989" t="s">
        <v>260</v>
      </c>
      <c r="BV7" s="991"/>
      <c r="BW7" s="1613">
        <v>4213769</v>
      </c>
      <c r="BX7" s="1611" t="s">
        <v>1404</v>
      </c>
      <c r="BZ7" s="1199">
        <v>64237511</v>
      </c>
      <c r="CA7" s="989" t="s">
        <v>290</v>
      </c>
    </row>
    <row r="8" spans="1:79" ht="11.25" customHeight="1">
      <c r="A8" s="995" t="s">
        <v>1405</v>
      </c>
      <c r="B8" s="996">
        <v>2006</v>
      </c>
      <c r="E8" s="997" t="s">
        <v>1406</v>
      </c>
      <c r="F8" s="1013"/>
      <c r="H8" s="998" t="s">
        <v>1407</v>
      </c>
      <c r="I8" s="997" t="s">
        <v>97</v>
      </c>
      <c r="J8" s="997" t="s">
        <v>1408</v>
      </c>
      <c r="N8" s="1081" t="s">
        <v>1409</v>
      </c>
      <c r="O8" s="997" t="s">
        <v>1410</v>
      </c>
      <c r="V8" s="305" t="s">
        <v>97</v>
      </c>
      <c r="W8" s="1005"/>
      <c r="X8" s="996" t="s">
        <v>207</v>
      </c>
      <c r="Y8" s="996" t="s">
        <v>1354</v>
      </c>
      <c r="Z8" s="1011"/>
      <c r="AA8" s="1014"/>
      <c r="AK8" s="997" t="s">
        <v>1411</v>
      </c>
      <c r="AP8" s="1008" t="s">
        <v>207</v>
      </c>
      <c r="AQ8" s="1009" t="s">
        <v>207</v>
      </c>
      <c r="AU8" s="1038" t="s">
        <v>1412</v>
      </c>
      <c r="AW8" s="1038" t="s">
        <v>1413</v>
      </c>
      <c r="AX8" s="1038" t="s">
        <v>1413</v>
      </c>
      <c r="AZ8" s="1038" t="s">
        <v>1414</v>
      </c>
      <c r="BB8" s="1038" t="s">
        <v>1415</v>
      </c>
      <c r="BC8" s="1038" t="s">
        <v>1363</v>
      </c>
      <c r="BE8" s="1038">
        <v>2006</v>
      </c>
      <c r="BF8" s="1038" t="s">
        <v>1416</v>
      </c>
      <c r="BH8" s="989" t="s">
        <v>1417</v>
      </c>
      <c r="BJ8" s="989" t="s">
        <v>1418</v>
      </c>
      <c r="BL8" s="989" t="s">
        <v>1418</v>
      </c>
      <c r="BN8" s="989" t="s">
        <v>1419</v>
      </c>
      <c r="BQ8" s="1199">
        <v>4213776</v>
      </c>
      <c r="BR8" s="989" t="s">
        <v>189</v>
      </c>
      <c r="BS8" s="1347"/>
      <c r="BT8" s="1199">
        <v>64236874</v>
      </c>
      <c r="BU8" s="1213" t="s">
        <v>1420</v>
      </c>
      <c r="BV8" s="991"/>
      <c r="BW8" s="1613">
        <v>4213770</v>
      </c>
      <c r="BX8" s="1614" t="s">
        <v>1421</v>
      </c>
      <c r="BZ8" s="1199">
        <v>64237512</v>
      </c>
      <c r="CA8" s="989" t="s">
        <v>285</v>
      </c>
    </row>
    <row r="9" spans="1:79" ht="11.25" customHeight="1">
      <c r="A9" s="995" t="s">
        <v>1422</v>
      </c>
      <c r="B9" s="996">
        <v>2007</v>
      </c>
      <c r="E9" s="997" t="s">
        <v>1423</v>
      </c>
      <c r="F9" s="1013"/>
      <c r="G9" s="988" t="s">
        <v>1424</v>
      </c>
      <c r="H9" s="988" t="s">
        <v>1425</v>
      </c>
      <c r="I9" s="997" t="s">
        <v>115</v>
      </c>
      <c r="O9" s="997" t="s">
        <v>1426</v>
      </c>
      <c r="V9" s="305" t="s">
        <v>115</v>
      </c>
      <c r="W9" s="1005"/>
      <c r="X9" s="996" t="s">
        <v>213</v>
      </c>
      <c r="Y9" s="996" t="s">
        <v>1263</v>
      </c>
      <c r="Z9" s="1011">
        <v>1</v>
      </c>
      <c r="AA9" s="1014"/>
      <c r="AK9" s="997" t="s">
        <v>1427</v>
      </c>
      <c r="AP9" s="1008" t="s">
        <v>1428</v>
      </c>
      <c r="AQ9" s="1009" t="s">
        <v>1428</v>
      </c>
      <c r="AW9" s="1038" t="s">
        <v>1429</v>
      </c>
      <c r="AX9" s="1038" t="s">
        <v>1429</v>
      </c>
      <c r="AZ9" s="1038" t="s">
        <v>1430</v>
      </c>
      <c r="BB9" s="1038" t="s">
        <v>1431</v>
      </c>
      <c r="BC9" s="1038" t="s">
        <v>1363</v>
      </c>
      <c r="BE9" s="1038">
        <v>2007</v>
      </c>
      <c r="BF9" s="1038" t="s">
        <v>1432</v>
      </c>
      <c r="BH9" s="989" t="s">
        <v>1433</v>
      </c>
      <c r="BJ9" s="989" t="s">
        <v>1434</v>
      </c>
      <c r="BL9" s="989" t="s">
        <v>1434</v>
      </c>
      <c r="BN9" s="989" t="s">
        <v>1435</v>
      </c>
      <c r="BQ9" s="1199">
        <v>4213777</v>
      </c>
      <c r="BR9" s="989" t="s">
        <v>195</v>
      </c>
      <c r="BS9" s="1347"/>
      <c r="BT9" s="1199">
        <v>64236875</v>
      </c>
      <c r="BU9" s="989" t="s">
        <v>265</v>
      </c>
      <c r="BV9" s="991"/>
      <c r="BW9" s="1608"/>
      <c r="BX9" s="1608"/>
    </row>
    <row r="10" spans="1:79" ht="11.25" customHeight="1">
      <c r="A10" s="995" t="s">
        <v>1436</v>
      </c>
      <c r="B10" s="996">
        <v>2008</v>
      </c>
      <c r="E10" s="997" t="s">
        <v>1437</v>
      </c>
      <c r="F10" s="1013"/>
      <c r="G10" s="997" t="s">
        <v>1438</v>
      </c>
      <c r="H10" s="997" t="s">
        <v>1439</v>
      </c>
      <c r="I10" s="997" t="s">
        <v>151</v>
      </c>
      <c r="J10" s="988" t="s">
        <v>1440</v>
      </c>
      <c r="K10" s="988" t="s">
        <v>1441</v>
      </c>
      <c r="O10" s="997" t="s">
        <v>1442</v>
      </c>
      <c r="V10" s="306" t="s">
        <v>151</v>
      </c>
      <c r="W10" s="1017"/>
      <c r="X10" s="1017" t="s">
        <v>1443</v>
      </c>
      <c r="Y10" s="1018" t="s">
        <v>1444</v>
      </c>
      <c r="Z10" s="1011"/>
      <c r="AP10" s="1008" t="s">
        <v>1443</v>
      </c>
      <c r="AQ10" s="1009" t="s">
        <v>1443</v>
      </c>
      <c r="AW10" s="1038" t="s">
        <v>1445</v>
      </c>
      <c r="AX10" s="1038" t="s">
        <v>1445</v>
      </c>
      <c r="AZ10" s="1038" t="s">
        <v>1446</v>
      </c>
      <c r="BB10" s="1038" t="s">
        <v>1447</v>
      </c>
      <c r="BC10" s="1038" t="s">
        <v>1363</v>
      </c>
      <c r="BE10" s="1038">
        <v>2008</v>
      </c>
      <c r="BF10" s="1038" t="s">
        <v>1448</v>
      </c>
      <c r="BH10" s="989" t="s">
        <v>1449</v>
      </c>
      <c r="BJ10" s="989" t="s">
        <v>1450</v>
      </c>
      <c r="BL10" s="989" t="s">
        <v>1450</v>
      </c>
      <c r="BN10" s="989" t="s">
        <v>1451</v>
      </c>
      <c r="BQ10" s="1199">
        <v>4213778</v>
      </c>
      <c r="BR10" s="989" t="s">
        <v>201</v>
      </c>
      <c r="BS10" s="1347"/>
      <c r="BT10" s="1199">
        <v>64236876</v>
      </c>
      <c r="BU10" s="989" t="s">
        <v>245</v>
      </c>
      <c r="BV10" s="991"/>
      <c r="BW10" s="1608"/>
      <c r="BX10" s="1608"/>
    </row>
    <row r="11" spans="1:79" ht="11.25" customHeight="1">
      <c r="A11" s="995" t="s">
        <v>1452</v>
      </c>
      <c r="B11" s="996">
        <v>2009</v>
      </c>
      <c r="E11" s="997" t="s">
        <v>1453</v>
      </c>
      <c r="F11" s="1013"/>
      <c r="G11" s="997" t="s">
        <v>1454</v>
      </c>
      <c r="H11" s="997" t="s">
        <v>1455</v>
      </c>
      <c r="I11" s="997" t="s">
        <v>152</v>
      </c>
      <c r="J11" s="998" t="s">
        <v>1456</v>
      </c>
      <c r="K11" s="1019" t="s">
        <v>1457</v>
      </c>
      <c r="O11" s="998" t="s">
        <v>1458</v>
      </c>
      <c r="V11" s="305" t="s">
        <v>152</v>
      </c>
      <c r="W11" s="211"/>
      <c r="X11" s="1005" t="s">
        <v>1428</v>
      </c>
      <c r="Y11" s="996" t="s">
        <v>1459</v>
      </c>
      <c r="Z11" s="1011"/>
      <c r="AP11" s="1008" t="s">
        <v>213</v>
      </c>
      <c r="AQ11" s="1010" t="s">
        <v>213</v>
      </c>
      <c r="AW11" s="1038" t="s">
        <v>1460</v>
      </c>
      <c r="AX11" s="1038" t="s">
        <v>1460</v>
      </c>
      <c r="AZ11" s="1038" t="s">
        <v>1461</v>
      </c>
      <c r="BB11" s="1038" t="s">
        <v>1462</v>
      </c>
      <c r="BC11" s="1038" t="s">
        <v>1363</v>
      </c>
      <c r="BE11" s="1038">
        <v>2009</v>
      </c>
      <c r="BF11" s="1038" t="s">
        <v>1463</v>
      </c>
      <c r="BH11" s="989" t="s">
        <v>1464</v>
      </c>
      <c r="BJ11" s="989" t="s">
        <v>1433</v>
      </c>
      <c r="BL11" s="989" t="s">
        <v>1433</v>
      </c>
      <c r="BN11" s="989" t="s">
        <v>1465</v>
      </c>
      <c r="BQ11" s="1199">
        <v>4213780</v>
      </c>
      <c r="BR11" s="989" t="s">
        <v>207</v>
      </c>
      <c r="BS11" s="1347"/>
      <c r="BW11" s="1608"/>
      <c r="BX11" s="1608"/>
    </row>
    <row r="12" spans="1:79" ht="11.25" customHeight="1">
      <c r="A12" s="995" t="s">
        <v>1466</v>
      </c>
      <c r="B12" s="996">
        <v>2010</v>
      </c>
      <c r="E12" s="997" t="s">
        <v>1467</v>
      </c>
      <c r="F12" s="1013"/>
      <c r="G12" s="997" t="s">
        <v>1455</v>
      </c>
      <c r="I12" s="997" t="s">
        <v>153</v>
      </c>
      <c r="J12" s="998" t="s">
        <v>1468</v>
      </c>
      <c r="K12" s="1019" t="s">
        <v>1469</v>
      </c>
      <c r="O12" s="998" t="s">
        <v>467</v>
      </c>
      <c r="V12" s="305" t="s">
        <v>153</v>
      </c>
      <c r="W12" s="1010"/>
      <c r="X12" s="1005" t="s">
        <v>1470</v>
      </c>
      <c r="Y12" s="996" t="s">
        <v>1263</v>
      </c>
      <c r="AP12" s="1008"/>
      <c r="AW12" s="1038" t="s">
        <v>152</v>
      </c>
      <c r="AX12" s="1038" t="s">
        <v>152</v>
      </c>
      <c r="AZ12" s="1038" t="s">
        <v>1471</v>
      </c>
      <c r="BB12" s="1038" t="s">
        <v>1472</v>
      </c>
      <c r="BC12" s="1038" t="s">
        <v>1363</v>
      </c>
      <c r="BE12" s="1038">
        <v>2010</v>
      </c>
      <c r="BF12" s="1038" t="s">
        <v>1473</v>
      </c>
      <c r="BH12" s="989" t="s">
        <v>1474</v>
      </c>
      <c r="BJ12" s="989" t="s">
        <v>1475</v>
      </c>
      <c r="BL12" s="989" t="s">
        <v>1475</v>
      </c>
      <c r="BN12" s="989" t="s">
        <v>1476</v>
      </c>
      <c r="BQ12" s="1199">
        <v>4213779</v>
      </c>
      <c r="BR12" s="989" t="s">
        <v>1428</v>
      </c>
      <c r="BS12" s="1347"/>
      <c r="BT12" s="991"/>
      <c r="BU12" s="991"/>
      <c r="BV12" s="991"/>
      <c r="BW12" s="1608"/>
      <c r="BX12" s="1608"/>
    </row>
    <row r="13" spans="1:79" ht="11.25" customHeight="1">
      <c r="A13" s="995" t="s">
        <v>1477</v>
      </c>
      <c r="B13" s="996">
        <v>2011</v>
      </c>
      <c r="E13" s="997" t="s">
        <v>1478</v>
      </c>
      <c r="F13" s="1013"/>
      <c r="I13" s="997" t="s">
        <v>154</v>
      </c>
      <c r="K13" s="1019" t="s">
        <v>1427</v>
      </c>
      <c r="V13" s="305" t="s">
        <v>154</v>
      </c>
      <c r="W13" s="1010"/>
      <c r="X13" s="1010"/>
      <c r="Y13" s="1010"/>
      <c r="AW13" s="1038" t="s">
        <v>153</v>
      </c>
      <c r="AX13" s="1038" t="s">
        <v>153</v>
      </c>
      <c r="BB13" s="1038" t="s">
        <v>1479</v>
      </c>
      <c r="BC13" s="1038" t="s">
        <v>1480</v>
      </c>
      <c r="BE13" s="1038">
        <v>2011</v>
      </c>
      <c r="BF13" s="1038" t="s">
        <v>1481</v>
      </c>
      <c r="BH13" s="989" t="s">
        <v>1482</v>
      </c>
      <c r="BJ13" s="989" t="s">
        <v>1464</v>
      </c>
      <c r="BL13" s="989" t="s">
        <v>1464</v>
      </c>
      <c r="BN13" s="989" t="s">
        <v>1483</v>
      </c>
      <c r="BQ13" s="1199">
        <v>4213783</v>
      </c>
      <c r="BR13" s="989" t="s">
        <v>1443</v>
      </c>
      <c r="BS13" s="1347"/>
      <c r="BT13" s="991"/>
      <c r="BU13" s="991"/>
      <c r="BV13" s="991"/>
      <c r="BW13" s="1612"/>
      <c r="BX13" s="1608"/>
    </row>
    <row r="14" spans="1:79" ht="11.25" customHeight="1">
      <c r="A14" s="995" t="s">
        <v>1484</v>
      </c>
      <c r="B14" s="996">
        <v>2012</v>
      </c>
      <c r="I14" s="997" t="s">
        <v>155</v>
      </c>
      <c r="J14" s="988" t="s">
        <v>1485</v>
      </c>
      <c r="N14" s="988" t="s">
        <v>1486</v>
      </c>
      <c r="V14" s="1004">
        <v>13</v>
      </c>
      <c r="W14" s="1005"/>
      <c r="X14" s="1005" t="s">
        <v>1295</v>
      </c>
      <c r="Y14" s="996" t="s">
        <v>1263</v>
      </c>
      <c r="AW14" s="1038" t="s">
        <v>154</v>
      </c>
      <c r="AX14" s="1038" t="s">
        <v>154</v>
      </c>
      <c r="AZ14" s="988" t="s">
        <v>1487</v>
      </c>
      <c r="BB14" s="1038" t="s">
        <v>1488</v>
      </c>
      <c r="BC14" s="1038" t="s">
        <v>1480</v>
      </c>
      <c r="BE14" s="1038">
        <v>2012</v>
      </c>
      <c r="BH14" s="989" t="s">
        <v>1403</v>
      </c>
      <c r="BJ14" s="1135" t="s">
        <v>1489</v>
      </c>
      <c r="BL14" s="1135" t="s">
        <v>1489</v>
      </c>
      <c r="BN14" s="989" t="s">
        <v>1490</v>
      </c>
      <c r="BQ14" s="1199">
        <v>4213782</v>
      </c>
      <c r="BR14" s="989" t="s">
        <v>213</v>
      </c>
      <c r="BS14" s="1347"/>
      <c r="BT14" s="991"/>
      <c r="BU14" s="991"/>
      <c r="BV14" s="991"/>
      <c r="BW14" s="1612"/>
      <c r="BX14" s="1608"/>
    </row>
    <row r="15" spans="1:79" ht="19.5" customHeight="1">
      <c r="A15" s="995" t="s">
        <v>1491</v>
      </c>
      <c r="B15" s="996">
        <v>2013</v>
      </c>
      <c r="E15" s="1616" t="s">
        <v>1492</v>
      </c>
      <c r="G15" s="988" t="s">
        <v>1493</v>
      </c>
      <c r="H15" s="988" t="s">
        <v>1494</v>
      </c>
      <c r="I15" s="999" t="s">
        <v>156</v>
      </c>
      <c r="J15" s="1010" t="s">
        <v>604</v>
      </c>
      <c r="N15" s="1076" t="s">
        <v>1495</v>
      </c>
      <c r="X15" s="1008"/>
      <c r="AW15" s="1038" t="s">
        <v>155</v>
      </c>
      <c r="AX15" s="1038" t="s">
        <v>155</v>
      </c>
      <c r="AZ15" s="1038" t="s">
        <v>1414</v>
      </c>
      <c r="BB15" s="1038" t="s">
        <v>1496</v>
      </c>
      <c r="BC15" s="1038" t="s">
        <v>1480</v>
      </c>
      <c r="BE15" s="1038">
        <v>2013</v>
      </c>
      <c r="BH15" s="989" t="s">
        <v>1419</v>
      </c>
      <c r="BJ15" s="1135" t="s">
        <v>1497</v>
      </c>
      <c r="BL15" s="1135" t="s">
        <v>1497</v>
      </c>
      <c r="BN15" s="989" t="s">
        <v>1498</v>
      </c>
      <c r="BR15" s="991"/>
      <c r="BS15" s="1349"/>
      <c r="BT15" s="991"/>
      <c r="BU15" s="991"/>
      <c r="BV15" s="991"/>
      <c r="BW15" s="1612"/>
      <c r="BX15" s="1608"/>
    </row>
    <row r="16" spans="1:79" ht="21" customHeight="1">
      <c r="A16" s="1785" t="s">
        <v>1499</v>
      </c>
      <c r="B16" s="996">
        <v>2014</v>
      </c>
      <c r="E16" s="1617" t="s">
        <v>1500</v>
      </c>
      <c r="G16" s="997" t="s">
        <v>1501</v>
      </c>
      <c r="H16" s="997" t="s">
        <v>1502</v>
      </c>
      <c r="I16" s="999" t="s">
        <v>1503</v>
      </c>
      <c r="J16" s="1010" t="s">
        <v>577</v>
      </c>
      <c r="N16" s="1076" t="s">
        <v>1504</v>
      </c>
      <c r="AW16" s="1038" t="s">
        <v>156</v>
      </c>
      <c r="AX16" s="1038" t="s">
        <v>156</v>
      </c>
      <c r="AZ16" s="1038" t="s">
        <v>1430</v>
      </c>
      <c r="BB16" s="1038" t="s">
        <v>1505</v>
      </c>
      <c r="BC16" s="1038" t="s">
        <v>1480</v>
      </c>
      <c r="BE16" s="1038">
        <v>2014</v>
      </c>
      <c r="BH16" s="989" t="s">
        <v>1435</v>
      </c>
      <c r="BJ16" s="1135" t="s">
        <v>1506</v>
      </c>
      <c r="BL16" s="1135" t="s">
        <v>1506</v>
      </c>
      <c r="BN16" s="989" t="s">
        <v>1507</v>
      </c>
      <c r="BR16" s="991"/>
      <c r="BS16" s="1349"/>
      <c r="BT16" s="991"/>
      <c r="BU16" s="991"/>
      <c r="BV16" s="991"/>
      <c r="BW16" s="1612"/>
      <c r="BX16" s="1608"/>
    </row>
    <row r="17" spans="1:82" ht="21" customHeight="1">
      <c r="A17" s="995" t="s">
        <v>1508</v>
      </c>
      <c r="B17" s="996">
        <v>2015</v>
      </c>
      <c r="G17" s="997" t="s">
        <v>1455</v>
      </c>
      <c r="H17" s="997" t="s">
        <v>1455</v>
      </c>
      <c r="I17" s="997" t="s">
        <v>1509</v>
      </c>
      <c r="N17" s="1076" t="s">
        <v>1510</v>
      </c>
      <c r="X17" s="1008"/>
      <c r="AW17" s="1038" t="s">
        <v>1503</v>
      </c>
      <c r="AX17" s="1038" t="s">
        <v>1503</v>
      </c>
      <c r="AZ17" s="1038" t="s">
        <v>1511</v>
      </c>
      <c r="BB17" s="1038" t="s">
        <v>1512</v>
      </c>
      <c r="BC17" s="1038" t="s">
        <v>1363</v>
      </c>
      <c r="BE17" s="1038">
        <v>2015</v>
      </c>
      <c r="BH17" s="989" t="s">
        <v>1451</v>
      </c>
      <c r="BJ17" s="1135" t="s">
        <v>1513</v>
      </c>
      <c r="BL17" s="1135" t="s">
        <v>1513</v>
      </c>
      <c r="BN17" s="989" t="s">
        <v>1514</v>
      </c>
      <c r="BR17" s="988" t="s">
        <v>1306</v>
      </c>
      <c r="BS17" s="1346"/>
      <c r="BU17" s="988" t="s">
        <v>1515</v>
      </c>
      <c r="BV17" s="991"/>
      <c r="BW17" s="1608"/>
      <c r="BX17" s="1610" t="s">
        <v>1516</v>
      </c>
      <c r="CA17" s="988" t="s">
        <v>1517</v>
      </c>
      <c r="CD17" s="988" t="s">
        <v>1518</v>
      </c>
    </row>
    <row r="18" spans="1:82" ht="21" customHeight="1">
      <c r="A18" s="995" t="s">
        <v>1519</v>
      </c>
      <c r="B18" s="996">
        <v>2016</v>
      </c>
      <c r="E18" s="1917" t="s">
        <v>1520</v>
      </c>
      <c r="I18" s="997" t="s">
        <v>1521</v>
      </c>
      <c r="N18" s="1076" t="s">
        <v>1522</v>
      </c>
      <c r="X18" s="1008"/>
      <c r="AW18" s="1038" t="s">
        <v>1509</v>
      </c>
      <c r="AX18" s="1038" t="s">
        <v>1509</v>
      </c>
      <c r="BB18" s="1038" t="s">
        <v>1523</v>
      </c>
      <c r="BC18" s="1038" t="s">
        <v>1363</v>
      </c>
      <c r="BE18" s="1038">
        <v>2016</v>
      </c>
      <c r="BH18" s="989" t="s">
        <v>1465</v>
      </c>
      <c r="BJ18" s="1135" t="s">
        <v>1524</v>
      </c>
      <c r="BL18" s="1135" t="s">
        <v>1524</v>
      </c>
      <c r="BN18" s="989" t="s">
        <v>1525</v>
      </c>
      <c r="BQ18" s="1350" t="s">
        <v>1336</v>
      </c>
      <c r="BR18" s="1077" t="s">
        <v>1337</v>
      </c>
      <c r="BS18" s="210"/>
      <c r="BT18" s="1350" t="s">
        <v>1526</v>
      </c>
      <c r="BU18" s="1077" t="s">
        <v>1527</v>
      </c>
      <c r="BV18" s="991"/>
      <c r="BW18" s="1615" t="s">
        <v>1528</v>
      </c>
      <c r="BX18" s="1609" t="s">
        <v>1529</v>
      </c>
      <c r="BZ18" s="1350" t="s">
        <v>1530</v>
      </c>
      <c r="CA18" s="1077" t="s">
        <v>1531</v>
      </c>
      <c r="CC18" s="1350" t="s">
        <v>1532</v>
      </c>
      <c r="CD18" s="1077" t="s">
        <v>1533</v>
      </c>
    </row>
    <row r="19" spans="1:82" ht="21" customHeight="1">
      <c r="A19" s="1785" t="s">
        <v>1534</v>
      </c>
      <c r="B19" s="996">
        <v>2017</v>
      </c>
      <c r="E19" s="995" t="s">
        <v>163</v>
      </c>
      <c r="I19" s="997" t="s">
        <v>1535</v>
      </c>
      <c r="N19" s="1076" t="s">
        <v>1536</v>
      </c>
      <c r="X19" s="1008"/>
      <c r="AW19" s="1038" t="s">
        <v>1521</v>
      </c>
      <c r="AX19" s="1038" t="s">
        <v>1521</v>
      </c>
      <c r="AZ19" s="988" t="s">
        <v>1537</v>
      </c>
      <c r="BB19" s="1038" t="s">
        <v>1538</v>
      </c>
      <c r="BC19" s="1038" t="s">
        <v>1363</v>
      </c>
      <c r="BE19" s="1038">
        <v>2017</v>
      </c>
      <c r="BH19" s="989" t="s">
        <v>1539</v>
      </c>
      <c r="BJ19" s="1135" t="s">
        <v>1540</v>
      </c>
      <c r="BL19" s="1135" t="s">
        <v>1540</v>
      </c>
      <c r="BQ19" s="1199">
        <v>4190064</v>
      </c>
      <c r="BR19" s="989" t="s">
        <v>1541</v>
      </c>
      <c r="BS19" s="1347"/>
      <c r="BT19" s="1199">
        <v>4189671</v>
      </c>
      <c r="BU19" s="989" t="s">
        <v>1542</v>
      </c>
      <c r="BV19" s="991"/>
      <c r="BW19" s="1613">
        <v>4189706</v>
      </c>
      <c r="BX19" s="1611" t="s">
        <v>1543</v>
      </c>
      <c r="BZ19" s="1199">
        <v>4189714</v>
      </c>
      <c r="CA19" s="989" t="s">
        <v>1544</v>
      </c>
      <c r="CC19" s="1199">
        <v>4189708</v>
      </c>
      <c r="CD19" s="989" t="s">
        <v>1545</v>
      </c>
    </row>
    <row r="20" spans="1:82" ht="21" customHeight="1">
      <c r="A20" s="995" t="s">
        <v>1546</v>
      </c>
      <c r="B20" s="996">
        <v>2018</v>
      </c>
      <c r="E20" s="995" t="s">
        <v>1295</v>
      </c>
      <c r="I20" s="997" t="s">
        <v>1547</v>
      </c>
      <c r="N20" s="1076" t="s">
        <v>1548</v>
      </c>
      <c r="AW20" s="1038" t="s">
        <v>1535</v>
      </c>
      <c r="AX20" s="1038" t="s">
        <v>1535</v>
      </c>
      <c r="AZ20" s="1038" t="s">
        <v>1549</v>
      </c>
      <c r="BB20" s="1038" t="s">
        <v>1550</v>
      </c>
      <c r="BC20" s="1038" t="s">
        <v>1480</v>
      </c>
      <c r="BE20" s="1038">
        <v>2018</v>
      </c>
      <c r="BH20" s="989" t="s">
        <v>1476</v>
      </c>
      <c r="BJ20" s="989" t="s">
        <v>1403</v>
      </c>
      <c r="BL20" s="989" t="s">
        <v>1403</v>
      </c>
      <c r="BQ20" s="1199">
        <v>4190065</v>
      </c>
      <c r="BR20" s="989" t="s">
        <v>1551</v>
      </c>
      <c r="BS20" s="1347"/>
      <c r="BT20" s="1199">
        <v>4189672</v>
      </c>
      <c r="BU20" s="989" t="s">
        <v>1552</v>
      </c>
      <c r="BV20" s="991"/>
      <c r="BW20" s="1613">
        <v>4189705</v>
      </c>
      <c r="BX20" s="1611" t="s">
        <v>1553</v>
      </c>
      <c r="BZ20" s="1199">
        <v>4189713</v>
      </c>
      <c r="CA20" s="989" t="s">
        <v>1553</v>
      </c>
      <c r="CC20" s="1199">
        <v>4189709</v>
      </c>
      <c r="CD20" s="989" t="s">
        <v>1554</v>
      </c>
    </row>
    <row r="21" spans="1:82" ht="21" customHeight="1">
      <c r="A21" s="995" t="s">
        <v>1555</v>
      </c>
      <c r="B21" s="996">
        <v>2019</v>
      </c>
      <c r="I21" s="997" t="s">
        <v>1556</v>
      </c>
      <c r="N21" s="1076" t="s">
        <v>1557</v>
      </c>
      <c r="AW21" s="1038" t="s">
        <v>1547</v>
      </c>
      <c r="AX21" s="1038" t="s">
        <v>1547</v>
      </c>
      <c r="AZ21" s="1038" t="s">
        <v>1558</v>
      </c>
      <c r="BB21" s="1038" t="s">
        <v>1559</v>
      </c>
      <c r="BC21" s="1038" t="s">
        <v>1363</v>
      </c>
      <c r="BE21" s="1038">
        <v>2019</v>
      </c>
      <c r="BH21" s="989" t="s">
        <v>1483</v>
      </c>
      <c r="BJ21" s="989" t="s">
        <v>1419</v>
      </c>
      <c r="BL21" s="989" t="s">
        <v>1419</v>
      </c>
      <c r="BQ21" s="1199">
        <v>4190066</v>
      </c>
      <c r="BR21" s="989" t="s">
        <v>1560</v>
      </c>
      <c r="BS21" s="1347"/>
      <c r="BT21" s="1199">
        <v>4189673</v>
      </c>
      <c r="BU21" s="989" t="s">
        <v>1561</v>
      </c>
      <c r="BV21" s="991"/>
      <c r="BW21" s="1613">
        <v>4189707</v>
      </c>
      <c r="BX21" s="1611" t="s">
        <v>1562</v>
      </c>
      <c r="BZ21" s="1199">
        <v>4189712</v>
      </c>
      <c r="CA21" s="989" t="s">
        <v>1563</v>
      </c>
      <c r="CC21" s="1199">
        <v>4189710</v>
      </c>
      <c r="CD21" s="989" t="s">
        <v>1564</v>
      </c>
    </row>
    <row r="22" spans="1:82" ht="21" customHeight="1">
      <c r="A22" s="995" t="s">
        <v>1565</v>
      </c>
      <c r="B22" s="996">
        <v>2020</v>
      </c>
      <c r="N22" s="1076" t="s">
        <v>1566</v>
      </c>
      <c r="AW22" s="1038" t="s">
        <v>1556</v>
      </c>
      <c r="AX22" s="1038" t="s">
        <v>1556</v>
      </c>
      <c r="AZ22" s="1038" t="s">
        <v>1567</v>
      </c>
      <c r="BB22" s="1038" t="s">
        <v>1568</v>
      </c>
      <c r="BC22" s="1038" t="s">
        <v>1363</v>
      </c>
      <c r="BE22" s="1038">
        <v>2020</v>
      </c>
      <c r="BH22" s="989" t="s">
        <v>1490</v>
      </c>
      <c r="BJ22" s="989" t="s">
        <v>1435</v>
      </c>
      <c r="BL22" s="989" t="s">
        <v>1435</v>
      </c>
      <c r="BQ22" s="1199">
        <v>4190067</v>
      </c>
      <c r="BR22" s="989" t="s">
        <v>1569</v>
      </c>
      <c r="BS22" s="1347"/>
      <c r="BT22" s="1199">
        <v>4189674</v>
      </c>
      <c r="BU22" s="989" t="s">
        <v>1570</v>
      </c>
      <c r="BV22" s="991"/>
      <c r="BW22" s="991"/>
      <c r="CC22" s="1199">
        <v>4189711</v>
      </c>
      <c r="CD22" s="989" t="s">
        <v>314</v>
      </c>
    </row>
    <row r="23" spans="1:82" ht="21" customHeight="1">
      <c r="A23" s="995" t="s">
        <v>1571</v>
      </c>
      <c r="B23" s="996">
        <v>2021</v>
      </c>
      <c r="AW23" s="1038" t="s">
        <v>1572</v>
      </c>
      <c r="AX23" s="1038" t="s">
        <v>1572</v>
      </c>
      <c r="AZ23" s="1038" t="s">
        <v>1573</v>
      </c>
      <c r="BB23" s="1038" t="s">
        <v>1574</v>
      </c>
      <c r="BC23" s="1038" t="s">
        <v>1273</v>
      </c>
      <c r="BE23" s="1038">
        <v>2021</v>
      </c>
      <c r="BH23" s="989" t="s">
        <v>1498</v>
      </c>
      <c r="BJ23" s="989" t="s">
        <v>1451</v>
      </c>
      <c r="BL23" s="989" t="s">
        <v>1451</v>
      </c>
      <c r="BQ23" s="1199">
        <v>4190068</v>
      </c>
      <c r="BR23" s="989" t="s">
        <v>1575</v>
      </c>
      <c r="BS23" s="1347"/>
      <c r="BT23" s="1199">
        <v>4189675</v>
      </c>
      <c r="BU23" s="989" t="s">
        <v>1576</v>
      </c>
      <c r="BV23" s="991"/>
      <c r="BW23" s="991"/>
      <c r="CC23" s="1199">
        <v>5110778</v>
      </c>
      <c r="CD23" s="989" t="s">
        <v>1577</v>
      </c>
    </row>
    <row r="24" spans="1:82" ht="21" customHeight="1">
      <c r="A24" s="995" t="s">
        <v>1578</v>
      </c>
      <c r="B24" s="996">
        <v>2022</v>
      </c>
      <c r="AW24" s="1038" t="s">
        <v>1579</v>
      </c>
      <c r="AX24" s="1038" t="s">
        <v>1579</v>
      </c>
      <c r="AZ24" s="1038" t="s">
        <v>1580</v>
      </c>
      <c r="BB24" s="1038" t="s">
        <v>1581</v>
      </c>
      <c r="BC24" s="1038" t="s">
        <v>1582</v>
      </c>
      <c r="BE24" s="1038">
        <v>2022</v>
      </c>
      <c r="BH24" s="989" t="s">
        <v>1507</v>
      </c>
      <c r="BJ24" s="989" t="s">
        <v>1465</v>
      </c>
      <c r="BL24" s="989" t="s">
        <v>1465</v>
      </c>
      <c r="BQ24" s="1199">
        <v>4190069</v>
      </c>
      <c r="BR24" s="989" t="s">
        <v>1583</v>
      </c>
      <c r="BS24" s="1347"/>
      <c r="BT24" s="1199">
        <v>4189676</v>
      </c>
      <c r="BU24" s="989" t="s">
        <v>1584</v>
      </c>
      <c r="BV24" s="991"/>
      <c r="BW24" s="991"/>
      <c r="CC24" s="1199">
        <v>25575374</v>
      </c>
      <c r="CD24" s="989" t="s">
        <v>1585</v>
      </c>
    </row>
    <row r="25" spans="1:82" ht="11.25" customHeight="1">
      <c r="A25" s="995" t="s">
        <v>1586</v>
      </c>
      <c r="B25" s="996">
        <v>2023</v>
      </c>
      <c r="AW25" s="1038" t="s">
        <v>1587</v>
      </c>
      <c r="AX25" s="1038" t="s">
        <v>1587</v>
      </c>
      <c r="AZ25" s="1038" t="s">
        <v>1588</v>
      </c>
      <c r="BB25" s="1038" t="s">
        <v>1589</v>
      </c>
      <c r="BC25" s="1038" t="s">
        <v>1582</v>
      </c>
      <c r="BE25" s="1038">
        <v>2023</v>
      </c>
      <c r="BH25" s="989" t="s">
        <v>1514</v>
      </c>
      <c r="BJ25" s="989" t="s">
        <v>1539</v>
      </c>
      <c r="BL25" s="989" t="s">
        <v>1539</v>
      </c>
      <c r="BQ25" s="1199">
        <v>4190070</v>
      </c>
      <c r="BR25" s="989" t="s">
        <v>1590</v>
      </c>
      <c r="BS25" s="1347"/>
      <c r="BT25" s="1199">
        <v>4189677</v>
      </c>
      <c r="BU25" s="989" t="s">
        <v>1591</v>
      </c>
      <c r="BV25" s="991"/>
      <c r="BW25" s="991"/>
    </row>
    <row r="26" spans="1:82" ht="11.25" customHeight="1">
      <c r="A26" s="995" t="s">
        <v>1592</v>
      </c>
      <c r="B26" s="996">
        <v>2024</v>
      </c>
      <c r="J26" s="1648" t="s">
        <v>1593</v>
      </c>
      <c r="AX26" s="1038" t="s">
        <v>1594</v>
      </c>
      <c r="AZ26" s="1038" t="s">
        <v>1458</v>
      </c>
      <c r="BB26" s="1038" t="s">
        <v>1595</v>
      </c>
      <c r="BC26" s="1038" t="s">
        <v>1582</v>
      </c>
      <c r="BE26" s="1038">
        <v>2024</v>
      </c>
      <c r="BH26" s="989" t="s">
        <v>1525</v>
      </c>
      <c r="BJ26" s="989" t="s">
        <v>1476</v>
      </c>
      <c r="BL26" s="989" t="s">
        <v>1476</v>
      </c>
      <c r="BQ26" s="1199">
        <v>4190071</v>
      </c>
      <c r="BR26" s="989" t="s">
        <v>1596</v>
      </c>
      <c r="BS26" s="1347"/>
      <c r="BV26" s="991"/>
      <c r="BW26" s="991"/>
    </row>
    <row r="27" spans="1:82" ht="11.25" customHeight="1">
      <c r="A27" s="995" t="s">
        <v>1597</v>
      </c>
      <c r="B27" s="996">
        <v>2025</v>
      </c>
      <c r="J27" s="113" t="s">
        <v>175</v>
      </c>
      <c r="AX27" s="1038" t="s">
        <v>1598</v>
      </c>
      <c r="BB27" s="1038" t="s">
        <v>1599</v>
      </c>
      <c r="BC27" s="1038" t="s">
        <v>1582</v>
      </c>
      <c r="BE27" s="1038">
        <v>2025</v>
      </c>
      <c r="BH27" s="991" t="s">
        <v>28</v>
      </c>
      <c r="BJ27" s="989" t="s">
        <v>1483</v>
      </c>
      <c r="BL27" s="989" t="s">
        <v>1483</v>
      </c>
      <c r="BN27" s="991" t="s">
        <v>28</v>
      </c>
      <c r="BQ27" s="1199">
        <v>4190072</v>
      </c>
      <c r="BR27" s="989" t="s">
        <v>1600</v>
      </c>
      <c r="BS27" s="1347"/>
      <c r="BV27" s="991"/>
      <c r="BW27" s="991"/>
    </row>
    <row r="28" spans="1:82" ht="11.25" customHeight="1">
      <c r="A28" s="995" t="s">
        <v>1601</v>
      </c>
      <c r="D28" s="1020"/>
      <c r="E28" s="1021"/>
      <c r="F28" s="1021"/>
      <c r="H28" s="1022" t="s">
        <v>1602</v>
      </c>
      <c r="AX28" s="1038" t="s">
        <v>1603</v>
      </c>
      <c r="AZ28" s="988" t="s">
        <v>1604</v>
      </c>
      <c r="BB28" s="1038" t="s">
        <v>1605</v>
      </c>
      <c r="BC28" s="1038" t="s">
        <v>1606</v>
      </c>
      <c r="BE28" s="1038">
        <v>2026</v>
      </c>
      <c r="BH28" s="991" t="s">
        <v>28</v>
      </c>
      <c r="BJ28" s="989" t="s">
        <v>1490</v>
      </c>
      <c r="BL28" s="989" t="s">
        <v>1490</v>
      </c>
      <c r="BN28" s="991" t="s">
        <v>28</v>
      </c>
      <c r="BQ28" s="1199">
        <v>4190073</v>
      </c>
      <c r="BR28" s="989" t="s">
        <v>1607</v>
      </c>
      <c r="BS28" s="1347"/>
      <c r="BV28" s="991"/>
      <c r="BW28" s="991"/>
    </row>
    <row r="29" spans="1:82" ht="11.25" customHeight="1">
      <c r="A29" s="995" t="s">
        <v>1608</v>
      </c>
      <c r="D29" s="1023" t="s">
        <v>1609</v>
      </c>
      <c r="E29" s="1024" t="str">
        <f>IF(TEMPLATE_GROUP="","",INDEX(StartDateList,MATCH(TEMPLATE_GROUP,CodeTemplateList,0),1))</f>
        <v>01.01.2017</v>
      </c>
      <c r="F29" s="1024" t="str">
        <f>IF(TEMPLATE_GROUP="","",INDEX(EndDateList,MATCH(TEMPLATE_GROUP,CodeTemplateList,0),1))</f>
        <v>31.12.2027</v>
      </c>
      <c r="H29" s="1025" t="s">
        <v>1610</v>
      </c>
      <c r="AX29" s="1038" t="s">
        <v>1611</v>
      </c>
      <c r="AZ29" s="1038" t="s">
        <v>1258</v>
      </c>
      <c r="BB29" s="1038" t="s">
        <v>1458</v>
      </c>
      <c r="BC29" s="1011"/>
      <c r="BE29" s="1038">
        <v>2027</v>
      </c>
      <c r="BJ29" s="989" t="s">
        <v>1498</v>
      </c>
      <c r="BL29" s="989" t="s">
        <v>1498</v>
      </c>
    </row>
    <row r="30" spans="1:82" ht="11.25" customHeight="1">
      <c r="A30" s="995" t="s">
        <v>1612</v>
      </c>
      <c r="D30" s="1026"/>
      <c r="E30" s="1027"/>
      <c r="F30" s="1027"/>
      <c r="AX30" s="1038" t="s">
        <v>1613</v>
      </c>
      <c r="AZ30" s="1038" t="s">
        <v>1284</v>
      </c>
      <c r="BE30" s="1038">
        <v>2028</v>
      </c>
      <c r="BJ30" s="989" t="s">
        <v>1614</v>
      </c>
      <c r="BL30" s="989" t="s">
        <v>1614</v>
      </c>
    </row>
    <row r="31" spans="1:82" ht="12.75" customHeight="1">
      <c r="A31" s="995" t="s">
        <v>1615</v>
      </c>
      <c r="D31" s="1020"/>
      <c r="E31" s="1021"/>
      <c r="F31" s="1021"/>
      <c r="H31" s="1028"/>
      <c r="AX31" s="1038" t="s">
        <v>1616</v>
      </c>
      <c r="AZ31" s="1038" t="s">
        <v>470</v>
      </c>
      <c r="BE31" s="1038">
        <v>2029</v>
      </c>
      <c r="BJ31" s="989" t="s">
        <v>1617</v>
      </c>
      <c r="BL31" s="989" t="s">
        <v>1617</v>
      </c>
    </row>
    <row r="32" spans="1:82" ht="11.25" customHeight="1">
      <c r="A32" s="995" t="s">
        <v>1618</v>
      </c>
      <c r="D32" s="1023" t="s">
        <v>1619</v>
      </c>
      <c r="E32" s="1024" t="str">
        <f>IF(TEMPLATE_GROUP="","",INDEX(StartDateList,MATCH(TEMPLATE_GROUP,CodeTemplateList,0),1))</f>
        <v>01.01.2017</v>
      </c>
      <c r="F32" s="1024" t="str">
        <f>IF(TEMPLATE_GROUP="","",INDEX(EndDateList,MATCH(TEMPLATE_GROUP,CodeTemplateList,0),1))</f>
        <v>31.12.2027</v>
      </c>
      <c r="H32" s="1029" t="s">
        <v>1620</v>
      </c>
      <c r="O32" s="995" t="s">
        <v>469</v>
      </c>
      <c r="AX32" s="1038" t="s">
        <v>1621</v>
      </c>
      <c r="AZ32" s="1038" t="s">
        <v>468</v>
      </c>
      <c r="BE32" s="1038">
        <v>2030</v>
      </c>
      <c r="BJ32" s="989" t="s">
        <v>1507</v>
      </c>
      <c r="BL32" s="989" t="s">
        <v>1507</v>
      </c>
    </row>
    <row r="33" spans="1:66" ht="11.25" customHeight="1">
      <c r="A33" s="995" t="s">
        <v>1622</v>
      </c>
      <c r="O33" s="995" t="s">
        <v>1282</v>
      </c>
      <c r="AX33" s="1038" t="s">
        <v>1623</v>
      </c>
      <c r="AZ33" s="1038" t="s">
        <v>467</v>
      </c>
      <c r="BE33" s="1038">
        <v>2031</v>
      </c>
      <c r="BJ33" s="989" t="s">
        <v>1514</v>
      </c>
      <c r="BL33" s="989" t="s">
        <v>1514</v>
      </c>
    </row>
    <row r="34" spans="1:66" ht="11.25" customHeight="1">
      <c r="A34" s="995" t="s">
        <v>1624</v>
      </c>
      <c r="O34" s="995" t="s">
        <v>1317</v>
      </c>
      <c r="AX34" s="1038" t="s">
        <v>1625</v>
      </c>
      <c r="BE34" s="1038">
        <v>2032</v>
      </c>
      <c r="BJ34" s="989" t="s">
        <v>1525</v>
      </c>
      <c r="BL34" s="989" t="s">
        <v>1525</v>
      </c>
    </row>
    <row r="35" spans="1:66" ht="11.25" customHeight="1">
      <c r="A35" s="995" t="s">
        <v>1626</v>
      </c>
      <c r="O35" s="995" t="s">
        <v>1350</v>
      </c>
      <c r="AX35" s="1038" t="s">
        <v>1627</v>
      </c>
      <c r="AZ35" s="988" t="s">
        <v>1628</v>
      </c>
      <c r="BE35" s="1038">
        <v>2033</v>
      </c>
      <c r="BL35" s="989" t="s">
        <v>1629</v>
      </c>
    </row>
    <row r="36" spans="1:66" ht="11.25" customHeight="1">
      <c r="A36" s="1785" t="s">
        <v>1630</v>
      </c>
      <c r="D36" s="1030" t="s">
        <v>1631</v>
      </c>
      <c r="E36" s="1031" t="s">
        <v>828</v>
      </c>
      <c r="F36" s="1032" t="str">
        <f>INDEX(E37:E41,MATCH(TEMPLATE_SPHERE,F37:F41,0))</f>
        <v>теплоснабжения</v>
      </c>
      <c r="G36" s="1032" t="str">
        <f>INDEX(G37:G41,MATCH(TEMPLATE_SPHERE,F37:F41,0))</f>
        <v>теплоснабжение</v>
      </c>
      <c r="O36" s="995" t="s">
        <v>1374</v>
      </c>
      <c r="AX36" s="1038" t="s">
        <v>1632</v>
      </c>
      <c r="AZ36" s="1038" t="s">
        <v>467</v>
      </c>
      <c r="BE36" s="1038">
        <v>2034</v>
      </c>
      <c r="BL36" s="989" t="s">
        <v>1633</v>
      </c>
    </row>
    <row r="37" spans="1:66" ht="11.25" customHeight="1">
      <c r="A37" s="995" t="s">
        <v>1634</v>
      </c>
      <c r="E37" s="342" t="s">
        <v>1635</v>
      </c>
      <c r="F37" s="1033" t="s">
        <v>828</v>
      </c>
      <c r="G37" s="342" t="s">
        <v>1636</v>
      </c>
      <c r="O37" s="995" t="s">
        <v>1393</v>
      </c>
      <c r="AX37" s="1038" t="s">
        <v>1637</v>
      </c>
      <c r="AZ37" s="1038" t="s">
        <v>1283</v>
      </c>
      <c r="BE37" s="1038">
        <v>2035</v>
      </c>
    </row>
    <row r="38" spans="1:66" ht="11.25" customHeight="1">
      <c r="A38" s="995" t="s">
        <v>1638</v>
      </c>
      <c r="E38" s="342" t="s">
        <v>1639</v>
      </c>
      <c r="F38" s="1034" t="s">
        <v>874</v>
      </c>
      <c r="G38" s="342" t="s">
        <v>1640</v>
      </c>
      <c r="O38" s="995" t="s">
        <v>1410</v>
      </c>
      <c r="AX38" s="1038" t="s">
        <v>1641</v>
      </c>
      <c r="AZ38" s="1038" t="s">
        <v>1318</v>
      </c>
      <c r="BE38" s="1038">
        <v>2036</v>
      </c>
      <c r="BH38" s="988" t="s">
        <v>1642</v>
      </c>
      <c r="BJ38" s="988" t="s">
        <v>1643</v>
      </c>
      <c r="BL38" s="988" t="s">
        <v>1644</v>
      </c>
      <c r="BN38" s="988" t="s">
        <v>1645</v>
      </c>
    </row>
    <row r="39" spans="1:66" ht="11.25" customHeight="1">
      <c r="A39" s="995" t="s">
        <v>16</v>
      </c>
      <c r="E39" s="342" t="s">
        <v>1646</v>
      </c>
      <c r="F39" s="1034" t="s">
        <v>927</v>
      </c>
      <c r="G39" s="342" t="s">
        <v>1647</v>
      </c>
      <c r="O39" s="995" t="s">
        <v>1426</v>
      </c>
      <c r="AX39" s="1038" t="s">
        <v>1648</v>
      </c>
      <c r="AZ39" s="1038" t="s">
        <v>1351</v>
      </c>
      <c r="BE39" s="1038">
        <v>2037</v>
      </c>
      <c r="BH39" s="989" t="s">
        <v>1649</v>
      </c>
      <c r="BJ39" s="1135" t="s">
        <v>1649</v>
      </c>
      <c r="BL39" s="1135" t="s">
        <v>1649</v>
      </c>
      <c r="BN39" s="989" t="s">
        <v>1650</v>
      </c>
    </row>
    <row r="40" spans="1:66" ht="11.25" customHeight="1">
      <c r="A40" s="995" t="s">
        <v>1651</v>
      </c>
      <c r="E40" s="342" t="s">
        <v>1652</v>
      </c>
      <c r="F40" s="1034" t="s">
        <v>914</v>
      </c>
      <c r="G40" s="342" t="s">
        <v>1653</v>
      </c>
      <c r="O40" s="995" t="s">
        <v>1442</v>
      </c>
      <c r="AX40" s="1038" t="s">
        <v>1654</v>
      </c>
      <c r="BE40" s="1038">
        <v>2038</v>
      </c>
      <c r="BH40" s="989" t="s">
        <v>1655</v>
      </c>
      <c r="BJ40" s="1135" t="s">
        <v>1047</v>
      </c>
      <c r="BL40" s="1135" t="s">
        <v>1047</v>
      </c>
      <c r="BN40" s="989" t="s">
        <v>1081</v>
      </c>
    </row>
    <row r="41" spans="1:66" ht="11.25" customHeight="1">
      <c r="A41" s="995" t="s">
        <v>1656</v>
      </c>
      <c r="E41" s="342" t="s">
        <v>1657</v>
      </c>
      <c r="F41" s="1034" t="s">
        <v>1658</v>
      </c>
      <c r="G41" s="342" t="s">
        <v>1657</v>
      </c>
      <c r="O41" s="995" t="s">
        <v>1458</v>
      </c>
      <c r="AX41" s="1038" t="s">
        <v>1659</v>
      </c>
      <c r="AZ41" s="988" t="s">
        <v>1660</v>
      </c>
      <c r="BE41" s="1038">
        <v>2039</v>
      </c>
      <c r="BH41" s="989" t="s">
        <v>1661</v>
      </c>
      <c r="BJ41" s="1135" t="s">
        <v>1043</v>
      </c>
      <c r="BL41" s="1135" t="s">
        <v>1043</v>
      </c>
      <c r="BN41" s="989" t="s">
        <v>1068</v>
      </c>
    </row>
    <row r="42" spans="1:66" ht="11.25" customHeight="1">
      <c r="A42" s="995" t="s">
        <v>1662</v>
      </c>
      <c r="AX42" s="1038" t="s">
        <v>1663</v>
      </c>
      <c r="AZ42" s="1038" t="s">
        <v>469</v>
      </c>
      <c r="BE42" s="1038">
        <v>2040</v>
      </c>
      <c r="BH42" s="989" t="s">
        <v>1065</v>
      </c>
      <c r="BJ42" s="1135" t="s">
        <v>1045</v>
      </c>
      <c r="BL42" s="1135" t="s">
        <v>1045</v>
      </c>
      <c r="BN42" s="989" t="s">
        <v>1664</v>
      </c>
    </row>
    <row r="43" spans="1:66" ht="11.25" customHeight="1">
      <c r="A43" s="995" t="s">
        <v>1665</v>
      </c>
      <c r="AX43" s="1038" t="s">
        <v>1666</v>
      </c>
      <c r="AZ43" s="1038" t="s">
        <v>1282</v>
      </c>
      <c r="BE43" s="1038">
        <v>2041</v>
      </c>
      <c r="BH43" s="989" t="s">
        <v>1667</v>
      </c>
      <c r="BJ43" s="1135" t="s">
        <v>1661</v>
      </c>
      <c r="BL43" s="1135" t="s">
        <v>1661</v>
      </c>
      <c r="BN43" s="989" t="s">
        <v>1668</v>
      </c>
    </row>
    <row r="44" spans="1:66" ht="11.25" customHeight="1">
      <c r="A44" s="995" t="s">
        <v>1669</v>
      </c>
      <c r="G44" s="1014">
        <f ca="1">YEAR(TODAY())</f>
        <v>2025</v>
      </c>
      <c r="I44" s="728" t="s">
        <v>1670</v>
      </c>
      <c r="J44" s="1010" t="s">
        <v>1671</v>
      </c>
      <c r="K44" s="1010" t="s">
        <v>1672</v>
      </c>
      <c r="AX44" s="1038" t="s">
        <v>1673</v>
      </c>
      <c r="AZ44" s="1038" t="s">
        <v>1317</v>
      </c>
      <c r="BE44" s="1038">
        <v>2042</v>
      </c>
      <c r="BH44" s="989" t="s">
        <v>1674</v>
      </c>
      <c r="BJ44" s="1135" t="s">
        <v>1065</v>
      </c>
      <c r="BL44" s="1135" t="s">
        <v>1065</v>
      </c>
      <c r="BN44" s="989" t="s">
        <v>1675</v>
      </c>
    </row>
    <row r="45" spans="1:66" ht="11.25" customHeight="1">
      <c r="A45" s="995" t="s">
        <v>1676</v>
      </c>
      <c r="D45" s="1030" t="s">
        <v>1677</v>
      </c>
      <c r="E45" s="1031" t="s">
        <v>1678</v>
      </c>
      <c r="F45" s="726" t="s">
        <v>1679</v>
      </c>
      <c r="G45" s="725" t="s">
        <v>1680</v>
      </c>
      <c r="H45" s="728" t="s">
        <v>1681</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1682</v>
      </c>
      <c r="AZ45" s="1038" t="s">
        <v>1350</v>
      </c>
      <c r="BE45" s="1038">
        <v>2043</v>
      </c>
      <c r="BH45" s="989" t="s">
        <v>1683</v>
      </c>
      <c r="BJ45" s="1135" t="s">
        <v>1059</v>
      </c>
      <c r="BL45" s="1135" t="s">
        <v>1059</v>
      </c>
      <c r="BN45" s="989" t="s">
        <v>1684</v>
      </c>
    </row>
    <row r="46" spans="1:66" ht="11.25" customHeight="1">
      <c r="A46" s="995" t="s">
        <v>1685</v>
      </c>
      <c r="E46" s="342" t="s">
        <v>26</v>
      </c>
      <c r="F46" s="1033" t="s">
        <v>1686</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1687</v>
      </c>
      <c r="AZ46" s="1038" t="s">
        <v>1374</v>
      </c>
      <c r="BE46" s="1038">
        <v>2044</v>
      </c>
      <c r="BH46" s="989" t="s">
        <v>1068</v>
      </c>
      <c r="BJ46" s="1135" t="s">
        <v>1049</v>
      </c>
      <c r="BL46" s="1135" t="s">
        <v>1049</v>
      </c>
      <c r="BN46" s="989" t="s">
        <v>1688</v>
      </c>
    </row>
    <row r="47" spans="1:66" ht="11.25" customHeight="1">
      <c r="A47" s="995" t="s">
        <v>1689</v>
      </c>
      <c r="E47" s="342" t="s">
        <v>33</v>
      </c>
      <c r="F47" s="1034" t="s">
        <v>1690</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1691</v>
      </c>
      <c r="AZ47" s="1038" t="s">
        <v>1393</v>
      </c>
      <c r="BE47" s="1038">
        <v>2045</v>
      </c>
      <c r="BH47" s="989" t="s">
        <v>1664</v>
      </c>
      <c r="BJ47" s="1135" t="s">
        <v>1051</v>
      </c>
      <c r="BL47" s="1135" t="s">
        <v>1051</v>
      </c>
      <c r="BN47" s="989" t="s">
        <v>1692</v>
      </c>
    </row>
    <row r="48" spans="1:66" ht="11.25" customHeight="1">
      <c r="A48" s="995" t="s">
        <v>1693</v>
      </c>
      <c r="E48" s="342" t="s">
        <v>1694</v>
      </c>
      <c r="F48" s="1034" t="s">
        <v>1695</v>
      </c>
      <c r="G48" s="1035" t="str">
        <f ca="1">IFERROR(IF(f_year="","01.01."&amp;CURRENT_YEAR,"01.01."&amp;f_year),"01.01."&amp;CURRENT_YEAR)</f>
        <v>01.01.2025</v>
      </c>
      <c r="H48" s="1035" t="str">
        <f ca="1">IFERROR(IF(f_year="","31.12."&amp;CURRENT_YEAR,"31.12."&amp;f_year),"31.12."&amp;CURRENT_YEAR)</f>
        <v>31.12.2025</v>
      </c>
      <c r="I48" s="1659" t="b">
        <f>IF(f_year="",TRUE,FALSE)</f>
        <v>1</v>
      </c>
      <c r="J48" s="1662" t="s">
        <v>1696</v>
      </c>
      <c r="K48" s="1663"/>
      <c r="AX48" s="1038" t="s">
        <v>1697</v>
      </c>
      <c r="AZ48" s="1038" t="s">
        <v>1410</v>
      </c>
      <c r="BE48" s="1038">
        <v>2046</v>
      </c>
      <c r="BH48" s="989" t="s">
        <v>1668</v>
      </c>
      <c r="BJ48" s="1135" t="s">
        <v>1053</v>
      </c>
      <c r="BL48" s="1135" t="s">
        <v>1053</v>
      </c>
      <c r="BN48" s="989" t="s">
        <v>1698</v>
      </c>
    </row>
    <row r="49" spans="1:64" ht="11.25" customHeight="1">
      <c r="A49" s="995" t="s">
        <v>1699</v>
      </c>
      <c r="E49" s="342" t="s">
        <v>1700</v>
      </c>
      <c r="F49" s="1034" t="s">
        <v>1701</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1702</v>
      </c>
      <c r="AZ49" s="1038" t="s">
        <v>1426</v>
      </c>
      <c r="BE49" s="1038">
        <v>2047</v>
      </c>
      <c r="BH49" s="989" t="s">
        <v>1069</v>
      </c>
      <c r="BJ49" s="1135" t="s">
        <v>1055</v>
      </c>
      <c r="BL49" s="1135" t="s">
        <v>1055</v>
      </c>
    </row>
    <row r="50" spans="1:64" ht="11.25" customHeight="1">
      <c r="A50" s="995" t="s">
        <v>1703</v>
      </c>
      <c r="E50" s="342" t="s">
        <v>1704</v>
      </c>
      <c r="F50" s="1034" t="s">
        <v>1039</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1705</v>
      </c>
      <c r="AZ50" s="1038" t="s">
        <v>1442</v>
      </c>
      <c r="BE50" s="1038">
        <v>2048</v>
      </c>
      <c r="BH50" s="989" t="s">
        <v>1675</v>
      </c>
      <c r="BJ50" s="1135" t="s">
        <v>1057</v>
      </c>
      <c r="BL50" s="1135" t="s">
        <v>1057</v>
      </c>
    </row>
    <row r="51" spans="1:64" ht="11.25" customHeight="1">
      <c r="A51" s="995" t="s">
        <v>1706</v>
      </c>
      <c r="E51" s="342" t="s">
        <v>1707</v>
      </c>
      <c r="F51" s="1034" t="s">
        <v>1708</v>
      </c>
      <c r="G51" s="1035" t="str">
        <f>IFERROR(IF(TITLE_PERIOD_START="","01.01."&amp;CURRENT_YEAR,"01.01."&amp;YEAR(TITLE_PERIOD_START)),"01.01."&amp;CURRENT_YEAR)</f>
        <v>01.01.2017</v>
      </c>
      <c r="H51" s="1035"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1709</v>
      </c>
      <c r="AZ51" s="1038" t="s">
        <v>1458</v>
      </c>
      <c r="BE51" s="1038">
        <v>2049</v>
      </c>
      <c r="BH51" s="989" t="s">
        <v>1684</v>
      </c>
      <c r="BJ51" s="1135" t="s">
        <v>1710</v>
      </c>
      <c r="BL51" s="1135" t="s">
        <v>1710</v>
      </c>
    </row>
    <row r="52" spans="1:64" ht="11.25" customHeight="1">
      <c r="A52" s="995" t="s">
        <v>1711</v>
      </c>
      <c r="E52" s="342" t="s">
        <v>1712</v>
      </c>
      <c r="F52" s="1034" t="s">
        <v>1678</v>
      </c>
      <c r="G52" s="1035" t="str">
        <f>IFERROR(IF(TITLE_PERIOD_START="","01.01."&amp;CURRENT_YEAR,"01.01."&amp;YEAR(TITLE_PERIOD_START)),"01.01."&amp;CURRENT_YEAR)</f>
        <v>01.01.2017</v>
      </c>
      <c r="H52" s="1035"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1713</v>
      </c>
      <c r="AZ52" s="1038" t="s">
        <v>467</v>
      </c>
      <c r="BE52" s="1038">
        <v>2050</v>
      </c>
      <c r="BH52" s="989" t="s">
        <v>1688</v>
      </c>
      <c r="BJ52" s="1135" t="s">
        <v>1068</v>
      </c>
      <c r="BL52" s="1135" t="s">
        <v>1068</v>
      </c>
    </row>
    <row r="53" spans="1:64" ht="11.25" customHeight="1">
      <c r="A53" s="995" t="s">
        <v>1714</v>
      </c>
      <c r="E53" s="342" t="s">
        <v>1715</v>
      </c>
      <c r="F53" s="1034" t="s">
        <v>1715</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1716</v>
      </c>
      <c r="K53" s="1663"/>
      <c r="AX53" s="1038" t="s">
        <v>1717</v>
      </c>
      <c r="BE53" s="1038">
        <v>2051</v>
      </c>
      <c r="BH53" s="989" t="s">
        <v>1692</v>
      </c>
      <c r="BJ53" s="1135" t="s">
        <v>1664</v>
      </c>
      <c r="BL53" s="1135" t="s">
        <v>1664</v>
      </c>
    </row>
    <row r="54" spans="1:64" ht="11.25" customHeight="1">
      <c r="A54" s="995" t="s">
        <v>1718</v>
      </c>
      <c r="AX54" s="1038" t="s">
        <v>1719</v>
      </c>
      <c r="AZ54" s="988" t="s">
        <v>1720</v>
      </c>
      <c r="BE54" s="1038">
        <v>2052</v>
      </c>
      <c r="BH54" s="989" t="s">
        <v>1698</v>
      </c>
      <c r="BJ54" s="1135" t="s">
        <v>1668</v>
      </c>
      <c r="BL54" s="1135" t="s">
        <v>1668</v>
      </c>
    </row>
    <row r="55" spans="1:64" ht="11.25" customHeight="1">
      <c r="A55" s="995" t="s">
        <v>1721</v>
      </c>
      <c r="AX55" s="1038" t="s">
        <v>1722</v>
      </c>
      <c r="AZ55" s="1038" t="s">
        <v>1259</v>
      </c>
      <c r="BE55" s="1038">
        <v>2053</v>
      </c>
      <c r="BH55" s="991" t="s">
        <v>28</v>
      </c>
      <c r="BJ55" s="1135" t="s">
        <v>1069</v>
      </c>
      <c r="BL55" s="1135" t="s">
        <v>1069</v>
      </c>
    </row>
    <row r="56" spans="1:64" ht="11.25" customHeight="1">
      <c r="A56" s="995" t="s">
        <v>1723</v>
      </c>
      <c r="D56" s="1037" t="s">
        <v>1724</v>
      </c>
      <c r="E56" s="1015" t="s">
        <v>103</v>
      </c>
      <c r="F56" s="995" t="s">
        <v>1725</v>
      </c>
      <c r="AX56" s="1038" t="s">
        <v>1726</v>
      </c>
      <c r="AZ56" s="1038" t="s">
        <v>1285</v>
      </c>
      <c r="BE56" s="1038">
        <v>2054</v>
      </c>
      <c r="BH56" s="991" t="s">
        <v>28</v>
      </c>
      <c r="BJ56" s="1135" t="s">
        <v>1675</v>
      </c>
      <c r="BL56" s="1135" t="s">
        <v>1675</v>
      </c>
    </row>
    <row r="57" spans="1:64" ht="11.25" customHeight="1">
      <c r="A57" s="995" t="s">
        <v>1727</v>
      </c>
      <c r="D57" s="1037" t="s">
        <v>1728</v>
      </c>
      <c r="E57" s="1015" t="s">
        <v>103</v>
      </c>
      <c r="F57" s="995" t="s">
        <v>1725</v>
      </c>
      <c r="AX57" s="1038" t="s">
        <v>1729</v>
      </c>
      <c r="AZ57" s="1038" t="s">
        <v>1320</v>
      </c>
      <c r="BE57" s="1038">
        <v>2055</v>
      </c>
      <c r="BJ57" s="1135" t="s">
        <v>1684</v>
      </c>
      <c r="BL57" s="1135" t="s">
        <v>1684</v>
      </c>
    </row>
    <row r="58" spans="1:64" ht="11.25" customHeight="1">
      <c r="A58" s="995" t="s">
        <v>1730</v>
      </c>
      <c r="D58" s="1037" t="s">
        <v>1731</v>
      </c>
      <c r="E58" s="1015" t="s">
        <v>103</v>
      </c>
      <c r="F58" s="995" t="s">
        <v>1725</v>
      </c>
      <c r="AX58" s="1038" t="s">
        <v>1732</v>
      </c>
      <c r="BE58" s="1038">
        <v>2056</v>
      </c>
      <c r="BJ58" s="1135" t="s">
        <v>1688</v>
      </c>
      <c r="BL58" s="1135" t="s">
        <v>1688</v>
      </c>
    </row>
    <row r="59" spans="1:64" ht="11.25" customHeight="1">
      <c r="A59" s="995" t="s">
        <v>1733</v>
      </c>
      <c r="D59" s="1037" t="s">
        <v>134</v>
      </c>
      <c r="E59" s="1015" t="s">
        <v>1621</v>
      </c>
      <c r="F59" s="995" t="s">
        <v>1734</v>
      </c>
      <c r="AX59" s="1038" t="s">
        <v>1735</v>
      </c>
      <c r="AZ59" s="988" t="s">
        <v>1736</v>
      </c>
      <c r="BE59" s="1038">
        <v>2057</v>
      </c>
      <c r="BJ59" s="1135" t="s">
        <v>1692</v>
      </c>
      <c r="BL59" s="1135" t="s">
        <v>1692</v>
      </c>
    </row>
    <row r="60" spans="1:64" ht="11.25" customHeight="1">
      <c r="A60" s="995" t="s">
        <v>1737</v>
      </c>
      <c r="D60" s="1037" t="s">
        <v>1738</v>
      </c>
      <c r="E60" s="1015" t="s">
        <v>1621</v>
      </c>
      <c r="F60" s="995" t="s">
        <v>1734</v>
      </c>
      <c r="AX60" s="1038" t="s">
        <v>1739</v>
      </c>
      <c r="AZ60" s="1038" t="s">
        <v>1260</v>
      </c>
      <c r="BE60" s="1038">
        <v>2058</v>
      </c>
      <c r="BJ60" s="1135" t="s">
        <v>1698</v>
      </c>
      <c r="BL60" s="1135" t="s">
        <v>1698</v>
      </c>
    </row>
    <row r="61" spans="1:64" ht="11.25" customHeight="1">
      <c r="A61" s="995" t="s">
        <v>1740</v>
      </c>
      <c r="D61" s="1037" t="s">
        <v>1741</v>
      </c>
      <c r="E61" s="1015" t="s">
        <v>1742</v>
      </c>
      <c r="F61" s="995" t="s">
        <v>1734</v>
      </c>
      <c r="AX61" s="1038" t="s">
        <v>1743</v>
      </c>
      <c r="AZ61" s="1038" t="s">
        <v>1286</v>
      </c>
      <c r="BE61" s="1038">
        <v>2059</v>
      </c>
      <c r="BL61" s="1135" t="s">
        <v>1061</v>
      </c>
    </row>
    <row r="62" spans="1:64" ht="11.25" customHeight="1">
      <c r="A62" s="995" t="s">
        <v>1744</v>
      </c>
      <c r="D62" s="1037" t="s">
        <v>133</v>
      </c>
      <c r="E62" s="1015">
        <v>32</v>
      </c>
      <c r="F62" s="995" t="s">
        <v>1734</v>
      </c>
      <c r="AZ62" s="1038" t="s">
        <v>1321</v>
      </c>
      <c r="BE62" s="1038">
        <v>2060</v>
      </c>
      <c r="BL62" s="1135" t="s">
        <v>1063</v>
      </c>
    </row>
    <row r="63" spans="1:64" ht="11.25" customHeight="1">
      <c r="A63" s="995" t="s">
        <v>1745</v>
      </c>
      <c r="D63" s="1037" t="s">
        <v>1746</v>
      </c>
      <c r="E63" s="1015">
        <v>32</v>
      </c>
      <c r="F63" s="995" t="s">
        <v>1734</v>
      </c>
      <c r="AZ63" s="1038" t="s">
        <v>1352</v>
      </c>
      <c r="BE63" s="1038">
        <v>2061</v>
      </c>
    </row>
    <row r="64" spans="1:64" ht="11.25" customHeight="1">
      <c r="A64" s="995" t="s">
        <v>1747</v>
      </c>
      <c r="D64" s="1037" t="s">
        <v>1748</v>
      </c>
      <c r="E64" s="1015">
        <v>32</v>
      </c>
      <c r="F64" s="995" t="s">
        <v>1734</v>
      </c>
      <c r="AZ64" s="1038" t="s">
        <v>1375</v>
      </c>
      <c r="BE64" s="1038">
        <v>2062</v>
      </c>
    </row>
    <row r="65" spans="1:66" ht="11.25" customHeight="1">
      <c r="A65" s="995" t="s">
        <v>1749</v>
      </c>
      <c r="D65" s="995"/>
      <c r="BE65" s="1038">
        <v>2063</v>
      </c>
    </row>
    <row r="66" spans="1:66" ht="11.25" customHeight="1">
      <c r="A66" s="995" t="s">
        <v>1750</v>
      </c>
      <c r="AZ66" s="988" t="s">
        <v>1751</v>
      </c>
      <c r="BE66" s="1038">
        <v>2064</v>
      </c>
    </row>
    <row r="67" spans="1:66" ht="11.25" customHeight="1">
      <c r="A67" s="995" t="s">
        <v>1752</v>
      </c>
      <c r="AZ67" s="1038" t="s">
        <v>1261</v>
      </c>
      <c r="BE67" s="1038">
        <v>2065</v>
      </c>
    </row>
    <row r="68" spans="1:66" ht="11.25" customHeight="1">
      <c r="A68" s="995" t="s">
        <v>1753</v>
      </c>
      <c r="AZ68" s="1038" t="s">
        <v>1287</v>
      </c>
      <c r="BE68" s="1038">
        <v>2066</v>
      </c>
      <c r="BH68" s="988" t="s">
        <v>1754</v>
      </c>
      <c r="BJ68" s="988" t="s">
        <v>1755</v>
      </c>
      <c r="BL68" s="988" t="s">
        <v>1756</v>
      </c>
      <c r="BN68" s="988" t="s">
        <v>1757</v>
      </c>
    </row>
    <row r="69" spans="1:66" ht="11.25" customHeight="1">
      <c r="A69" s="995" t="s">
        <v>1758</v>
      </c>
      <c r="AZ69" s="1038" t="s">
        <v>1322</v>
      </c>
      <c r="BE69" s="1038">
        <v>2067</v>
      </c>
      <c r="BH69" s="989" t="s">
        <v>1759</v>
      </c>
      <c r="BI69" s="1036" t="s">
        <v>113</v>
      </c>
      <c r="BJ69" s="989" t="s">
        <v>1760</v>
      </c>
      <c r="BK69" s="1036" t="s">
        <v>113</v>
      </c>
      <c r="BL69" s="989" t="s">
        <v>1761</v>
      </c>
      <c r="BM69" s="991" t="s">
        <v>113</v>
      </c>
      <c r="BN69" s="989" t="s">
        <v>1762</v>
      </c>
    </row>
    <row r="70" spans="1:66" ht="11.25" customHeight="1">
      <c r="A70" s="995" t="s">
        <v>1763</v>
      </c>
      <c r="AZ70" s="1038" t="s">
        <v>1353</v>
      </c>
      <c r="BE70" s="1038">
        <v>2068</v>
      </c>
      <c r="BH70" s="989" t="s">
        <v>1764</v>
      </c>
      <c r="BJ70" s="989" t="s">
        <v>1765</v>
      </c>
      <c r="BL70" s="989" t="s">
        <v>1766</v>
      </c>
      <c r="BN70" s="989" t="s">
        <v>1767</v>
      </c>
    </row>
    <row r="71" spans="1:66" ht="11.25" customHeight="1">
      <c r="A71" s="995" t="s">
        <v>1768</v>
      </c>
      <c r="AZ71" s="1038" t="s">
        <v>1355</v>
      </c>
      <c r="BE71" s="1038">
        <v>2069</v>
      </c>
      <c r="BH71" s="989" t="s">
        <v>1769</v>
      </c>
      <c r="BI71" s="1036" t="s">
        <v>94</v>
      </c>
      <c r="BJ71" s="989" t="s">
        <v>1770</v>
      </c>
      <c r="BK71" s="1036" t="s">
        <v>94</v>
      </c>
      <c r="BL71" s="989" t="s">
        <v>1771</v>
      </c>
      <c r="BM71" s="991" t="s">
        <v>94</v>
      </c>
      <c r="BN71" s="989" t="s">
        <v>1772</v>
      </c>
    </row>
    <row r="72" spans="1:66" ht="11.25" customHeight="1">
      <c r="A72" s="995" t="s">
        <v>1773</v>
      </c>
      <c r="AZ72" s="1038" t="s">
        <v>19</v>
      </c>
      <c r="BE72" s="1038">
        <v>2070</v>
      </c>
      <c r="BH72" s="989" t="s">
        <v>1774</v>
      </c>
      <c r="BJ72" s="989" t="s">
        <v>1774</v>
      </c>
      <c r="BL72" s="989" t="s">
        <v>1774</v>
      </c>
      <c r="BN72" s="989" t="s">
        <v>1775</v>
      </c>
    </row>
    <row r="73" spans="1:66" ht="11.25" customHeight="1">
      <c r="A73" s="995" t="s">
        <v>1776</v>
      </c>
      <c r="BH73" s="989" t="s">
        <v>1777</v>
      </c>
      <c r="BI73" s="1036" t="s">
        <v>103</v>
      </c>
      <c r="BJ73" s="989" t="s">
        <v>1778</v>
      </c>
      <c r="BK73" s="1036" t="s">
        <v>103</v>
      </c>
      <c r="BL73" s="989" t="s">
        <v>1779</v>
      </c>
      <c r="BM73" s="991" t="s">
        <v>103</v>
      </c>
      <c r="BN73" s="989" t="s">
        <v>1780</v>
      </c>
    </row>
    <row r="74" spans="1:66" ht="11.25" customHeight="1">
      <c r="A74" s="995" t="s">
        <v>1781</v>
      </c>
      <c r="BH74" s="989" t="s">
        <v>1782</v>
      </c>
      <c r="BJ74" s="989" t="s">
        <v>1783</v>
      </c>
      <c r="BL74" s="989" t="s">
        <v>1784</v>
      </c>
      <c r="BN74" s="989" t="s">
        <v>1785</v>
      </c>
    </row>
    <row r="75" spans="1:66" ht="11.25" customHeight="1">
      <c r="A75" s="995" t="s">
        <v>1786</v>
      </c>
      <c r="AZ75" s="988" t="s">
        <v>1787</v>
      </c>
      <c r="BH75" s="989" t="s">
        <v>1788</v>
      </c>
      <c r="BJ75" s="989" t="s">
        <v>1788</v>
      </c>
      <c r="BL75" s="989" t="s">
        <v>1788</v>
      </c>
    </row>
    <row r="76" spans="1:66" ht="11.25" customHeight="1">
      <c r="A76" s="995" t="s">
        <v>1789</v>
      </c>
      <c r="AZ76" s="1038" t="s">
        <v>1270</v>
      </c>
      <c r="BH76" s="989" t="s">
        <v>1790</v>
      </c>
      <c r="BJ76" s="989" t="s">
        <v>1791</v>
      </c>
      <c r="BL76" s="989" t="s">
        <v>1792</v>
      </c>
    </row>
    <row r="77" spans="1:66" ht="11.25" customHeight="1">
      <c r="A77" s="995" t="s">
        <v>1793</v>
      </c>
      <c r="AZ77" s="1038" t="s">
        <v>1297</v>
      </c>
    </row>
    <row r="78" spans="1:66" ht="11.25" customHeight="1">
      <c r="A78" s="995" t="s">
        <v>1794</v>
      </c>
      <c r="AZ78" s="1038" t="s">
        <v>1329</v>
      </c>
    </row>
    <row r="79" spans="1:66" ht="11.25" customHeight="1">
      <c r="A79" s="995" t="s">
        <v>1795</v>
      </c>
      <c r="AZ79" s="1038" t="s">
        <v>1359</v>
      </c>
      <c r="BH79" s="988" t="s">
        <v>1796</v>
      </c>
      <c r="BJ79" s="988" t="s">
        <v>1797</v>
      </c>
      <c r="BL79" s="988" t="s">
        <v>1798</v>
      </c>
    </row>
    <row r="80" spans="1:66" ht="11.25" customHeight="1">
      <c r="A80" s="995" t="s">
        <v>1799</v>
      </c>
      <c r="AZ80" s="1038" t="s">
        <v>1380</v>
      </c>
      <c r="BH80" s="989" t="s">
        <v>1800</v>
      </c>
      <c r="BJ80" s="989" t="s">
        <v>1801</v>
      </c>
      <c r="BL80" s="989" t="s">
        <v>1802</v>
      </c>
    </row>
    <row r="81" spans="1:66" ht="11.25" customHeight="1">
      <c r="A81" s="995" t="s">
        <v>1803</v>
      </c>
      <c r="AZ81" s="1038" t="s">
        <v>1397</v>
      </c>
      <c r="BH81" s="989" t="s">
        <v>1804</v>
      </c>
      <c r="BJ81" s="989" t="s">
        <v>1805</v>
      </c>
      <c r="BL81" s="989" t="s">
        <v>1806</v>
      </c>
    </row>
    <row r="82" spans="1:66" ht="11.25" customHeight="1">
      <c r="A82" s="995" t="s">
        <v>1807</v>
      </c>
      <c r="AZ82" s="1038" t="s">
        <v>1412</v>
      </c>
      <c r="BH82" s="989" t="s">
        <v>1808</v>
      </c>
      <c r="BJ82" s="989" t="s">
        <v>1809</v>
      </c>
      <c r="BL82" s="989" t="s">
        <v>1810</v>
      </c>
    </row>
    <row r="83" spans="1:66" ht="11.25" customHeight="1">
      <c r="A83" s="995" t="s">
        <v>1811</v>
      </c>
      <c r="BH83" s="989" t="s">
        <v>1812</v>
      </c>
      <c r="BJ83" s="989" t="s">
        <v>1813</v>
      </c>
      <c r="BL83" s="989" t="s">
        <v>1814</v>
      </c>
    </row>
    <row r="84" spans="1:66" ht="11.25" customHeight="1">
      <c r="A84" s="995" t="s">
        <v>1815</v>
      </c>
      <c r="AZ84" s="988" t="s">
        <v>1816</v>
      </c>
    </row>
    <row r="85" spans="1:66" ht="11.25" customHeight="1">
      <c r="A85" s="1785" t="s">
        <v>1817</v>
      </c>
      <c r="AZ85" s="1038" t="s">
        <v>1818</v>
      </c>
    </row>
    <row r="86" spans="1:66" ht="11.25" customHeight="1">
      <c r="A86" s="995" t="s">
        <v>1819</v>
      </c>
      <c r="AZ86" s="1038" t="s">
        <v>1820</v>
      </c>
      <c r="BH86" s="988" t="s">
        <v>1821</v>
      </c>
      <c r="BJ86" s="988" t="s">
        <v>1822</v>
      </c>
      <c r="BL86" s="988" t="s">
        <v>1823</v>
      </c>
    </row>
    <row r="87" spans="1:66" ht="11.25" customHeight="1">
      <c r="A87" s="995" t="s">
        <v>1824</v>
      </c>
      <c r="AZ87" s="1038" t="s">
        <v>1825</v>
      </c>
      <c r="BH87" s="989" t="s">
        <v>1826</v>
      </c>
      <c r="BJ87" s="989" t="s">
        <v>1827</v>
      </c>
      <c r="BL87" s="989" t="s">
        <v>1828</v>
      </c>
    </row>
    <row r="88" spans="1:66" ht="11.25" customHeight="1">
      <c r="A88" s="995" t="s">
        <v>1829</v>
      </c>
      <c r="AZ88" s="1524"/>
      <c r="BH88" s="989" t="s">
        <v>1830</v>
      </c>
      <c r="BJ88" s="989" t="s">
        <v>1831</v>
      </c>
      <c r="BL88" s="989" t="s">
        <v>1832</v>
      </c>
    </row>
    <row r="89" spans="1:66" ht="11.25" customHeight="1">
      <c r="A89" s="995" t="s">
        <v>1833</v>
      </c>
      <c r="AZ89" s="988" t="s">
        <v>1834</v>
      </c>
    </row>
    <row r="90" spans="1:66" ht="11.25" customHeight="1">
      <c r="A90" s="995" t="s">
        <v>1835</v>
      </c>
      <c r="AZ90" s="1038" t="s">
        <v>1039</v>
      </c>
    </row>
    <row r="91" spans="1:66" ht="11.25" customHeight="1">
      <c r="A91" s="995" t="s">
        <v>1836</v>
      </c>
      <c r="AZ91" s="1038" t="s">
        <v>1075</v>
      </c>
      <c r="BH91" s="988" t="s">
        <v>1837</v>
      </c>
      <c r="BJ91" s="988" t="s">
        <v>1838</v>
      </c>
      <c r="BL91" s="988" t="s">
        <v>1839</v>
      </c>
    </row>
    <row r="92" spans="1:66" ht="11.25" customHeight="1">
      <c r="AZ92" s="1038" t="s">
        <v>1840</v>
      </c>
      <c r="BH92" s="989" t="s">
        <v>1841</v>
      </c>
      <c r="BJ92" s="989" t="s">
        <v>1842</v>
      </c>
      <c r="BL92" s="989" t="s">
        <v>1843</v>
      </c>
    </row>
    <row r="93" spans="1:66" ht="11.25" customHeight="1">
      <c r="AZ93" s="1038" t="s">
        <v>1844</v>
      </c>
      <c r="BH93" s="989" t="s">
        <v>1845</v>
      </c>
      <c r="BJ93" s="989" t="s">
        <v>1846</v>
      </c>
      <c r="BL93" s="989" t="s">
        <v>1847</v>
      </c>
    </row>
    <row r="94" spans="1:66" ht="11.25" customHeight="1">
      <c r="AZ94" s="1038" t="s">
        <v>1848</v>
      </c>
    </row>
    <row r="96" spans="1:66" ht="11.25" customHeight="1">
      <c r="AZ96" s="988" t="s">
        <v>1849</v>
      </c>
      <c r="BH96" s="988" t="s">
        <v>1850</v>
      </c>
      <c r="BJ96" s="988" t="s">
        <v>1851</v>
      </c>
      <c r="BL96" s="988" t="s">
        <v>1852</v>
      </c>
      <c r="BN96" s="988" t="s">
        <v>1853</v>
      </c>
    </row>
    <row r="97" spans="52:66" ht="11.25" customHeight="1">
      <c r="AZ97" s="1816" t="s">
        <v>1854</v>
      </c>
      <c r="BA97" s="1817" t="s">
        <v>1855</v>
      </c>
      <c r="BH97" s="989" t="s">
        <v>1856</v>
      </c>
      <c r="BJ97" s="989" t="s">
        <v>1857</v>
      </c>
      <c r="BL97" s="989" t="s">
        <v>1858</v>
      </c>
      <c r="BN97" s="989" t="s">
        <v>1859</v>
      </c>
    </row>
    <row r="98" spans="52:66" ht="11.25" customHeight="1">
      <c r="AZ98" s="1816" t="s">
        <v>1860</v>
      </c>
      <c r="BA98" s="1817" t="s">
        <v>1861</v>
      </c>
      <c r="BH98" s="989" t="s">
        <v>1862</v>
      </c>
      <c r="BJ98" s="989" t="s">
        <v>1863</v>
      </c>
      <c r="BL98" s="989" t="s">
        <v>1864</v>
      </c>
      <c r="BN98" s="989" t="s">
        <v>1865</v>
      </c>
    </row>
    <row r="99" spans="52:66" ht="22.5" customHeight="1">
      <c r="AZ99" s="1816" t="s">
        <v>1866</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1867</v>
      </c>
      <c r="BJ99" s="989" t="s">
        <v>1868</v>
      </c>
      <c r="BL99" s="989" t="s">
        <v>1869</v>
      </c>
      <c r="BN99" s="989" t="s">
        <v>1870</v>
      </c>
    </row>
    <row r="100" spans="52:66" ht="22.5" customHeight="1">
      <c r="AZ100" s="1816" t="s">
        <v>1871</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1458</v>
      </c>
      <c r="BL100" s="989" t="s">
        <v>1458</v>
      </c>
      <c r="BN100" s="989" t="s">
        <v>1872</v>
      </c>
    </row>
    <row r="101" spans="52:66" ht="22.5" customHeight="1">
      <c r="AZ101" s="1816" t="s">
        <v>1873</v>
      </c>
      <c r="BA101" s="1817" t="s">
        <v>1874</v>
      </c>
      <c r="BN101" s="989" t="s">
        <v>1875</v>
      </c>
    </row>
    <row r="102" spans="52:66" ht="22.5" customHeight="1">
      <c r="AZ102" s="1816" t="s">
        <v>1876</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1877</v>
      </c>
    </row>
    <row r="103" spans="52:66" ht="11.25" customHeight="1">
      <c r="AZ103" s="1816" t="s">
        <v>1878</v>
      </c>
      <c r="BA103" s="1817" t="s">
        <v>1879</v>
      </c>
      <c r="BN103" s="989" t="s">
        <v>1880</v>
      </c>
    </row>
    <row r="104" spans="52:66" ht="11.25" customHeight="1">
      <c r="BN104" s="989" t="s">
        <v>1881</v>
      </c>
    </row>
    <row r="105" spans="52:66" ht="11.25" customHeight="1">
      <c r="AZ105" s="1610" t="s">
        <v>1882</v>
      </c>
    </row>
    <row r="106" spans="52:66" ht="11.25" customHeight="1">
      <c r="AZ106" s="1038" t="s">
        <v>1883</v>
      </c>
    </row>
    <row r="107" spans="52:66" ht="11.25" customHeight="1">
      <c r="AZ107" s="1038" t="s">
        <v>1884</v>
      </c>
      <c r="BH107" s="988" t="s">
        <v>1885</v>
      </c>
      <c r="BJ107" s="988" t="s">
        <v>1886</v>
      </c>
      <c r="BL107" s="988" t="s">
        <v>1887</v>
      </c>
      <c r="BN107" s="988" t="s">
        <v>1888</v>
      </c>
    </row>
    <row r="108" spans="52:66" ht="11.25" customHeight="1">
      <c r="AZ108" s="1038" t="s">
        <v>592</v>
      </c>
      <c r="BH108" s="989" t="s">
        <v>1889</v>
      </c>
      <c r="BJ108" s="989" t="s">
        <v>1890</v>
      </c>
      <c r="BL108" s="989" t="s">
        <v>1544</v>
      </c>
      <c r="BN108" s="989" t="s">
        <v>1891</v>
      </c>
    </row>
    <row r="109" spans="52:66" ht="11.25" customHeight="1">
      <c r="BH109" s="989" t="s">
        <v>1892</v>
      </c>
    </row>
    <row r="110" spans="52:66" ht="11.25" customHeight="1">
      <c r="AZ110" s="1610" t="s">
        <v>1893</v>
      </c>
      <c r="BH110" s="989" t="s">
        <v>1892</v>
      </c>
    </row>
    <row r="111" spans="52:66" ht="11.25" customHeight="1">
      <c r="AZ111" s="1816" t="s">
        <v>1854</v>
      </c>
      <c r="BA111" s="1817" t="s">
        <v>1855</v>
      </c>
    </row>
    <row r="112" spans="52:66" ht="11.25" customHeight="1">
      <c r="AZ112" s="1816" t="s">
        <v>1860</v>
      </c>
      <c r="BA112" s="1817" t="s">
        <v>1861</v>
      </c>
    </row>
    <row r="113" spans="52:60" ht="22.5" customHeight="1">
      <c r="AZ113" s="1816" t="s">
        <v>1866</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1871</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1894</v>
      </c>
    </row>
    <row r="115" spans="52:60" ht="22.5" customHeight="1">
      <c r="AZ115" s="1816" t="s">
        <v>1876</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467</v>
      </c>
    </row>
    <row r="116" spans="52:60" ht="11.25" customHeight="1">
      <c r="AZ116" s="1816" t="s">
        <v>1878</v>
      </c>
      <c r="BA116" s="1817" t="s">
        <v>1879</v>
      </c>
      <c r="BH116" s="989" t="s">
        <v>1283</v>
      </c>
    </row>
    <row r="117" spans="52:60" ht="11.25" customHeight="1">
      <c r="BH117" s="989" t="s">
        <v>1318</v>
      </c>
    </row>
    <row r="118" spans="52:60" ht="11.25" customHeight="1">
      <c r="BH118" s="989" t="s">
        <v>1351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158" hidden="1" customWidth="1"/>
    <col min="3" max="3" width="3" style="4161" customWidth="1"/>
    <col min="4" max="4" width="6" style="4162" customWidth="1"/>
    <col min="5" max="5" width="52" style="4161" customWidth="1"/>
    <col min="6" max="6" width="48" style="4161" customWidth="1"/>
    <col min="7" max="7" width="93" style="4161" customWidth="1"/>
    <col min="8" max="8" width="8" style="4161" customWidth="1"/>
    <col min="9" max="9" width="64" style="4161" customWidth="1"/>
    <col min="10" max="10" width="9.140625" style="4161" hidden="1"/>
  </cols>
  <sheetData>
    <row r="1" spans="1:10" ht="11.25" hidden="1" customHeight="1">
      <c r="A1" s="436" t="s">
        <v>320</v>
      </c>
      <c r="J1" s="390" t="s">
        <v>14</v>
      </c>
    </row>
    <row r="2" spans="1:10" ht="22.5" hidden="1" customHeight="1">
      <c r="A2" s="437"/>
      <c r="B2" s="437"/>
      <c r="C2" s="1647" t="s">
        <v>175</v>
      </c>
      <c r="D2" s="1438"/>
      <c r="E2" s="1444"/>
      <c r="F2" s="1467"/>
      <c r="H2" s="410"/>
      <c r="J2" s="390">
        <v>0</v>
      </c>
    </row>
    <row r="3" spans="1:10" ht="11.25" hidden="1" customHeight="1">
      <c r="J3" s="390">
        <v>0</v>
      </c>
    </row>
    <row r="4" spans="1:10" ht="11.45" customHeight="1">
      <c r="A4" s="1468"/>
      <c r="B4" s="1468"/>
      <c r="J4" s="390">
        <v>11</v>
      </c>
    </row>
    <row r="5" spans="1:10" ht="27.4" customHeight="1">
      <c r="D5" s="42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4268"/>
      <c r="F5" s="4269"/>
      <c r="I5" s="650"/>
      <c r="J5" s="390">
        <v>26</v>
      </c>
    </row>
    <row r="6" spans="1:10" ht="18" customHeight="1">
      <c r="D6" s="4365" t="str">
        <f>IF(region_name=0,"Не определено",region_name)</f>
        <v>Мурманская область</v>
      </c>
      <c r="E6" s="4365"/>
      <c r="F6" s="4365"/>
      <c r="I6" s="650"/>
      <c r="J6" s="390">
        <v>17</v>
      </c>
    </row>
    <row r="7" spans="1:10" s="4157" customFormat="1" ht="11.45" customHeight="1">
      <c r="A7" s="436"/>
      <c r="B7" s="436"/>
      <c r="D7" s="649"/>
      <c r="E7" s="649"/>
      <c r="F7" s="687"/>
      <c r="G7" s="649"/>
      <c r="J7" s="412">
        <v>11</v>
      </c>
    </row>
    <row r="8" spans="1:10" ht="11.25" hidden="1" customHeight="1">
      <c r="A8" s="437"/>
      <c r="B8" s="437"/>
      <c r="C8" s="392"/>
      <c r="D8" s="398"/>
      <c r="E8" s="4371"/>
      <c r="F8" s="4371"/>
      <c r="J8" s="390">
        <v>0</v>
      </c>
    </row>
    <row r="9" spans="1:10" ht="11.45" customHeight="1">
      <c r="A9" s="437"/>
      <c r="B9" s="437"/>
      <c r="C9" s="392"/>
      <c r="D9" s="4368" t="s">
        <v>321</v>
      </c>
      <c r="E9" s="4369"/>
      <c r="F9" s="4369"/>
      <c r="G9" s="4372" t="s">
        <v>322</v>
      </c>
      <c r="J9" s="390">
        <v>11</v>
      </c>
    </row>
    <row r="10" spans="1:10" ht="11.45" customHeight="1">
      <c r="A10" s="437"/>
      <c r="B10" s="437"/>
      <c r="C10" s="392"/>
      <c r="D10" s="1392" t="s">
        <v>92</v>
      </c>
      <c r="E10" s="1394" t="s">
        <v>323</v>
      </c>
      <c r="F10" s="1394" t="s">
        <v>324</v>
      </c>
      <c r="G10" s="437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"Мурманэнергосбыт"</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1895</v>
      </c>
      <c r="F13" s="1439" t="s">
        <v>327</v>
      </c>
      <c r="G13" s="409"/>
      <c r="H13" s="1451"/>
      <c r="J13" s="390">
        <v>19</v>
      </c>
    </row>
    <row r="14" spans="1:10" ht="19.899999999999999" customHeight="1">
      <c r="A14" s="437"/>
      <c r="B14" s="437"/>
      <c r="C14" s="392"/>
      <c r="D14" s="1441" t="s">
        <v>729</v>
      </c>
      <c r="E14" s="1442" t="s">
        <v>1896</v>
      </c>
      <c r="F14" s="1444"/>
      <c r="G14" s="1443" t="s">
        <v>1897</v>
      </c>
      <c r="H14" s="1451"/>
      <c r="J14" s="390">
        <v>19</v>
      </c>
    </row>
    <row r="15" spans="1:10" ht="19.899999999999999" customHeight="1">
      <c r="A15" s="437"/>
      <c r="B15" s="437"/>
      <c r="C15" s="392"/>
      <c r="D15" s="1441" t="s">
        <v>328</v>
      </c>
      <c r="E15" s="1442" t="s">
        <v>1898</v>
      </c>
      <c r="F15" s="1444"/>
      <c r="G15" s="1443" t="s">
        <v>1899</v>
      </c>
      <c r="H15" s="1451"/>
      <c r="J15" s="390">
        <v>19</v>
      </c>
    </row>
    <row r="16" spans="1:10" ht="24" customHeight="1">
      <c r="A16" s="437"/>
      <c r="B16" s="437"/>
      <c r="C16" s="392"/>
      <c r="D16" s="1441" t="s">
        <v>331</v>
      </c>
      <c r="E16" s="1440" t="s">
        <v>1900</v>
      </c>
      <c r="F16" s="1449"/>
      <c r="G16" s="409" t="s">
        <v>1901</v>
      </c>
      <c r="H16" s="1451"/>
      <c r="J16" s="390">
        <v>23</v>
      </c>
    </row>
    <row r="17" spans="1:10" ht="48.2" customHeight="1">
      <c r="A17" s="437"/>
      <c r="B17" s="437"/>
      <c r="C17" s="392"/>
      <c r="D17" s="1438">
        <v>3</v>
      </c>
      <c r="E17" s="1445" t="s">
        <v>1902</v>
      </c>
      <c r="F17" s="1444"/>
      <c r="G17" s="409" t="s">
        <v>1903</v>
      </c>
      <c r="H17" s="1451"/>
      <c r="J17" s="390">
        <v>46</v>
      </c>
    </row>
    <row r="18" spans="1:10" ht="48.2" customHeight="1">
      <c r="A18" s="1393">
        <v>1</v>
      </c>
      <c r="B18" s="437"/>
      <c r="C18" s="1395"/>
      <c r="D18" s="1438" t="s">
        <v>95</v>
      </c>
      <c r="E18" s="1445" t="s">
        <v>1904</v>
      </c>
      <c r="F18" s="1444"/>
      <c r="G18" s="409" t="s">
        <v>1903</v>
      </c>
      <c r="H18" s="1451"/>
      <c r="I18" s="777"/>
      <c r="J18" s="390">
        <v>46</v>
      </c>
    </row>
    <row r="19" spans="1:10" ht="23.25" customHeight="1">
      <c r="A19" s="437"/>
      <c r="B19" s="437"/>
      <c r="C19" s="392"/>
      <c r="D19" s="1438" t="s">
        <v>103</v>
      </c>
      <c r="E19" s="1445" t="s">
        <v>1905</v>
      </c>
      <c r="F19" s="1439" t="s">
        <v>327</v>
      </c>
      <c r="G19" s="4579" t="s">
        <v>1906</v>
      </c>
      <c r="H19" s="410"/>
      <c r="J19" s="390">
        <v>22</v>
      </c>
    </row>
    <row r="20" spans="1:10" s="4222" customFormat="1" ht="5.25" hidden="1" customHeight="1">
      <c r="A20" s="437"/>
      <c r="B20" s="437"/>
      <c r="C20" s="1447"/>
      <c r="D20" s="1446" t="s">
        <v>1136</v>
      </c>
      <c r="E20" s="936"/>
      <c r="F20" s="935"/>
      <c r="G20" s="4580"/>
      <c r="J20" s="1448">
        <v>0</v>
      </c>
    </row>
    <row r="21" spans="1:10" ht="15.75" customHeight="1">
      <c r="A21" s="437"/>
      <c r="B21" s="437"/>
      <c r="C21" s="392"/>
      <c r="D21" s="402"/>
      <c r="E21" s="350" t="s">
        <v>360</v>
      </c>
      <c r="F21" s="404"/>
      <c r="G21" s="4581"/>
      <c r="H21" s="1451"/>
      <c r="J21" s="390">
        <v>15</v>
      </c>
    </row>
    <row r="22" spans="1:10" s="4158" customFormat="1" ht="26.25" customHeight="1">
      <c r="A22" s="437"/>
      <c r="B22" s="437"/>
      <c r="C22" s="437"/>
      <c r="D22" s="1438" t="s">
        <v>96</v>
      </c>
      <c r="E22" s="409" t="s">
        <v>1907</v>
      </c>
      <c r="F22" s="1444"/>
      <c r="G22" s="409" t="s">
        <v>1908</v>
      </c>
      <c r="H22" s="1450"/>
      <c r="J22" s="436">
        <v>25</v>
      </c>
    </row>
    <row r="23" spans="1:10" s="4158" customFormat="1" ht="19.899999999999999" customHeight="1">
      <c r="A23" s="437"/>
      <c r="B23" s="437"/>
      <c r="C23" s="437"/>
      <c r="D23" s="1438" t="s">
        <v>97</v>
      </c>
      <c r="E23" s="1445" t="s">
        <v>1909</v>
      </c>
      <c r="F23" s="1449"/>
      <c r="G23" s="409" t="s">
        <v>1910</v>
      </c>
      <c r="H23" s="1450"/>
      <c r="J23" s="436">
        <v>19</v>
      </c>
    </row>
    <row r="24" spans="1:10" s="4158" customFormat="1" ht="144" hidden="1" customHeight="1">
      <c r="A24" s="437"/>
      <c r="B24" s="437"/>
      <c r="C24" s="437"/>
      <c r="D24" s="1438" t="s">
        <v>115</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86</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4133" hidden="1"/>
    <col min="2" max="2" width="9.140625" style="4139" hidden="1"/>
    <col min="3" max="3" width="3.7109375" style="4133" hidden="1" customWidth="1"/>
    <col min="4" max="4" width="3" style="4145" customWidth="1"/>
    <col min="5" max="5" width="6" style="4133" customWidth="1"/>
    <col min="6" max="6" width="46" style="4133" customWidth="1"/>
    <col min="7" max="8" width="16" style="4133" customWidth="1"/>
    <col min="9" max="9" width="35" style="4133" customWidth="1"/>
    <col min="10" max="10" width="89" style="4133" customWidth="1"/>
    <col min="11" max="11" width="3" style="4146" customWidth="1"/>
    <col min="12" max="14" width="8" style="4146" customWidth="1"/>
    <col min="15" max="15" width="25" style="4146" customWidth="1"/>
    <col min="16" max="16" width="14" style="4146" customWidth="1"/>
    <col min="17" max="20" width="8" style="4147" customWidth="1"/>
    <col min="21" max="254" width="8" style="4133" customWidth="1"/>
    <col min="255" max="255" width="9.140625" style="4133" hidden="1"/>
  </cols>
  <sheetData>
    <row r="1" spans="1:255" ht="22.5" hidden="1" customHeight="1">
      <c r="F1" s="1549" t="s">
        <v>1911</v>
      </c>
      <c r="G1" s="1549" t="s">
        <v>52</v>
      </c>
      <c r="H1" s="1549" t="s">
        <v>54</v>
      </c>
      <c r="IU1" s="1073" t="s">
        <v>14</v>
      </c>
    </row>
    <row r="2" spans="1:255" s="4143" customFormat="1" ht="22.5" hidden="1" customHeight="1">
      <c r="A2" s="760"/>
      <c r="B2" s="1078">
        <v>1</v>
      </c>
      <c r="C2" s="1078"/>
      <c r="D2" s="1840" t="s">
        <v>175</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4140" customFormat="1" ht="4.1500000000000004" customHeight="1">
      <c r="A3" s="431"/>
      <c r="D3" s="429"/>
      <c r="F3" s="183" t="s">
        <v>87</v>
      </c>
      <c r="G3" s="429" t="s">
        <v>88</v>
      </c>
      <c r="H3" s="429"/>
      <c r="I3" s="429"/>
      <c r="J3" s="163" t="s">
        <v>89</v>
      </c>
      <c r="K3" s="183" t="s">
        <v>87</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4142" customFormat="1" ht="14.65" customHeight="1">
      <c r="A4" s="1073"/>
      <c r="B4" s="1078"/>
      <c r="C4" s="1073"/>
      <c r="D4" s="1413"/>
      <c r="E4" s="444"/>
      <c r="F4" s="1560"/>
      <c r="G4" s="444"/>
      <c r="H4" s="444"/>
      <c r="I4" s="444"/>
      <c r="J4" s="103"/>
      <c r="K4" s="183"/>
      <c r="L4" s="435"/>
      <c r="M4" s="435"/>
      <c r="N4" s="435"/>
      <c r="O4" s="162"/>
      <c r="P4" s="435"/>
      <c r="Q4" s="161"/>
      <c r="R4" s="161"/>
      <c r="S4" s="161"/>
      <c r="T4" s="161"/>
      <c r="IU4" s="442">
        <v>14</v>
      </c>
    </row>
    <row r="5" spans="1:255" s="4142" customFormat="1" ht="27.4" customHeight="1">
      <c r="A5" s="1073"/>
      <c r="B5" s="1078"/>
      <c r="C5" s="1073"/>
      <c r="D5" s="1413"/>
      <c r="E5" s="426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260"/>
      <c r="G5" s="4260"/>
      <c r="H5" s="4260"/>
      <c r="I5" s="4260"/>
      <c r="J5" s="4260"/>
      <c r="K5" s="183"/>
      <c r="L5" s="435"/>
      <c r="M5" s="435"/>
      <c r="N5" s="435"/>
      <c r="O5" s="162"/>
      <c r="P5" s="435"/>
      <c r="Q5" s="161"/>
      <c r="R5" s="161"/>
      <c r="S5" s="161"/>
      <c r="T5" s="161"/>
      <c r="IU5" s="442">
        <v>26</v>
      </c>
    </row>
    <row r="6" spans="1:255" s="4142" customFormat="1" ht="14.65" customHeight="1">
      <c r="A6" s="1073"/>
      <c r="B6" s="1078"/>
      <c r="C6" s="1073"/>
      <c r="D6" s="1413"/>
      <c r="E6" s="444"/>
      <c r="F6" s="104"/>
      <c r="G6" s="104"/>
      <c r="H6" s="104"/>
      <c r="I6" s="104"/>
      <c r="J6" s="105"/>
      <c r="K6" s="435"/>
      <c r="L6" s="435"/>
      <c r="M6" s="435"/>
      <c r="N6" s="435"/>
      <c r="O6" s="162"/>
      <c r="P6" s="435"/>
      <c r="Q6" s="161"/>
      <c r="R6" s="161"/>
      <c r="S6" s="161"/>
      <c r="T6" s="161"/>
      <c r="IU6" s="442">
        <v>14</v>
      </c>
    </row>
    <row r="7" spans="1:255" s="4142" customFormat="1" ht="14.65" customHeight="1">
      <c r="A7" s="1073"/>
      <c r="B7" s="1078"/>
      <c r="C7" s="1073"/>
      <c r="D7" s="1413"/>
      <c r="E7" s="4256" t="s">
        <v>321</v>
      </c>
      <c r="F7" s="4261"/>
      <c r="G7" s="4261"/>
      <c r="H7" s="4261"/>
      <c r="I7" s="4261"/>
      <c r="J7" s="4582" t="s">
        <v>322</v>
      </c>
      <c r="K7" s="435"/>
      <c r="L7" s="435"/>
      <c r="M7" s="435"/>
      <c r="N7" s="435"/>
      <c r="O7" s="162"/>
      <c r="P7" s="435"/>
      <c r="Q7" s="161"/>
      <c r="R7" s="161"/>
      <c r="S7" s="161"/>
      <c r="T7" s="161"/>
      <c r="IU7" s="442">
        <v>14</v>
      </c>
    </row>
    <row r="8" spans="1:255" s="4142" customFormat="1" ht="21" customHeight="1">
      <c r="A8" s="1073"/>
      <c r="B8" s="1078"/>
      <c r="C8" s="1073"/>
      <c r="D8" s="1413"/>
      <c r="E8" s="1466" t="s">
        <v>92</v>
      </c>
      <c r="F8" s="1458" t="s">
        <v>1911</v>
      </c>
      <c r="G8" s="1458" t="s">
        <v>52</v>
      </c>
      <c r="H8" s="1458" t="s">
        <v>54</v>
      </c>
      <c r="I8" s="1458" t="s">
        <v>1912</v>
      </c>
      <c r="J8" s="4583"/>
      <c r="K8" s="435"/>
      <c r="L8" s="435"/>
      <c r="M8" s="435"/>
      <c r="N8" s="435"/>
      <c r="O8" s="162"/>
      <c r="P8" s="435"/>
      <c r="Q8" s="161"/>
      <c r="R8" s="161"/>
      <c r="S8" s="161"/>
      <c r="T8" s="161"/>
      <c r="IU8" s="442">
        <v>20</v>
      </c>
    </row>
    <row r="9" spans="1:255" s="4143" customFormat="1" ht="23.25" customHeight="1">
      <c r="A9" s="1549"/>
      <c r="B9" s="1078">
        <v>1</v>
      </c>
      <c r="C9" s="1078"/>
      <c r="D9" s="730"/>
      <c r="E9" s="1402">
        <v>1</v>
      </c>
      <c r="F9" s="1465"/>
      <c r="G9" s="1409"/>
      <c r="H9" s="1409"/>
      <c r="I9" s="1456"/>
      <c r="J9" s="431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4143" customFormat="1" ht="15.75" customHeight="1">
      <c r="A10" s="1549"/>
      <c r="B10" s="1078"/>
      <c r="C10" s="347"/>
      <c r="D10" s="730"/>
      <c r="E10" s="1459"/>
      <c r="F10" s="1418" t="s">
        <v>1913</v>
      </c>
      <c r="G10" s="1460"/>
      <c r="H10" s="1460"/>
      <c r="I10" s="1814"/>
      <c r="J10" s="4320"/>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4142" customFormat="1" ht="21.95" customHeight="1">
      <c r="A11" s="1073"/>
      <c r="B11" s="1078"/>
      <c r="C11" s="1073"/>
      <c r="D11" s="386"/>
      <c r="E11" s="117"/>
      <c r="F11" s="117"/>
      <c r="G11" s="117"/>
      <c r="H11" s="117"/>
      <c r="I11" s="117"/>
      <c r="J11" s="117"/>
      <c r="K11" s="435"/>
      <c r="L11" s="435"/>
      <c r="M11" s="435"/>
      <c r="N11" s="435"/>
      <c r="O11" s="162"/>
      <c r="P11" s="435"/>
      <c r="Q11" s="161"/>
      <c r="R11" s="161"/>
      <c r="S11" s="161"/>
      <c r="T11" s="161"/>
      <c r="IU11" s="442">
        <v>21</v>
      </c>
    </row>
    <row r="12" spans="1:255" s="4142"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4142"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4144" customFormat="1" ht="10.5" customHeight="1">
      <c r="B14" s="763"/>
      <c r="D14" s="119"/>
      <c r="K14" s="435"/>
      <c r="L14" s="435"/>
      <c r="M14" s="435"/>
      <c r="N14" s="435"/>
      <c r="O14" s="162"/>
      <c r="P14" s="435"/>
      <c r="Q14" s="161"/>
      <c r="R14" s="161"/>
      <c r="S14" s="161"/>
      <c r="T14" s="161"/>
      <c r="IU14" s="118">
        <v>10</v>
      </c>
    </row>
    <row r="15" spans="1:255" s="4144" customFormat="1" ht="10.5" customHeight="1">
      <c r="B15" s="763"/>
      <c r="D15" s="119"/>
      <c r="K15" s="435"/>
      <c r="L15" s="435"/>
      <c r="M15" s="435"/>
      <c r="N15" s="435"/>
      <c r="O15" s="162"/>
      <c r="P15" s="435"/>
      <c r="Q15" s="161"/>
      <c r="R15" s="161"/>
      <c r="S15" s="161"/>
      <c r="T15" s="161"/>
      <c r="IU15" s="118">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86</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133" hidden="1"/>
    <col min="2" max="2" width="9.140625" style="4139" hidden="1"/>
    <col min="3" max="3" width="3.7109375" style="4133" hidden="1" customWidth="1"/>
    <col min="4" max="4" width="3" style="4145" customWidth="1"/>
    <col min="5" max="5" width="6" style="4133" customWidth="1"/>
    <col min="6" max="6" width="27" style="4133" customWidth="1"/>
    <col min="7" max="7" width="16" style="4133" customWidth="1"/>
    <col min="8" max="8" width="12" style="4133" customWidth="1"/>
    <col min="9" max="9" width="32" style="4133" customWidth="1"/>
    <col min="10" max="11" width="41" style="4133" customWidth="1"/>
    <col min="12" max="12" width="89" style="4133" customWidth="1"/>
    <col min="13" max="13" width="3" style="4146" customWidth="1"/>
    <col min="14" max="16" width="8" style="4146" customWidth="1"/>
    <col min="17" max="17" width="25" style="4146" customWidth="1"/>
    <col min="18" max="18" width="14" style="4146" customWidth="1"/>
    <col min="19" max="22" width="8" style="4147" customWidth="1"/>
    <col min="23" max="256" width="8" style="4133" customWidth="1"/>
    <col min="257" max="257" width="9.140625" style="4133" hidden="1"/>
  </cols>
  <sheetData>
    <row r="1" spans="1:257" ht="22.5" hidden="1" customHeight="1">
      <c r="IW1" s="1073" t="s">
        <v>14</v>
      </c>
    </row>
    <row r="2" spans="1:257" s="4143" customFormat="1" ht="22.5" hidden="1" customHeight="1">
      <c r="A2" s="760"/>
      <c r="B2" s="1078">
        <v>1</v>
      </c>
      <c r="C2" s="1078"/>
      <c r="D2" s="1840" t="s">
        <v>175</v>
      </c>
      <c r="E2" s="1804"/>
      <c r="F2" s="1807" t="str">
        <f>IF(ROIV_INFO_NAME="","",ROIV_INFO_NAME)</f>
        <v>АО "Мурманэнергосбыт"</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4140" customFormat="1" ht="5.25" hidden="1" customHeight="1">
      <c r="A3" s="431"/>
      <c r="D3" s="429"/>
      <c r="F3" s="183" t="s">
        <v>87</v>
      </c>
      <c r="G3" s="1652" t="s">
        <v>88</v>
      </c>
      <c r="H3" s="429"/>
      <c r="I3" s="429"/>
      <c r="J3" s="429"/>
      <c r="K3" s="429"/>
      <c r="L3" s="163" t="s">
        <v>89</v>
      </c>
      <c r="M3" s="183" t="s">
        <v>87</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4142" customFormat="1" ht="14.65" customHeight="1">
      <c r="A4" s="1073"/>
      <c r="B4" s="1078"/>
      <c r="C4" s="1073"/>
      <c r="D4" s="1413"/>
      <c r="E4" s="444"/>
      <c r="F4" s="444"/>
      <c r="G4" s="444"/>
      <c r="H4" s="444"/>
      <c r="I4" s="444"/>
      <c r="J4" s="444"/>
      <c r="K4" s="444"/>
      <c r="L4" s="103"/>
      <c r="M4" s="183"/>
      <c r="N4" s="435"/>
      <c r="O4" s="435"/>
      <c r="P4" s="435"/>
      <c r="Q4" s="162"/>
      <c r="R4" s="435"/>
      <c r="S4" s="161"/>
      <c r="T4" s="161"/>
      <c r="U4" s="161"/>
      <c r="V4" s="161"/>
      <c r="IW4" s="442">
        <v>14</v>
      </c>
    </row>
    <row r="5" spans="1:257" s="4142" customFormat="1" ht="27.4" customHeight="1">
      <c r="A5" s="1073"/>
      <c r="B5" s="1078"/>
      <c r="C5" s="1073"/>
      <c r="D5" s="1413"/>
      <c r="E5" s="42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260"/>
      <c r="G5" s="4260"/>
      <c r="H5" s="4260"/>
      <c r="I5" s="4260"/>
      <c r="J5" s="4260"/>
      <c r="K5" s="4260"/>
      <c r="L5" s="523"/>
      <c r="M5" s="183"/>
      <c r="N5" s="435"/>
      <c r="O5" s="435"/>
      <c r="P5" s="435"/>
      <c r="Q5" s="162"/>
      <c r="R5" s="435"/>
      <c r="S5" s="161"/>
      <c r="T5" s="161"/>
      <c r="U5" s="161"/>
      <c r="V5" s="161"/>
      <c r="IW5" s="442">
        <v>26</v>
      </c>
    </row>
    <row r="6" spans="1:257" s="4142" customFormat="1" ht="14.65" customHeight="1">
      <c r="A6" s="1073"/>
      <c r="B6" s="1078"/>
      <c r="C6" s="1073"/>
      <c r="D6" s="1413"/>
      <c r="E6" s="444"/>
      <c r="F6" s="104"/>
      <c r="G6" s="104"/>
      <c r="H6" s="104"/>
      <c r="I6" s="104"/>
      <c r="J6" s="104"/>
      <c r="K6" s="104"/>
      <c r="L6" s="105"/>
      <c r="M6" s="435"/>
      <c r="N6" s="435"/>
      <c r="O6" s="435"/>
      <c r="P6" s="435"/>
      <c r="Q6" s="162"/>
      <c r="R6" s="435"/>
      <c r="S6" s="161"/>
      <c r="T6" s="161"/>
      <c r="U6" s="161"/>
      <c r="V6" s="161"/>
      <c r="IW6" s="442">
        <v>14</v>
      </c>
    </row>
    <row r="7" spans="1:257" s="4142" customFormat="1" ht="14.65" customHeight="1">
      <c r="A7" s="1073"/>
      <c r="B7" s="1078"/>
      <c r="C7" s="1073"/>
      <c r="D7" s="1413"/>
      <c r="E7" s="4256" t="s">
        <v>321</v>
      </c>
      <c r="F7" s="4261"/>
      <c r="G7" s="4261"/>
      <c r="H7" s="4261"/>
      <c r="I7" s="4261"/>
      <c r="J7" s="4261"/>
      <c r="K7" s="4261"/>
      <c r="L7" s="4582" t="s">
        <v>322</v>
      </c>
      <c r="M7" s="435"/>
      <c r="N7" s="435"/>
      <c r="O7" s="435"/>
      <c r="P7" s="435"/>
      <c r="Q7" s="162"/>
      <c r="R7" s="435"/>
      <c r="S7" s="161"/>
      <c r="T7" s="161"/>
      <c r="U7" s="161"/>
      <c r="V7" s="161"/>
      <c r="IW7" s="442">
        <v>14</v>
      </c>
    </row>
    <row r="8" spans="1:257" s="4142" customFormat="1" ht="67.150000000000006" customHeight="1">
      <c r="A8" s="1073"/>
      <c r="B8" s="1078"/>
      <c r="C8" s="1073"/>
      <c r="D8" s="1413"/>
      <c r="E8" s="4586" t="s">
        <v>92</v>
      </c>
      <c r="F8" s="45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45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4589"/>
      <c r="I8" s="4590"/>
      <c r="J8" s="45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45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584"/>
      <c r="M8" s="435"/>
      <c r="N8" s="435"/>
      <c r="O8" s="435"/>
      <c r="P8" s="435"/>
      <c r="Q8" s="162"/>
      <c r="R8" s="435"/>
      <c r="S8" s="161"/>
      <c r="T8" s="161"/>
      <c r="U8" s="161"/>
      <c r="V8" s="161"/>
      <c r="IW8" s="442">
        <v>64</v>
      </c>
    </row>
    <row r="9" spans="1:257" s="4142" customFormat="1" ht="29.25" customHeight="1">
      <c r="A9" s="1073"/>
      <c r="B9" s="1078"/>
      <c r="C9" s="1073"/>
      <c r="D9" s="1413"/>
      <c r="E9" s="4587"/>
      <c r="F9" s="4587"/>
      <c r="G9" s="1455" t="s">
        <v>1914</v>
      </c>
      <c r="H9" s="1455" t="s">
        <v>1915</v>
      </c>
      <c r="I9" s="1455" t="s">
        <v>1916</v>
      </c>
      <c r="J9" s="4587"/>
      <c r="K9" s="4587"/>
      <c r="L9" s="4583"/>
      <c r="M9" s="435"/>
      <c r="N9" s="435"/>
      <c r="O9" s="435"/>
      <c r="P9" s="435"/>
      <c r="Q9" s="162"/>
      <c r="R9" s="435"/>
      <c r="S9" s="161"/>
      <c r="T9" s="161"/>
      <c r="U9" s="161"/>
      <c r="V9" s="161"/>
      <c r="IW9" s="442">
        <v>28</v>
      </c>
    </row>
    <row r="10" spans="1:257" s="4143" customFormat="1" ht="23.25" customHeight="1">
      <c r="A10" s="4259"/>
      <c r="B10" s="1078">
        <v>1</v>
      </c>
      <c r="C10" s="1078"/>
      <c r="D10" s="729"/>
      <c r="E10" s="727">
        <v>1</v>
      </c>
      <c r="F10" s="1457" t="str">
        <f>IF(ROIV_INFO_NAME="","",ROIV_INFO_NAME)</f>
        <v>АО "Мурманэнергосбыт"</v>
      </c>
      <c r="G10" s="1649" t="s">
        <v>28</v>
      </c>
      <c r="H10" s="1831"/>
      <c r="I10" s="1452"/>
      <c r="J10" s="747"/>
      <c r="K10" s="747"/>
      <c r="L10" s="45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4143" customFormat="1" ht="15.75" customHeight="1">
      <c r="A11" s="4259"/>
      <c r="B11" s="1078"/>
      <c r="C11" s="347"/>
      <c r="D11" s="730"/>
      <c r="E11" s="356"/>
      <c r="F11" s="351" t="s">
        <v>1917</v>
      </c>
      <c r="G11" s="124"/>
      <c r="H11" s="124"/>
      <c r="I11" s="124"/>
      <c r="J11" s="124"/>
      <c r="K11" s="359"/>
      <c r="L11" s="458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4142" customFormat="1" ht="21.95" customHeight="1">
      <c r="A12" s="1073"/>
      <c r="B12" s="1078"/>
      <c r="C12" s="1073"/>
      <c r="D12" s="386"/>
      <c r="E12" s="117"/>
      <c r="F12" s="117"/>
      <c r="G12" s="117"/>
      <c r="H12" s="117"/>
      <c r="I12" s="117"/>
      <c r="J12" s="117"/>
      <c r="K12" s="117"/>
      <c r="L12" s="117"/>
      <c r="M12" s="435"/>
      <c r="N12" s="435"/>
      <c r="O12" s="435"/>
      <c r="P12" s="435"/>
      <c r="Q12" s="162"/>
      <c r="R12" s="435"/>
      <c r="S12" s="161"/>
      <c r="T12" s="161"/>
      <c r="U12" s="161"/>
      <c r="V12" s="161"/>
      <c r="IW12" s="442">
        <v>21</v>
      </c>
    </row>
    <row r="13" spans="1:257" s="4142"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4142"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86</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4133" hidden="1"/>
    <col min="2" max="2" width="9.140625" style="4139" hidden="1"/>
    <col min="3" max="3" width="3.7109375" style="4133" hidden="1" customWidth="1"/>
    <col min="4" max="4" width="3" style="4145" customWidth="1"/>
    <col min="5" max="5" width="6" style="4133" customWidth="1"/>
    <col min="6" max="6" width="27" style="4133" customWidth="1"/>
    <col min="7" max="7" width="16" style="4133" customWidth="1"/>
    <col min="8" max="8" width="12" style="4133" customWidth="1"/>
    <col min="9" max="9" width="32" style="4133" customWidth="1"/>
    <col min="10" max="11" width="41" style="4133" customWidth="1"/>
    <col min="12" max="12" width="89" style="4133" customWidth="1"/>
    <col min="13" max="13" width="3" style="4146" customWidth="1"/>
    <col min="14" max="16" width="8" style="4146" customWidth="1"/>
    <col min="17" max="17" width="25" style="4146" customWidth="1"/>
    <col min="18" max="18" width="14" style="4146" customWidth="1"/>
    <col min="19" max="22" width="8" style="4147" customWidth="1"/>
    <col min="23" max="256" width="8" style="4133" customWidth="1"/>
    <col min="257" max="257" width="9.140625" style="4133" hidden="1"/>
  </cols>
  <sheetData>
    <row r="1" spans="1:257" ht="22.5" hidden="1" customHeight="1">
      <c r="IW1" s="1549" t="s">
        <v>14</v>
      </c>
    </row>
    <row r="2" spans="1:257" s="4143" customFormat="1" ht="22.5" hidden="1" customHeight="1">
      <c r="A2" s="760"/>
      <c r="B2" s="1284">
        <v>1</v>
      </c>
      <c r="C2" s="1284"/>
      <c r="D2" s="1840" t="s">
        <v>175</v>
      </c>
      <c r="E2" s="1819"/>
      <c r="F2" s="1821" t="str">
        <f>IF(ROIV_INFO_NAME="","",ROIV_INFO_NAME)</f>
        <v>АО "Мурманэнергосбыт"</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4140" customFormat="1" ht="5.25" hidden="1" customHeight="1">
      <c r="A3" s="1559"/>
      <c r="D3" s="1808"/>
      <c r="F3" s="184" t="s">
        <v>87</v>
      </c>
      <c r="G3" s="1652" t="s">
        <v>88</v>
      </c>
      <c r="H3" s="1808"/>
      <c r="I3" s="1808"/>
      <c r="J3" s="1808"/>
      <c r="K3" s="1808"/>
      <c r="L3" s="163" t="s">
        <v>89</v>
      </c>
      <c r="M3" s="184" t="s">
        <v>87</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4142"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4142" customFormat="1" ht="27.4" customHeight="1">
      <c r="A5" s="1549"/>
      <c r="B5" s="1284"/>
      <c r="C5" s="1549"/>
      <c r="D5" s="1433"/>
      <c r="E5" s="426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4260"/>
      <c r="G5" s="4260"/>
      <c r="H5" s="4260"/>
      <c r="I5" s="4260"/>
      <c r="J5" s="4260"/>
      <c r="K5" s="4260"/>
      <c r="L5" s="1553"/>
      <c r="M5" s="184"/>
      <c r="N5" s="1542"/>
      <c r="O5" s="1542"/>
      <c r="P5" s="1542"/>
      <c r="Q5" s="1542"/>
      <c r="R5" s="1542"/>
      <c r="S5" s="161"/>
      <c r="T5" s="161"/>
      <c r="U5" s="161"/>
      <c r="V5" s="161"/>
      <c r="IW5" s="1527">
        <v>26</v>
      </c>
    </row>
    <row r="6" spans="1:257" s="4142"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4142" customFormat="1" ht="14.65" customHeight="1">
      <c r="A7" s="1549"/>
      <c r="B7" s="1284"/>
      <c r="C7" s="1549"/>
      <c r="D7" s="1433"/>
      <c r="E7" s="4256" t="s">
        <v>321</v>
      </c>
      <c r="F7" s="4261"/>
      <c r="G7" s="4261"/>
      <c r="H7" s="4261"/>
      <c r="I7" s="4261"/>
      <c r="J7" s="4261"/>
      <c r="K7" s="4261"/>
      <c r="L7" s="4582" t="s">
        <v>322</v>
      </c>
      <c r="M7" s="1542"/>
      <c r="N7" s="1542"/>
      <c r="O7" s="1542"/>
      <c r="P7" s="1542"/>
      <c r="Q7" s="1542"/>
      <c r="R7" s="1542"/>
      <c r="S7" s="161"/>
      <c r="T7" s="161"/>
      <c r="U7" s="161"/>
      <c r="V7" s="161"/>
      <c r="IW7" s="1527">
        <v>14</v>
      </c>
    </row>
    <row r="8" spans="1:257" s="4142" customFormat="1" ht="67.150000000000006" customHeight="1">
      <c r="A8" s="1549"/>
      <c r="B8" s="1284"/>
      <c r="C8" s="1549"/>
      <c r="D8" s="1433"/>
      <c r="E8" s="4586" t="s">
        <v>92</v>
      </c>
      <c r="F8" s="4586" t="s">
        <v>1918</v>
      </c>
      <c r="G8" s="4588" t="s">
        <v>1919</v>
      </c>
      <c r="H8" s="4589"/>
      <c r="I8" s="4590"/>
      <c r="J8" s="4586" t="s">
        <v>1920</v>
      </c>
      <c r="K8" s="45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4584"/>
      <c r="M8" s="1542"/>
      <c r="N8" s="1542"/>
      <c r="O8" s="1542"/>
      <c r="P8" s="1542"/>
      <c r="Q8" s="1542"/>
      <c r="R8" s="1542"/>
      <c r="S8" s="161"/>
      <c r="T8" s="161"/>
      <c r="U8" s="161"/>
      <c r="V8" s="161"/>
      <c r="IW8" s="1527">
        <v>64</v>
      </c>
    </row>
    <row r="9" spans="1:257" s="4142" customFormat="1" ht="29.25" customHeight="1">
      <c r="A9" s="1549"/>
      <c r="B9" s="1284"/>
      <c r="C9" s="1549"/>
      <c r="D9" s="1433"/>
      <c r="E9" s="4587"/>
      <c r="F9" s="4587"/>
      <c r="G9" s="1809" t="s">
        <v>1914</v>
      </c>
      <c r="H9" s="1809" t="s">
        <v>1915</v>
      </c>
      <c r="I9" s="1809" t="s">
        <v>1916</v>
      </c>
      <c r="J9" s="4587"/>
      <c r="K9" s="4587"/>
      <c r="L9" s="4583"/>
      <c r="M9" s="1542"/>
      <c r="N9" s="1542"/>
      <c r="O9" s="1542"/>
      <c r="P9" s="1542"/>
      <c r="Q9" s="1542"/>
      <c r="R9" s="1542"/>
      <c r="S9" s="161"/>
      <c r="T9" s="161"/>
      <c r="U9" s="161"/>
      <c r="V9" s="161"/>
      <c r="IW9" s="1527">
        <v>28</v>
      </c>
    </row>
    <row r="10" spans="1:257" s="4143" customFormat="1" ht="1.1499999999999999" customHeight="1">
      <c r="A10" s="4259"/>
      <c r="B10" s="1284">
        <v>1</v>
      </c>
      <c r="C10" s="1284"/>
      <c r="D10" s="729"/>
      <c r="E10" s="724">
        <v>0</v>
      </c>
      <c r="F10" s="1806" t="str">
        <f>IF(ROIV_INFO_NAME="","",ROIV_INFO_NAME)</f>
        <v>АО "Мурманэнергосбыт"</v>
      </c>
      <c r="G10" s="1650" t="s">
        <v>28</v>
      </c>
      <c r="H10" s="1818"/>
      <c r="I10" s="1818"/>
      <c r="J10" s="454"/>
      <c r="K10" s="454"/>
      <c r="L10" s="45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4143" customFormat="1" ht="15.75" customHeight="1">
      <c r="A11" s="4259"/>
      <c r="B11" s="1284"/>
      <c r="C11" s="347"/>
      <c r="D11" s="730"/>
      <c r="E11" s="356"/>
      <c r="F11" s="586" t="s">
        <v>1917</v>
      </c>
      <c r="G11" s="124"/>
      <c r="H11" s="124"/>
      <c r="I11" s="124"/>
      <c r="J11" s="124"/>
      <c r="K11" s="359"/>
      <c r="L11" s="458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4142" customFormat="1" ht="21.95" customHeight="1">
      <c r="A12" s="1549"/>
      <c r="B12" s="1284"/>
      <c r="C12" s="1549"/>
      <c r="D12" s="1551"/>
      <c r="E12" s="117"/>
      <c r="F12" s="117"/>
      <c r="G12" s="117"/>
      <c r="H12" s="117"/>
      <c r="I12" s="117"/>
      <c r="J12" s="117"/>
      <c r="K12" s="117"/>
      <c r="L12" s="117"/>
      <c r="M12" s="1542"/>
      <c r="N12" s="1542"/>
      <c r="O12" s="1542"/>
      <c r="P12" s="1542"/>
      <c r="Q12" s="1542"/>
      <c r="R12" s="1542"/>
      <c r="S12" s="161"/>
      <c r="T12" s="161"/>
      <c r="U12" s="161"/>
      <c r="V12" s="161"/>
      <c r="IW12" s="1527">
        <v>21</v>
      </c>
    </row>
    <row r="13" spans="1:257" s="4142"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4142"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86</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4133" hidden="1"/>
    <col min="2" max="2" width="9.140625" style="4139" hidden="1"/>
    <col min="3" max="3" width="3.7109375" style="4133" hidden="1" customWidth="1"/>
    <col min="4" max="4" width="3" style="4145" customWidth="1"/>
    <col min="5" max="5" width="6" style="4133" customWidth="1"/>
    <col min="6" max="6" width="27" style="4133" customWidth="1"/>
    <col min="7" max="7" width="29" style="4133" customWidth="1"/>
    <col min="8" max="8" width="25" style="4133" customWidth="1"/>
    <col min="9" max="9" width="5" style="4133" customWidth="1"/>
    <col min="10" max="10" width="6" style="4133" customWidth="1"/>
    <col min="11" max="11" width="41" style="4133" customWidth="1"/>
    <col min="12" max="12" width="42" style="4133" customWidth="1"/>
    <col min="13" max="13" width="41" style="4133" customWidth="1"/>
    <col min="14" max="14" width="89" style="4133" customWidth="1"/>
    <col min="15" max="15" width="3" style="4146" customWidth="1"/>
    <col min="16" max="16" width="8" style="4146" customWidth="1"/>
    <col min="17" max="17" width="9.140625" style="4133" hidden="1"/>
  </cols>
  <sheetData>
    <row r="1" spans="1:17" ht="22.5" hidden="1" customHeight="1">
      <c r="Q1" s="1073" t="s">
        <v>14</v>
      </c>
    </row>
    <row r="2" spans="1:17" s="4143" customFormat="1" ht="22.5" hidden="1" customHeight="1">
      <c r="A2" s="431"/>
      <c r="B2" s="1078">
        <v>1</v>
      </c>
      <c r="C2" s="1078"/>
      <c r="D2" s="1840" t="s">
        <v>175</v>
      </c>
      <c r="E2" s="4274">
        <v>1</v>
      </c>
      <c r="F2" s="4451" t="str">
        <f>IF(region_name="","",region_name)</f>
        <v>Мурманская область</v>
      </c>
      <c r="G2" s="4599"/>
      <c r="H2" s="4600"/>
      <c r="I2" s="409"/>
      <c r="J2" s="1825">
        <v>1</v>
      </c>
      <c r="K2" s="1827"/>
      <c r="L2" s="1827"/>
      <c r="M2" s="1827"/>
      <c r="N2" s="427"/>
      <c r="O2" s="1453"/>
      <c r="P2" s="446"/>
      <c r="Q2" s="358">
        <v>0</v>
      </c>
    </row>
    <row r="3" spans="1:17" s="4143" customFormat="1" ht="22.5" hidden="1" customHeight="1">
      <c r="A3" s="760"/>
      <c r="B3" s="1078"/>
      <c r="C3" s="1078"/>
      <c r="D3" s="730"/>
      <c r="E3" s="4274"/>
      <c r="F3" s="4451"/>
      <c r="G3" s="4599"/>
      <c r="H3" s="4601"/>
      <c r="I3" s="356"/>
      <c r="J3" s="1418"/>
      <c r="K3" s="1418" t="s">
        <v>1921</v>
      </c>
      <c r="L3" s="1461"/>
      <c r="M3" s="1835"/>
      <c r="N3" s="1828"/>
      <c r="O3" s="1453"/>
      <c r="P3" s="446"/>
      <c r="Q3" s="358">
        <v>0</v>
      </c>
    </row>
    <row r="4" spans="1:17" s="4140" customFormat="1" ht="5.25" hidden="1" customHeight="1">
      <c r="A4" s="431"/>
      <c r="D4" s="429"/>
      <c r="F4" s="183" t="s">
        <v>87</v>
      </c>
      <c r="G4" s="429" t="s">
        <v>88</v>
      </c>
      <c r="H4" s="429"/>
      <c r="I4" s="1838"/>
      <c r="J4" s="1462"/>
      <c r="K4" s="1826"/>
      <c r="L4" s="1826"/>
      <c r="M4" s="1826"/>
      <c r="N4" s="1822"/>
      <c r="O4" s="183" t="s">
        <v>87</v>
      </c>
      <c r="P4" s="183"/>
      <c r="Q4" s="446">
        <v>0</v>
      </c>
    </row>
    <row r="5" spans="1:17" s="4143" customFormat="1" ht="22.5" hidden="1" customHeight="1">
      <c r="A5" s="1559"/>
      <c r="B5" s="1284">
        <v>1</v>
      </c>
      <c r="C5" s="1284"/>
      <c r="D5" s="730"/>
      <c r="E5" s="1828"/>
      <c r="F5" s="1828"/>
      <c r="G5" s="1828"/>
      <c r="H5" s="1839"/>
      <c r="I5" s="1841" t="s">
        <v>175</v>
      </c>
      <c r="J5" s="1837">
        <v>1</v>
      </c>
      <c r="K5" s="1827"/>
      <c r="L5" s="1827"/>
      <c r="M5" s="1827"/>
      <c r="N5" s="427"/>
      <c r="O5" s="1453"/>
      <c r="P5" s="1554"/>
      <c r="Q5" s="559">
        <v>0</v>
      </c>
    </row>
    <row r="6" spans="1:17" s="4142" customFormat="1" ht="14.65" customHeight="1">
      <c r="A6" s="1073"/>
      <c r="B6" s="1078"/>
      <c r="C6" s="1073"/>
      <c r="D6" s="1413"/>
      <c r="E6" s="444"/>
      <c r="F6" s="444"/>
      <c r="G6" s="444"/>
      <c r="H6" s="444"/>
      <c r="I6" s="444"/>
      <c r="J6" s="444"/>
      <c r="K6" s="444"/>
      <c r="L6" s="444"/>
      <c r="M6" s="444"/>
      <c r="N6" s="1553"/>
      <c r="O6" s="183"/>
      <c r="P6" s="435"/>
      <c r="Q6" s="442">
        <v>14</v>
      </c>
    </row>
    <row r="7" spans="1:17" s="4142" customFormat="1" ht="27.4" customHeight="1">
      <c r="A7" s="1073"/>
      <c r="B7" s="1078"/>
      <c r="C7" s="1073"/>
      <c r="D7" s="1413"/>
      <c r="E7" s="45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4593"/>
      <c r="G7" s="4593"/>
      <c r="H7" s="4593"/>
      <c r="I7" s="4593"/>
      <c r="J7" s="4593"/>
      <c r="K7" s="4593"/>
      <c r="L7" s="4593"/>
      <c r="M7" s="4593"/>
      <c r="N7" s="1170"/>
      <c r="O7" s="183"/>
      <c r="P7" s="435"/>
      <c r="Q7" s="442">
        <v>26</v>
      </c>
    </row>
    <row r="8" spans="1:17" s="4142" customFormat="1" ht="14.65" customHeight="1">
      <c r="A8" s="1073"/>
      <c r="B8" s="1078"/>
      <c r="C8" s="1073"/>
      <c r="D8" s="1413"/>
      <c r="E8" s="444"/>
      <c r="F8" s="104"/>
      <c r="G8" s="104"/>
      <c r="H8" s="104"/>
      <c r="I8" s="104"/>
      <c r="J8" s="104"/>
      <c r="K8" s="104"/>
      <c r="L8" s="104"/>
      <c r="M8" s="104"/>
      <c r="N8" s="551"/>
      <c r="O8" s="435"/>
      <c r="P8" s="435"/>
      <c r="Q8" s="442">
        <v>14</v>
      </c>
    </row>
    <row r="9" spans="1:17" s="4223" customFormat="1" ht="14.25" hidden="1" customHeight="1">
      <c r="A9" s="1386"/>
      <c r="B9" s="1396"/>
      <c r="C9" s="1386"/>
      <c r="D9" s="1413"/>
      <c r="E9" s="1829"/>
      <c r="F9" s="1829"/>
      <c r="G9" s="1829"/>
      <c r="H9" s="1829"/>
      <c r="I9" s="4596"/>
      <c r="J9" s="4596"/>
      <c r="K9" s="4596"/>
      <c r="L9" s="1829"/>
      <c r="M9" s="1830"/>
      <c r="O9" s="1463"/>
      <c r="P9" s="1463"/>
      <c r="Q9" s="1464">
        <v>0</v>
      </c>
    </row>
    <row r="10" spans="1:17" s="4142" customFormat="1" ht="14.65" customHeight="1">
      <c r="A10" s="1073"/>
      <c r="B10" s="1078"/>
      <c r="C10" s="1073"/>
      <c r="D10" s="1413"/>
      <c r="E10" s="4274" t="s">
        <v>321</v>
      </c>
      <c r="F10" s="4274"/>
      <c r="G10" s="4274"/>
      <c r="H10" s="4274"/>
      <c r="I10" s="4274"/>
      <c r="J10" s="4274"/>
      <c r="K10" s="4274"/>
      <c r="L10" s="4274"/>
      <c r="M10" s="4256"/>
      <c r="N10" s="4586" t="s">
        <v>322</v>
      </c>
      <c r="O10" s="435"/>
      <c r="P10" s="435"/>
      <c r="Q10" s="442">
        <v>14</v>
      </c>
    </row>
    <row r="11" spans="1:17" s="4142" customFormat="1" ht="44.25" customHeight="1">
      <c r="A11" s="1549"/>
      <c r="B11" s="1284"/>
      <c r="C11" s="1549"/>
      <c r="D11" s="1433"/>
      <c r="E11" s="4595" t="s">
        <v>92</v>
      </c>
      <c r="F11" s="4595" t="s">
        <v>325</v>
      </c>
      <c r="G11" s="4595" t="s">
        <v>1922</v>
      </c>
      <c r="H11" s="4595"/>
      <c r="I11" s="4595" t="s">
        <v>1923</v>
      </c>
      <c r="J11" s="4595"/>
      <c r="K11" s="4595"/>
      <c r="L11" s="4595" t="s">
        <v>1924</v>
      </c>
      <c r="M11" s="4588" t="s">
        <v>1925</v>
      </c>
      <c r="N11" s="4594"/>
      <c r="O11" s="1542"/>
      <c r="P11" s="1542"/>
      <c r="Q11" s="1527">
        <v>42</v>
      </c>
    </row>
    <row r="12" spans="1:17" s="4142" customFormat="1" ht="29.25" customHeight="1">
      <c r="A12" s="1073"/>
      <c r="B12" s="1078"/>
      <c r="C12" s="1073"/>
      <c r="D12" s="1413"/>
      <c r="E12" s="4586"/>
      <c r="F12" s="4595"/>
      <c r="G12" s="1824" t="s">
        <v>1926</v>
      </c>
      <c r="H12" s="1824" t="s">
        <v>329</v>
      </c>
      <c r="I12" s="4595"/>
      <c r="J12" s="4595"/>
      <c r="K12" s="4595"/>
      <c r="L12" s="4595"/>
      <c r="M12" s="4588"/>
      <c r="N12" s="4587"/>
      <c r="O12" s="435"/>
      <c r="P12" s="435"/>
      <c r="Q12" s="442">
        <v>28</v>
      </c>
    </row>
    <row r="13" spans="1:17" s="4143" customFormat="1" ht="23.25" customHeight="1">
      <c r="A13" s="4259">
        <v>26379339</v>
      </c>
      <c r="B13" s="1078">
        <v>1</v>
      </c>
      <c r="C13" s="1078"/>
      <c r="D13" s="730"/>
      <c r="E13" s="4274">
        <v>1</v>
      </c>
      <c r="F13" s="4602" t="str">
        <f>IF(region_name="","",region_name)</f>
        <v>Мурманская область</v>
      </c>
      <c r="G13" s="4603"/>
      <c r="H13" s="4597"/>
      <c r="I13" s="409"/>
      <c r="J13" s="1820">
        <v>1</v>
      </c>
      <c r="K13" s="1833"/>
      <c r="L13" s="1834"/>
      <c r="M13" s="1834"/>
      <c r="N13" s="4591" t="s">
        <v>1927</v>
      </c>
      <c r="O13" s="1453"/>
      <c r="P13" s="446"/>
      <c r="Q13" s="358">
        <v>22</v>
      </c>
    </row>
    <row r="14" spans="1:17" s="4143" customFormat="1" ht="23.25" customHeight="1">
      <c r="A14" s="4259"/>
      <c r="B14" s="1078"/>
      <c r="C14" s="1078"/>
      <c r="D14" s="730"/>
      <c r="E14" s="4274"/>
      <c r="F14" s="4602"/>
      <c r="G14" s="4603"/>
      <c r="H14" s="4598"/>
      <c r="I14" s="356"/>
      <c r="J14" s="1418"/>
      <c r="K14" s="1418" t="s">
        <v>1921</v>
      </c>
      <c r="L14" s="1461"/>
      <c r="M14" s="1461"/>
      <c r="N14" s="4592"/>
      <c r="O14" s="1453"/>
      <c r="P14" s="446"/>
      <c r="Q14" s="358">
        <v>22</v>
      </c>
    </row>
    <row r="15" spans="1:17" s="4143" customFormat="1" ht="23.25" customHeight="1">
      <c r="A15" s="4259"/>
      <c r="B15" s="1078"/>
      <c r="C15" s="347"/>
      <c r="D15" s="730"/>
      <c r="E15" s="356"/>
      <c r="F15" s="1418" t="s">
        <v>1913</v>
      </c>
      <c r="G15" s="1460"/>
      <c r="H15" s="1460"/>
      <c r="I15" s="124"/>
      <c r="J15" s="124"/>
      <c r="K15" s="124"/>
      <c r="L15" s="124"/>
      <c r="M15" s="124"/>
      <c r="N15" s="4592"/>
      <c r="O15" s="1454"/>
      <c r="P15" s="446"/>
      <c r="Q15" s="358">
        <v>22</v>
      </c>
    </row>
    <row r="16" spans="1:17" s="4142" customFormat="1" ht="21.95" customHeight="1">
      <c r="A16" s="1073"/>
      <c r="B16" s="1078"/>
      <c r="C16" s="1073"/>
      <c r="D16" s="386"/>
      <c r="E16" s="117"/>
      <c r="F16" s="117"/>
      <c r="G16" s="117"/>
      <c r="H16" s="117"/>
      <c r="I16" s="117"/>
      <c r="J16" s="117"/>
      <c r="K16" s="117"/>
      <c r="L16" s="117"/>
      <c r="M16" s="444"/>
      <c r="N16" s="1553"/>
      <c r="O16" s="435"/>
      <c r="P16" s="435"/>
      <c r="Q16" s="442">
        <v>21</v>
      </c>
    </row>
    <row r="17" spans="1:17" s="4142"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4142"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86</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4156" hidden="1"/>
    <col min="2" max="2" width="9.140625" style="4215" hidden="1"/>
    <col min="3" max="3" width="3" style="4224" customWidth="1"/>
    <col min="4" max="4" width="6" style="4215" customWidth="1"/>
    <col min="5" max="5" width="22" style="4215" customWidth="1"/>
    <col min="6" max="6" width="15" style="4215" customWidth="1"/>
    <col min="7" max="7" width="14" style="4215" customWidth="1"/>
    <col min="8" max="8" width="47" style="4215" customWidth="1"/>
    <col min="9" max="9" width="115" style="4215" customWidth="1"/>
    <col min="10" max="10" width="3" style="4215" customWidth="1"/>
    <col min="11" max="12" width="8" style="4215" customWidth="1"/>
    <col min="13" max="13" width="9.140625" style="421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4133" customFormat="1" ht="31.5" customHeight="1">
      <c r="A5" s="55"/>
      <c r="C5" s="30"/>
      <c r="D5" s="4260" t="s">
        <v>1928</v>
      </c>
      <c r="E5" s="4260"/>
      <c r="F5" s="4260"/>
      <c r="G5" s="4260"/>
      <c r="H5" s="4260"/>
      <c r="I5" s="201"/>
      <c r="M5" s="23">
        <v>30</v>
      </c>
    </row>
    <row r="6" spans="1:13" ht="3" hidden="1" customHeight="1">
      <c r="D6" s="62"/>
      <c r="E6" s="62"/>
      <c r="F6" s="62"/>
      <c r="G6" s="62"/>
      <c r="H6" s="62"/>
      <c r="I6" s="62"/>
      <c r="M6" s="61">
        <v>0</v>
      </c>
    </row>
    <row r="7" spans="1:13" s="4156" customFormat="1" ht="14.65" customHeight="1">
      <c r="B7" s="59"/>
      <c r="C7" s="60"/>
      <c r="D7" s="63"/>
      <c r="E7" s="63"/>
      <c r="F7" s="63"/>
      <c r="G7" s="63"/>
      <c r="H7" s="687"/>
      <c r="I7" s="63"/>
      <c r="J7" s="64"/>
      <c r="M7" s="58">
        <v>14</v>
      </c>
    </row>
    <row r="8" spans="1:13" ht="14.65" customHeight="1">
      <c r="D8" s="4373" t="s">
        <v>321</v>
      </c>
      <c r="E8" s="4373"/>
      <c r="F8" s="4373"/>
      <c r="G8" s="4373"/>
      <c r="H8" s="4373"/>
      <c r="I8" s="4373" t="s">
        <v>322</v>
      </c>
      <c r="M8" s="61">
        <v>14</v>
      </c>
    </row>
    <row r="9" spans="1:13" ht="29.25" customHeight="1">
      <c r="D9" s="4373" t="s">
        <v>92</v>
      </c>
      <c r="E9" s="4373" t="s">
        <v>1929</v>
      </c>
      <c r="F9" s="4373"/>
      <c r="G9" s="4373"/>
      <c r="H9" s="4373"/>
      <c r="I9" s="4373"/>
      <c r="M9" s="61">
        <v>28</v>
      </c>
    </row>
    <row r="10" spans="1:13" ht="24" customHeight="1">
      <c r="D10" s="4373"/>
      <c r="E10" s="67" t="s">
        <v>1930</v>
      </c>
      <c r="F10" s="67" t="s">
        <v>1931</v>
      </c>
      <c r="G10" s="67" t="s">
        <v>1932</v>
      </c>
      <c r="H10" s="67" t="s">
        <v>411</v>
      </c>
      <c r="I10" s="4373"/>
      <c r="M10" s="61">
        <v>23</v>
      </c>
    </row>
    <row r="11" spans="1:13" ht="12" hidden="1" customHeight="1">
      <c r="D11" s="27" t="s">
        <v>113</v>
      </c>
      <c r="E11" s="27" t="s">
        <v>95</v>
      </c>
      <c r="F11" s="27" t="s">
        <v>103</v>
      </c>
      <c r="G11" s="27" t="s">
        <v>96</v>
      </c>
      <c r="H11" s="27" t="s">
        <v>97</v>
      </c>
      <c r="I11" s="27" t="s">
        <v>115</v>
      </c>
      <c r="M11" s="61">
        <v>0</v>
      </c>
    </row>
    <row r="12" spans="1:13" s="4215" customFormat="1" ht="26.25" customHeight="1">
      <c r="A12" s="83" t="s">
        <v>94</v>
      </c>
      <c r="B12" s="65" t="s">
        <v>28</v>
      </c>
      <c r="C12" s="66"/>
      <c r="D12" s="68" t="s">
        <v>113</v>
      </c>
      <c r="E12" s="316"/>
      <c r="F12" s="316"/>
      <c r="G12" s="1651" t="s">
        <v>28</v>
      </c>
      <c r="H12" s="317"/>
      <c r="I12" s="4318" t="s">
        <v>1933</v>
      </c>
      <c r="K12" s="208"/>
      <c r="L12" s="209"/>
      <c r="M12" s="57">
        <v>25</v>
      </c>
    </row>
    <row r="13" spans="1:13" ht="15.75" customHeight="1">
      <c r="A13" s="61"/>
      <c r="B13" s="61"/>
      <c r="C13" s="61"/>
      <c r="D13" s="49"/>
      <c r="E13" s="70" t="s">
        <v>489</v>
      </c>
      <c r="F13" s="69"/>
      <c r="G13" s="69"/>
      <c r="H13" s="151"/>
      <c r="I13" s="4320"/>
      <c r="M13" s="61">
        <v>15</v>
      </c>
    </row>
    <row r="14" spans="1:13" ht="3" customHeight="1">
      <c r="A14" s="61"/>
      <c r="B14" s="61"/>
      <c r="C14" s="61"/>
      <c r="M14" s="61">
        <v>3</v>
      </c>
    </row>
    <row r="15" spans="1:13" ht="29.25" customHeight="1">
      <c r="E15" s="4604" t="s">
        <v>1934</v>
      </c>
      <c r="F15" s="4604"/>
      <c r="G15" s="4604"/>
      <c r="H15" s="4604"/>
      <c r="M15" s="61">
        <v>28</v>
      </c>
    </row>
    <row r="16" spans="1:13" ht="14.25" hidden="1" customHeight="1">
      <c r="A16" s="58" t="s">
        <v>86</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4225" hidden="1"/>
    <col min="3" max="3" width="3" style="4226" customWidth="1"/>
    <col min="4" max="4" width="6" style="4225" customWidth="1"/>
    <col min="5" max="5" width="94" style="4225" customWidth="1"/>
    <col min="6" max="9" width="8" style="4225" customWidth="1"/>
    <col min="10" max="10" width="9.140625" style="422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4605" t="s">
        <v>1935</v>
      </c>
      <c r="E7" s="4606"/>
      <c r="F7" s="203"/>
      <c r="J7" s="9">
        <v>22</v>
      </c>
    </row>
    <row r="8" spans="1:10" ht="3" customHeight="1">
      <c r="C8" s="32"/>
      <c r="D8" s="10"/>
      <c r="E8" s="10"/>
      <c r="J8" s="9">
        <v>3</v>
      </c>
    </row>
    <row r="9" spans="1:10" ht="16.899999999999999" customHeight="1">
      <c r="C9" s="32"/>
      <c r="D9" s="45" t="s">
        <v>92</v>
      </c>
      <c r="E9" s="196" t="s">
        <v>1936</v>
      </c>
      <c r="J9" s="9">
        <v>16</v>
      </c>
    </row>
    <row r="10" spans="1:10" ht="1.1499999999999999" customHeight="1">
      <c r="C10" s="32"/>
      <c r="D10" s="27"/>
      <c r="E10" s="27"/>
      <c r="J10" s="9">
        <v>1</v>
      </c>
    </row>
    <row r="11" spans="1:10" ht="11.25" hidden="1" customHeight="1">
      <c r="C11" s="32"/>
      <c r="D11" s="88">
        <v>0</v>
      </c>
      <c r="E11" s="197"/>
      <c r="J11" s="9">
        <v>0</v>
      </c>
    </row>
    <row r="12" spans="1:10" ht="45.75" customHeight="1">
      <c r="C12" s="75"/>
      <c r="D12" s="53">
        <v>1</v>
      </c>
      <c r="E12" s="312" t="s">
        <v>1937</v>
      </c>
      <c r="J12" s="9">
        <v>15</v>
      </c>
    </row>
    <row r="13" spans="1:10" ht="12.75" customHeight="1">
      <c r="C13" s="32"/>
      <c r="D13" s="198"/>
      <c r="E13" s="199" t="s">
        <v>1938</v>
      </c>
      <c r="J13" s="9">
        <v>12</v>
      </c>
    </row>
    <row r="14" spans="1:10" ht="3" customHeight="1">
      <c r="J14" s="9">
        <v>3</v>
      </c>
    </row>
    <row r="15" spans="1:10" ht="23.25" customHeight="1">
      <c r="C15" s="76"/>
      <c r="D15" s="4604" t="s">
        <v>1939</v>
      </c>
      <c r="E15" s="4604"/>
      <c r="F15" s="77"/>
      <c r="G15" s="77"/>
      <c r="H15" s="77"/>
      <c r="I15" s="77"/>
      <c r="J15" s="9">
        <v>22</v>
      </c>
    </row>
    <row r="16" spans="1:10" ht="14.25" hidden="1" customHeight="1">
      <c r="A16" s="9" t="s">
        <v>86</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4225" hidden="1"/>
    <col min="3" max="3" width="3" style="4226" customWidth="1"/>
    <col min="4" max="4" width="6" style="4225" customWidth="1"/>
    <col min="5" max="5" width="94" style="4225" customWidth="1"/>
    <col min="6" max="12" width="8" style="4225" customWidth="1"/>
    <col min="13" max="13" width="9.140625" style="4225"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4260" t="s">
        <v>1940</v>
      </c>
      <c r="E7" s="4260"/>
      <c r="F7" s="203"/>
      <c r="M7" s="9">
        <v>22</v>
      </c>
    </row>
    <row r="8" spans="1:13" ht="3" customHeight="1">
      <c r="C8" s="32"/>
      <c r="D8" s="10"/>
      <c r="E8" s="10"/>
      <c r="M8" s="9">
        <v>3</v>
      </c>
    </row>
    <row r="9" spans="1:13" ht="16.899999999999999" customHeight="1">
      <c r="C9" s="32"/>
      <c r="D9" s="45" t="s">
        <v>92</v>
      </c>
      <c r="E9" s="48" t="s">
        <v>308</v>
      </c>
      <c r="M9" s="9">
        <v>16</v>
      </c>
    </row>
    <row r="10" spans="1:13" ht="12.75" customHeight="1">
      <c r="C10" s="32"/>
      <c r="D10" s="27" t="s">
        <v>113</v>
      </c>
      <c r="E10" s="27" t="s">
        <v>114</v>
      </c>
      <c r="M10" s="9">
        <v>12</v>
      </c>
    </row>
    <row r="11" spans="1:13" ht="15" hidden="1" customHeight="1">
      <c r="C11" s="32"/>
      <c r="D11" s="53">
        <v>0</v>
      </c>
      <c r="E11" s="87"/>
      <c r="M11" s="9">
        <v>0</v>
      </c>
    </row>
    <row r="12" spans="1:13" ht="14.65" customHeight="1">
      <c r="C12" s="32"/>
      <c r="D12" s="49"/>
      <c r="E12" s="47" t="s">
        <v>1938</v>
      </c>
      <c r="M12" s="9">
        <v>14</v>
      </c>
    </row>
    <row r="13" spans="1:13" ht="14.25" hidden="1" customHeight="1">
      <c r="A13" s="9" t="s">
        <v>86</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4143" hidden="1"/>
    <col min="3" max="4" width="3" style="4143" customWidth="1"/>
    <col min="5" max="6" width="15" style="4143" customWidth="1"/>
    <col min="7" max="7" width="11.5703125" style="4143" customWidth="1"/>
    <col min="8" max="9" width="3" style="4143" customWidth="1"/>
    <col min="10" max="10" width="12" style="4143" customWidth="1"/>
    <col min="11" max="11" width="0.28515625" style="4143" customWidth="1"/>
    <col min="12" max="13" width="10" style="4143" customWidth="1"/>
    <col min="14" max="15" width="3" style="4143" customWidth="1"/>
    <col min="16" max="16" width="19" style="4143" customWidth="1"/>
    <col min="17" max="17" width="0.28515625" style="4143" customWidth="1"/>
    <col min="18" max="19" width="10" style="4143" customWidth="1"/>
    <col min="20" max="21" width="3" style="4143" customWidth="1"/>
    <col min="22" max="22" width="25" style="4143" customWidth="1"/>
    <col min="23" max="23" width="0.28515625" style="4143" customWidth="1"/>
    <col min="24" max="25" width="10" style="4143" customWidth="1"/>
    <col min="26" max="27" width="3" style="4143" customWidth="1"/>
    <col min="28" max="28" width="16" style="4143" customWidth="1"/>
    <col min="29" max="29" width="0.28515625" style="4143" customWidth="1"/>
    <col min="30" max="31" width="10" style="4143" customWidth="1"/>
    <col min="32" max="33" width="3" style="4143" customWidth="1"/>
    <col min="34" max="34" width="8" style="4143" customWidth="1"/>
    <col min="35" max="35" width="21" style="4143" customWidth="1"/>
    <col min="36" max="36" width="8" style="4143" customWidth="1"/>
    <col min="37" max="37" width="8" style="4156" customWidth="1"/>
    <col min="38" max="64" width="8" style="4143" customWidth="1"/>
    <col min="65" max="65" width="9.140625" style="4143" hidden="1"/>
  </cols>
  <sheetData>
    <row r="1" spans="1:65" s="415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4154" customFormat="1" ht="11.25" hidden="1" customHeight="1">
      <c r="L2" s="1471" t="s">
        <v>300</v>
      </c>
      <c r="M2" s="1471" t="s">
        <v>301</v>
      </c>
      <c r="R2" s="1471" t="s">
        <v>302</v>
      </c>
      <c r="S2" s="1471" t="s">
        <v>301</v>
      </c>
      <c r="X2" s="1471" t="s">
        <v>300</v>
      </c>
      <c r="Y2" s="1471" t="s">
        <v>301</v>
      </c>
      <c r="AD2" s="1471" t="s">
        <v>300</v>
      </c>
      <c r="AE2" s="1471" t="s">
        <v>301</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415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4142" customFormat="1" ht="34.5" customHeight="1">
      <c r="A4" s="1074"/>
      <c r="B4" s="1073"/>
      <c r="C4" s="1433"/>
      <c r="D4" s="4344" t="s">
        <v>303</v>
      </c>
      <c r="E4" s="4344"/>
      <c r="F4" s="4344"/>
      <c r="G4" s="4344"/>
      <c r="H4" s="4344"/>
      <c r="I4" s="4344"/>
      <c r="J4" s="4344"/>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4142" customFormat="1" ht="14.65" customHeight="1">
      <c r="A5" s="1550"/>
      <c r="B5" s="1549"/>
      <c r="C5" s="1433"/>
      <c r="D5" s="4365" t="str">
        <f>IF(org=0,"Не определено",org)</f>
        <v>АО "Мурманэнергосбыт"</v>
      </c>
      <c r="E5" s="4365"/>
      <c r="F5" s="4365"/>
      <c r="G5" s="4365"/>
      <c r="H5" s="4365"/>
      <c r="I5" s="4365"/>
      <c r="J5" s="436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4142"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415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4274" t="s">
        <v>92</v>
      </c>
      <c r="E8" s="4274" t="s">
        <v>109</v>
      </c>
      <c r="F8" s="4346" t="s">
        <v>125</v>
      </c>
      <c r="G8" s="4347"/>
      <c r="H8" s="4346" t="s">
        <v>92</v>
      </c>
      <c r="I8" s="4347"/>
      <c r="J8" s="4274" t="s">
        <v>126</v>
      </c>
      <c r="K8" s="1474"/>
      <c r="L8" s="4345" t="s">
        <v>304</v>
      </c>
      <c r="M8" s="4345"/>
      <c r="N8" s="4345"/>
      <c r="O8" s="4345"/>
      <c r="P8" s="4345"/>
      <c r="Q8" s="1475"/>
      <c r="R8" s="4256" t="s">
        <v>305</v>
      </c>
      <c r="S8" s="4261"/>
      <c r="T8" s="4261"/>
      <c r="U8" s="4261"/>
      <c r="V8" s="4261"/>
      <c r="W8" s="1475"/>
      <c r="X8" s="4274" t="s">
        <v>306</v>
      </c>
      <c r="Y8" s="4274"/>
      <c r="Z8" s="4274"/>
      <c r="AA8" s="4274"/>
      <c r="AB8" s="4274"/>
      <c r="AC8" s="1476"/>
      <c r="AD8" s="4274" t="s">
        <v>307</v>
      </c>
      <c r="AE8" s="4274"/>
      <c r="AF8" s="4274"/>
      <c r="AG8" s="4274"/>
      <c r="AH8" s="4256"/>
      <c r="AI8" s="4274" t="s">
        <v>308</v>
      </c>
      <c r="AJ8" s="1492"/>
      <c r="BM8" s="229">
        <v>32</v>
      </c>
    </row>
    <row r="9" spans="1:65" ht="23.25" customHeight="1">
      <c r="D9" s="4274"/>
      <c r="E9" s="4274"/>
      <c r="F9" s="4345" t="s">
        <v>93</v>
      </c>
      <c r="G9" s="4345" t="s">
        <v>131</v>
      </c>
      <c r="H9" s="4348"/>
      <c r="I9" s="4349"/>
      <c r="J9" s="4256"/>
      <c r="K9" s="1477"/>
      <c r="L9" s="4274" t="s">
        <v>309</v>
      </c>
      <c r="M9" s="4256"/>
      <c r="N9" s="4346" t="s">
        <v>92</v>
      </c>
      <c r="O9" s="4347"/>
      <c r="P9" s="4274" t="s">
        <v>132</v>
      </c>
      <c r="Q9" s="1474"/>
      <c r="R9" s="4274" t="s">
        <v>309</v>
      </c>
      <c r="S9" s="4256"/>
      <c r="T9" s="4346" t="s">
        <v>92</v>
      </c>
      <c r="U9" s="4347"/>
      <c r="V9" s="4274" t="s">
        <v>132</v>
      </c>
      <c r="W9" s="1474"/>
      <c r="X9" s="4274" t="s">
        <v>309</v>
      </c>
      <c r="Y9" s="4256"/>
      <c r="Z9" s="4346" t="s">
        <v>92</v>
      </c>
      <c r="AA9" s="4347"/>
      <c r="AB9" s="4274" t="s">
        <v>310</v>
      </c>
      <c r="AC9" s="1474"/>
      <c r="AD9" s="4274" t="s">
        <v>309</v>
      </c>
      <c r="AE9" s="4256"/>
      <c r="AF9" s="4346" t="s">
        <v>92</v>
      </c>
      <c r="AG9" s="4347"/>
      <c r="AH9" s="4256" t="s">
        <v>310</v>
      </c>
      <c r="AI9" s="4274"/>
      <c r="AJ9" s="1492"/>
      <c r="BM9" s="229">
        <v>22</v>
      </c>
    </row>
    <row r="10" spans="1:65" ht="24" customHeight="1">
      <c r="D10" s="4345"/>
      <c r="E10" s="4345"/>
      <c r="F10" s="4350"/>
      <c r="G10" s="4350"/>
      <c r="H10" s="4351"/>
      <c r="I10" s="4352"/>
      <c r="J10" s="4346"/>
      <c r="K10" s="1477"/>
      <c r="L10" s="1496" t="s">
        <v>311</v>
      </c>
      <c r="M10" s="1491" t="s">
        <v>312</v>
      </c>
      <c r="N10" s="4348"/>
      <c r="O10" s="4349"/>
      <c r="P10" s="4345"/>
      <c r="Q10" s="1474"/>
      <c r="R10" s="1496" t="s">
        <v>311</v>
      </c>
      <c r="S10" s="1491" t="s">
        <v>312</v>
      </c>
      <c r="T10" s="4348"/>
      <c r="U10" s="4349"/>
      <c r="V10" s="4345"/>
      <c r="W10" s="1474"/>
      <c r="X10" s="1496" t="s">
        <v>311</v>
      </c>
      <c r="Y10" s="1491" t="s">
        <v>312</v>
      </c>
      <c r="Z10" s="4348"/>
      <c r="AA10" s="4349"/>
      <c r="AB10" s="4345"/>
      <c r="AC10" s="1474"/>
      <c r="AD10" s="1496" t="s">
        <v>311</v>
      </c>
      <c r="AE10" s="1491" t="s">
        <v>312</v>
      </c>
      <c r="AF10" s="4348"/>
      <c r="AG10" s="4349"/>
      <c r="AH10" s="4346"/>
      <c r="AI10" s="4345"/>
      <c r="AJ10" s="1492"/>
      <c r="AK10" s="190" t="s">
        <v>313</v>
      </c>
      <c r="AL10" s="190" t="s">
        <v>133</v>
      </c>
      <c r="BM10" s="229">
        <v>23</v>
      </c>
    </row>
    <row r="11" spans="1:65" ht="15" customHeight="1">
      <c r="D11" s="4353" t="s">
        <v>113</v>
      </c>
      <c r="E11" s="4355" t="s">
        <v>314</v>
      </c>
      <c r="F11" s="4355" t="s">
        <v>315</v>
      </c>
      <c r="G11" s="4337" t="s">
        <v>19</v>
      </c>
      <c r="H11" s="1517"/>
      <c r="I11" s="4358"/>
      <c r="J11" s="4302"/>
      <c r="K11" s="1432"/>
      <c r="L11" s="4294"/>
      <c r="M11" s="4294"/>
      <c r="N11" s="1502"/>
      <c r="O11" s="4294"/>
      <c r="P11" s="4302"/>
      <c r="Q11" s="1503"/>
      <c r="R11" s="4294"/>
      <c r="S11" s="4294"/>
      <c r="T11" s="1504"/>
      <c r="U11" s="4294"/>
      <c r="V11" s="4302"/>
      <c r="W11" s="1505"/>
      <c r="X11" s="4294"/>
      <c r="Y11" s="4294"/>
      <c r="Z11" s="1502"/>
      <c r="AA11" s="4294"/>
      <c r="AB11" s="4302"/>
      <c r="AC11" s="1506"/>
      <c r="AD11" s="4294"/>
      <c r="AE11" s="4294"/>
      <c r="AF11" s="1431"/>
      <c r="AG11" s="1431"/>
      <c r="AH11" s="1507"/>
      <c r="AI11" s="1214"/>
      <c r="AJ11" s="1492"/>
      <c r="BM11" s="229">
        <v>14</v>
      </c>
    </row>
    <row r="12" spans="1:65" ht="14.65" customHeight="1">
      <c r="D12" s="4353"/>
      <c r="E12" s="4355"/>
      <c r="F12" s="4355"/>
      <c r="G12" s="4338"/>
      <c r="H12" s="1518"/>
      <c r="I12" s="4359"/>
      <c r="J12" s="4303"/>
      <c r="K12" s="1528"/>
      <c r="L12" s="4295"/>
      <c r="M12" s="4295"/>
      <c r="N12" s="1508"/>
      <c r="O12" s="4295"/>
      <c r="P12" s="4303"/>
      <c r="Q12" s="1509"/>
      <c r="R12" s="4295"/>
      <c r="S12" s="4295"/>
      <c r="T12" s="1510"/>
      <c r="U12" s="4295"/>
      <c r="V12" s="4303"/>
      <c r="W12" s="1511"/>
      <c r="X12" s="4295"/>
      <c r="Y12" s="4295"/>
      <c r="Z12" s="1508"/>
      <c r="AA12" s="4295"/>
      <c r="AB12" s="4303"/>
      <c r="AC12" s="1512"/>
      <c r="AD12" s="4295"/>
      <c r="AE12" s="4295"/>
      <c r="AF12" s="1513"/>
      <c r="AG12" s="1513"/>
      <c r="AH12" s="4362"/>
      <c r="AI12" s="4363"/>
      <c r="AJ12" s="1492"/>
      <c r="BM12" s="229">
        <v>14</v>
      </c>
    </row>
    <row r="13" spans="1:65" ht="14.65" customHeight="1">
      <c r="D13" s="4353"/>
      <c r="E13" s="4355"/>
      <c r="F13" s="4355"/>
      <c r="G13" s="4338"/>
      <c r="H13" s="1518"/>
      <c r="I13" s="4359"/>
      <c r="J13" s="4303"/>
      <c r="K13" s="1528"/>
      <c r="L13" s="4295"/>
      <c r="M13" s="4295"/>
      <c r="N13" s="1508"/>
      <c r="O13" s="4295"/>
      <c r="P13" s="4303"/>
      <c r="Q13" s="1509"/>
      <c r="R13" s="4295"/>
      <c r="S13" s="4295"/>
      <c r="T13" s="1510"/>
      <c r="U13" s="4295"/>
      <c r="V13" s="4303"/>
      <c r="W13" s="1511"/>
      <c r="X13" s="4295"/>
      <c r="Y13" s="4295"/>
      <c r="Z13" s="1430"/>
      <c r="AA13" s="1513"/>
      <c r="AB13" s="4362"/>
      <c r="AC13" s="4362"/>
      <c r="AD13" s="4362"/>
      <c r="AE13" s="4362"/>
      <c r="AF13" s="4362"/>
      <c r="AG13" s="4362"/>
      <c r="AH13" s="4362"/>
      <c r="AI13" s="4363"/>
      <c r="AJ13" s="1492"/>
      <c r="BM13" s="229">
        <v>14</v>
      </c>
    </row>
    <row r="14" spans="1:65" ht="14.65" customHeight="1">
      <c r="D14" s="4353"/>
      <c r="E14" s="4355"/>
      <c r="F14" s="4355"/>
      <c r="G14" s="4338"/>
      <c r="H14" s="1518"/>
      <c r="I14" s="4359"/>
      <c r="J14" s="4303"/>
      <c r="K14" s="1528"/>
      <c r="L14" s="4295"/>
      <c r="M14" s="4295"/>
      <c r="N14" s="1508"/>
      <c r="O14" s="4295"/>
      <c r="P14" s="4303"/>
      <c r="Q14" s="1509"/>
      <c r="R14" s="4295"/>
      <c r="S14" s="4295"/>
      <c r="T14" s="1514"/>
      <c r="U14" s="1515"/>
      <c r="V14" s="4362"/>
      <c r="W14" s="4362"/>
      <c r="X14" s="4362"/>
      <c r="Y14" s="4362"/>
      <c r="Z14" s="4362"/>
      <c r="AA14" s="4362"/>
      <c r="AB14" s="4362"/>
      <c r="AC14" s="4362"/>
      <c r="AD14" s="4362"/>
      <c r="AE14" s="4362"/>
      <c r="AF14" s="4362"/>
      <c r="AG14" s="4362"/>
      <c r="AH14" s="4362"/>
      <c r="AI14" s="4363"/>
      <c r="AJ14" s="1492"/>
      <c r="BM14" s="229">
        <v>14</v>
      </c>
    </row>
    <row r="15" spans="1:65" ht="11.45" customHeight="1">
      <c r="D15" s="4353"/>
      <c r="E15" s="4355"/>
      <c r="F15" s="4355"/>
      <c r="G15" s="4338"/>
      <c r="H15" s="1519"/>
      <c r="I15" s="4359"/>
      <c r="J15" s="4303"/>
      <c r="K15" s="1528"/>
      <c r="L15" s="4295"/>
      <c r="M15" s="4295"/>
      <c r="N15" s="1513"/>
      <c r="O15" s="1513"/>
      <c r="P15" s="4362"/>
      <c r="Q15" s="4362"/>
      <c r="R15" s="4362"/>
      <c r="S15" s="4362"/>
      <c r="T15" s="4362"/>
      <c r="U15" s="4362"/>
      <c r="V15" s="4362"/>
      <c r="W15" s="4362"/>
      <c r="X15" s="4362"/>
      <c r="Y15" s="4362"/>
      <c r="Z15" s="4362"/>
      <c r="AA15" s="4362"/>
      <c r="AB15" s="4362"/>
      <c r="AC15" s="4362"/>
      <c r="AD15" s="4362"/>
      <c r="AE15" s="4362"/>
      <c r="AF15" s="4362"/>
      <c r="AG15" s="4362"/>
      <c r="AH15" s="4362"/>
      <c r="AI15" s="4363"/>
      <c r="AJ15" s="1492"/>
      <c r="BM15" s="229">
        <v>11</v>
      </c>
    </row>
    <row r="16" spans="1:65" s="4155" customFormat="1" ht="11.45" customHeight="1">
      <c r="D16" s="4354"/>
      <c r="E16" s="4356"/>
      <c r="F16" s="4357"/>
      <c r="G16" s="4289"/>
      <c r="H16" s="1516"/>
      <c r="I16" s="1520"/>
      <c r="J16" s="4360"/>
      <c r="K16" s="4360"/>
      <c r="L16" s="4360"/>
      <c r="M16" s="4360"/>
      <c r="N16" s="4360"/>
      <c r="O16" s="4360"/>
      <c r="P16" s="4360"/>
      <c r="Q16" s="4360"/>
      <c r="R16" s="4360"/>
      <c r="S16" s="4360"/>
      <c r="T16" s="4360"/>
      <c r="U16" s="4360"/>
      <c r="V16" s="4360"/>
      <c r="W16" s="4360"/>
      <c r="X16" s="4360"/>
      <c r="Y16" s="4360"/>
      <c r="Z16" s="4360"/>
      <c r="AA16" s="4360"/>
      <c r="AB16" s="4360"/>
      <c r="AC16" s="4360"/>
      <c r="AD16" s="4360"/>
      <c r="AE16" s="4360"/>
      <c r="AF16" s="4360"/>
      <c r="AG16" s="4360"/>
      <c r="AH16" s="4360"/>
      <c r="AI16" s="436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4353" t="s">
        <v>114</v>
      </c>
      <c r="E17" s="4355" t="s">
        <v>314</v>
      </c>
      <c r="F17" s="4355" t="s">
        <v>316</v>
      </c>
      <c r="G17" s="4337" t="s">
        <v>19</v>
      </c>
      <c r="H17" s="1517"/>
      <c r="I17" s="4358"/>
      <c r="J17" s="4302"/>
      <c r="K17" s="1432"/>
      <c r="L17" s="4294"/>
      <c r="M17" s="4294"/>
      <c r="N17" s="1502"/>
      <c r="O17" s="4294"/>
      <c r="P17" s="4302"/>
      <c r="Q17" s="1503"/>
      <c r="R17" s="4294"/>
      <c r="S17" s="4294"/>
      <c r="T17" s="1504"/>
      <c r="U17" s="4294"/>
      <c r="V17" s="4302"/>
      <c r="W17" s="1505"/>
      <c r="X17" s="4294"/>
      <c r="Y17" s="4294"/>
      <c r="Z17" s="1502"/>
      <c r="AA17" s="4294"/>
      <c r="AB17" s="4302"/>
      <c r="AC17" s="1506"/>
      <c r="AD17" s="4294"/>
      <c r="AE17" s="4294"/>
      <c r="AF17" s="1431"/>
      <c r="AG17" s="1431"/>
      <c r="AH17" s="1507"/>
      <c r="AI17" s="1214"/>
      <c r="AJ17" s="1492"/>
      <c r="BM17" s="229">
        <v>14</v>
      </c>
    </row>
    <row r="18" spans="4:65" ht="14.65" customHeight="1">
      <c r="D18" s="4353"/>
      <c r="E18" s="4355"/>
      <c r="F18" s="4355"/>
      <c r="G18" s="4338"/>
      <c r="H18" s="1518"/>
      <c r="I18" s="4359"/>
      <c r="J18" s="4303"/>
      <c r="K18" s="1501"/>
      <c r="L18" s="4295"/>
      <c r="M18" s="4295"/>
      <c r="N18" s="1508"/>
      <c r="O18" s="4295"/>
      <c r="P18" s="4303"/>
      <c r="Q18" s="1509"/>
      <c r="R18" s="4295"/>
      <c r="S18" s="4295"/>
      <c r="T18" s="1510"/>
      <c r="U18" s="4295"/>
      <c r="V18" s="4303"/>
      <c r="W18" s="1511"/>
      <c r="X18" s="4295"/>
      <c r="Y18" s="4295"/>
      <c r="Z18" s="1508"/>
      <c r="AA18" s="4295"/>
      <c r="AB18" s="4303"/>
      <c r="AC18" s="1512"/>
      <c r="AD18" s="4295"/>
      <c r="AE18" s="4295"/>
      <c r="AF18" s="1513"/>
      <c r="AG18" s="1513"/>
      <c r="AH18" s="4362"/>
      <c r="AI18" s="4363"/>
      <c r="AJ18" s="1492"/>
      <c r="BM18" s="229">
        <v>14</v>
      </c>
    </row>
    <row r="19" spans="4:65" ht="14.65" customHeight="1">
      <c r="D19" s="4353"/>
      <c r="E19" s="4355"/>
      <c r="F19" s="4355"/>
      <c r="G19" s="4338"/>
      <c r="H19" s="1518"/>
      <c r="I19" s="4359"/>
      <c r="J19" s="4303"/>
      <c r="K19" s="1501"/>
      <c r="L19" s="4295"/>
      <c r="M19" s="4295"/>
      <c r="N19" s="1508"/>
      <c r="O19" s="4295"/>
      <c r="P19" s="4303"/>
      <c r="Q19" s="1509"/>
      <c r="R19" s="4295"/>
      <c r="S19" s="4295"/>
      <c r="T19" s="1510"/>
      <c r="U19" s="4295"/>
      <c r="V19" s="4303"/>
      <c r="W19" s="1511"/>
      <c r="X19" s="4295"/>
      <c r="Y19" s="4295"/>
      <c r="Z19" s="1430"/>
      <c r="AA19" s="1513"/>
      <c r="AB19" s="4362"/>
      <c r="AC19" s="4362"/>
      <c r="AD19" s="4362"/>
      <c r="AE19" s="4362"/>
      <c r="AF19" s="4362"/>
      <c r="AG19" s="4362"/>
      <c r="AH19" s="4362"/>
      <c r="AI19" s="4363"/>
      <c r="AJ19" s="1492"/>
      <c r="BM19" s="229">
        <v>14</v>
      </c>
    </row>
    <row r="20" spans="4:65" ht="14.65" customHeight="1">
      <c r="D20" s="4353"/>
      <c r="E20" s="4355"/>
      <c r="F20" s="4355"/>
      <c r="G20" s="4338"/>
      <c r="H20" s="1518"/>
      <c r="I20" s="4359"/>
      <c r="J20" s="4303"/>
      <c r="K20" s="1501"/>
      <c r="L20" s="4295"/>
      <c r="M20" s="4295"/>
      <c r="N20" s="1508"/>
      <c r="O20" s="4295"/>
      <c r="P20" s="4303"/>
      <c r="Q20" s="1509"/>
      <c r="R20" s="4295"/>
      <c r="S20" s="4295"/>
      <c r="T20" s="1514"/>
      <c r="U20" s="1515"/>
      <c r="V20" s="4362"/>
      <c r="W20" s="4362"/>
      <c r="X20" s="4362"/>
      <c r="Y20" s="4362"/>
      <c r="Z20" s="4362"/>
      <c r="AA20" s="4362"/>
      <c r="AB20" s="4362"/>
      <c r="AC20" s="4362"/>
      <c r="AD20" s="4362"/>
      <c r="AE20" s="4362"/>
      <c r="AF20" s="4362"/>
      <c r="AG20" s="4362"/>
      <c r="AH20" s="4362"/>
      <c r="AI20" s="4363"/>
      <c r="AJ20" s="1492"/>
      <c r="BM20" s="229">
        <v>14</v>
      </c>
    </row>
    <row r="21" spans="4:65" ht="11.45" customHeight="1">
      <c r="D21" s="4353"/>
      <c r="E21" s="4355"/>
      <c r="F21" s="4355"/>
      <c r="G21" s="4338"/>
      <c r="H21" s="1519"/>
      <c r="I21" s="4359"/>
      <c r="J21" s="4303"/>
      <c r="K21" s="1501"/>
      <c r="L21" s="4295"/>
      <c r="M21" s="4295"/>
      <c r="N21" s="1513"/>
      <c r="O21" s="1513"/>
      <c r="P21" s="4362"/>
      <c r="Q21" s="4362"/>
      <c r="R21" s="4362"/>
      <c r="S21" s="4362"/>
      <c r="T21" s="4362"/>
      <c r="U21" s="4362"/>
      <c r="V21" s="4362"/>
      <c r="W21" s="4362"/>
      <c r="X21" s="4362"/>
      <c r="Y21" s="4362"/>
      <c r="Z21" s="4362"/>
      <c r="AA21" s="4362"/>
      <c r="AB21" s="4362"/>
      <c r="AC21" s="4362"/>
      <c r="AD21" s="4362"/>
      <c r="AE21" s="4362"/>
      <c r="AF21" s="4362"/>
      <c r="AG21" s="4362"/>
      <c r="AH21" s="4362"/>
      <c r="AI21" s="4363"/>
      <c r="AJ21" s="1492"/>
      <c r="BM21" s="229">
        <v>11</v>
      </c>
    </row>
    <row r="22" spans="4:65" s="4155" customFormat="1" ht="11.45" customHeight="1">
      <c r="D22" s="4354"/>
      <c r="E22" s="4356"/>
      <c r="F22" s="4357"/>
      <c r="G22" s="4289"/>
      <c r="H22" s="1516"/>
      <c r="I22" s="1520"/>
      <c r="J22" s="4360"/>
      <c r="K22" s="4360"/>
      <c r="L22" s="4360"/>
      <c r="M22" s="4360"/>
      <c r="N22" s="4360"/>
      <c r="O22" s="4360"/>
      <c r="P22" s="4360"/>
      <c r="Q22" s="4360"/>
      <c r="R22" s="4360"/>
      <c r="S22" s="4360"/>
      <c r="T22" s="4360"/>
      <c r="U22" s="4360"/>
      <c r="V22" s="4360"/>
      <c r="W22" s="4360"/>
      <c r="X22" s="4360"/>
      <c r="Y22" s="4360"/>
      <c r="Z22" s="4360"/>
      <c r="AA22" s="4360"/>
      <c r="AB22" s="4360"/>
      <c r="AC22" s="4360"/>
      <c r="AD22" s="4360"/>
      <c r="AE22" s="4360"/>
      <c r="AF22" s="4360"/>
      <c r="AG22" s="4360"/>
      <c r="AH22" s="4360"/>
      <c r="AI22" s="436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4353" t="s">
        <v>94</v>
      </c>
      <c r="E23" s="4355" t="s">
        <v>314</v>
      </c>
      <c r="F23" s="4355" t="s">
        <v>317</v>
      </c>
      <c r="G23" s="4337" t="s">
        <v>19</v>
      </c>
      <c r="H23" s="1517"/>
      <c r="I23" s="4358"/>
      <c r="J23" s="4302"/>
      <c r="K23" s="1432"/>
      <c r="L23" s="4294"/>
      <c r="M23" s="4294"/>
      <c r="N23" s="1502"/>
      <c r="O23" s="4294"/>
      <c r="P23" s="4302"/>
      <c r="Q23" s="1503"/>
      <c r="R23" s="4294"/>
      <c r="S23" s="4294"/>
      <c r="T23" s="1504"/>
      <c r="U23" s="4294"/>
      <c r="V23" s="4302"/>
      <c r="W23" s="1505"/>
      <c r="X23" s="4294"/>
      <c r="Y23" s="4294"/>
      <c r="Z23" s="1502"/>
      <c r="AA23" s="4294"/>
      <c r="AB23" s="4302"/>
      <c r="AC23" s="1506"/>
      <c r="AD23" s="4294"/>
      <c r="AE23" s="4294"/>
      <c r="AF23" s="1431"/>
      <c r="AG23" s="1431"/>
      <c r="AH23" s="1507"/>
      <c r="AI23" s="1214"/>
      <c r="AJ23" s="1492"/>
      <c r="AK23" s="242" t="s">
        <v>102</v>
      </c>
      <c r="BM23" s="229">
        <v>14</v>
      </c>
    </row>
    <row r="24" spans="4:65" ht="14.65" customHeight="1">
      <c r="D24" s="4353"/>
      <c r="E24" s="4355"/>
      <c r="F24" s="4355"/>
      <c r="G24" s="4338"/>
      <c r="H24" s="1518"/>
      <c r="I24" s="4359"/>
      <c r="J24" s="4303"/>
      <c r="K24" s="1528"/>
      <c r="L24" s="4295"/>
      <c r="M24" s="4295"/>
      <c r="N24" s="1508"/>
      <c r="O24" s="4295"/>
      <c r="P24" s="4303"/>
      <c r="Q24" s="1509"/>
      <c r="R24" s="4295"/>
      <c r="S24" s="4295"/>
      <c r="T24" s="1510"/>
      <c r="U24" s="4295"/>
      <c r="V24" s="4303"/>
      <c r="W24" s="1511"/>
      <c r="X24" s="4295"/>
      <c r="Y24" s="4295"/>
      <c r="Z24" s="1508"/>
      <c r="AA24" s="4295"/>
      <c r="AB24" s="4303"/>
      <c r="AC24" s="1512"/>
      <c r="AD24" s="4295"/>
      <c r="AE24" s="4295"/>
      <c r="AF24" s="1513"/>
      <c r="AG24" s="1513"/>
      <c r="AH24" s="4362"/>
      <c r="AI24" s="4363"/>
      <c r="AJ24" s="1492"/>
      <c r="BM24" s="229">
        <v>14</v>
      </c>
    </row>
    <row r="25" spans="4:65" ht="14.65" customHeight="1">
      <c r="D25" s="4353"/>
      <c r="E25" s="4355"/>
      <c r="F25" s="4355"/>
      <c r="G25" s="4338"/>
      <c r="H25" s="1518"/>
      <c r="I25" s="4359"/>
      <c r="J25" s="4303"/>
      <c r="K25" s="1528"/>
      <c r="L25" s="4295"/>
      <c r="M25" s="4295"/>
      <c r="N25" s="1508"/>
      <c r="O25" s="4295"/>
      <c r="P25" s="4303"/>
      <c r="Q25" s="1509"/>
      <c r="R25" s="4295"/>
      <c r="S25" s="4295"/>
      <c r="T25" s="1510"/>
      <c r="U25" s="4295"/>
      <c r="V25" s="4303"/>
      <c r="W25" s="1511"/>
      <c r="X25" s="4295"/>
      <c r="Y25" s="4295"/>
      <c r="Z25" s="1430"/>
      <c r="AA25" s="1513"/>
      <c r="AB25" s="4362"/>
      <c r="AC25" s="4362"/>
      <c r="AD25" s="4362"/>
      <c r="AE25" s="4362"/>
      <c r="AF25" s="4362"/>
      <c r="AG25" s="4362"/>
      <c r="AH25" s="4362"/>
      <c r="AI25" s="4363"/>
      <c r="AJ25" s="1492"/>
      <c r="BM25" s="229">
        <v>14</v>
      </c>
    </row>
    <row r="26" spans="4:65" ht="14.65" customHeight="1">
      <c r="D26" s="4353"/>
      <c r="E26" s="4355"/>
      <c r="F26" s="4355"/>
      <c r="G26" s="4338"/>
      <c r="H26" s="1518"/>
      <c r="I26" s="4359"/>
      <c r="J26" s="4303"/>
      <c r="K26" s="1528"/>
      <c r="L26" s="4295"/>
      <c r="M26" s="4295"/>
      <c r="N26" s="1508"/>
      <c r="O26" s="4295"/>
      <c r="P26" s="4303"/>
      <c r="Q26" s="1509"/>
      <c r="R26" s="4295"/>
      <c r="S26" s="4295"/>
      <c r="T26" s="1514"/>
      <c r="U26" s="1515"/>
      <c r="V26" s="4362"/>
      <c r="W26" s="4362"/>
      <c r="X26" s="4362"/>
      <c r="Y26" s="4362"/>
      <c r="Z26" s="4362"/>
      <c r="AA26" s="4362"/>
      <c r="AB26" s="4362"/>
      <c r="AC26" s="4362"/>
      <c r="AD26" s="4362"/>
      <c r="AE26" s="4362"/>
      <c r="AF26" s="4362"/>
      <c r="AG26" s="4362"/>
      <c r="AH26" s="4362"/>
      <c r="AI26" s="4363"/>
      <c r="AJ26" s="1492"/>
      <c r="BM26" s="229">
        <v>14</v>
      </c>
    </row>
    <row r="27" spans="4:65" ht="11.45" customHeight="1">
      <c r="D27" s="4353"/>
      <c r="E27" s="4355"/>
      <c r="F27" s="4355"/>
      <c r="G27" s="4338"/>
      <c r="H27" s="1519"/>
      <c r="I27" s="4359"/>
      <c r="J27" s="4303"/>
      <c r="K27" s="1528"/>
      <c r="L27" s="4295"/>
      <c r="M27" s="4295"/>
      <c r="N27" s="1513"/>
      <c r="O27" s="1513"/>
      <c r="P27" s="4362"/>
      <c r="Q27" s="4362"/>
      <c r="R27" s="4362"/>
      <c r="S27" s="4362"/>
      <c r="T27" s="4362"/>
      <c r="U27" s="4362"/>
      <c r="V27" s="4362"/>
      <c r="W27" s="4362"/>
      <c r="X27" s="4362"/>
      <c r="Y27" s="4362"/>
      <c r="Z27" s="4362"/>
      <c r="AA27" s="4362"/>
      <c r="AB27" s="4362"/>
      <c r="AC27" s="4362"/>
      <c r="AD27" s="4362"/>
      <c r="AE27" s="4362"/>
      <c r="AF27" s="4362"/>
      <c r="AG27" s="4362"/>
      <c r="AH27" s="4362"/>
      <c r="AI27" s="4363"/>
      <c r="AJ27" s="1492"/>
      <c r="BM27" s="229">
        <v>11</v>
      </c>
    </row>
    <row r="28" spans="4:65" s="4155" customFormat="1" ht="11.45" customHeight="1">
      <c r="D28" s="4354"/>
      <c r="E28" s="4356"/>
      <c r="F28" s="4357"/>
      <c r="G28" s="4289"/>
      <c r="H28" s="1516"/>
      <c r="I28" s="1520"/>
      <c r="J28" s="4360"/>
      <c r="K28" s="4360"/>
      <c r="L28" s="4360"/>
      <c r="M28" s="4360"/>
      <c r="N28" s="4360"/>
      <c r="O28" s="4360"/>
      <c r="P28" s="4360"/>
      <c r="Q28" s="4360"/>
      <c r="R28" s="4360"/>
      <c r="S28" s="4360"/>
      <c r="T28" s="4360"/>
      <c r="U28" s="4360"/>
      <c r="V28" s="4360"/>
      <c r="W28" s="4360"/>
      <c r="X28" s="4360"/>
      <c r="Y28" s="4360"/>
      <c r="Z28" s="4360"/>
      <c r="AA28" s="4360"/>
      <c r="AB28" s="4360"/>
      <c r="AC28" s="4360"/>
      <c r="AD28" s="4360"/>
      <c r="AE28" s="4360"/>
      <c r="AF28" s="4360"/>
      <c r="AG28" s="4360"/>
      <c r="AH28" s="4360"/>
      <c r="AI28" s="436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4353" t="s">
        <v>95</v>
      </c>
      <c r="E29" s="4355" t="s">
        <v>314</v>
      </c>
      <c r="F29" s="4355" t="s">
        <v>318</v>
      </c>
      <c r="G29" s="4337" t="s">
        <v>19</v>
      </c>
      <c r="H29" s="1517"/>
      <c r="I29" s="4358"/>
      <c r="J29" s="4302"/>
      <c r="K29" s="1432"/>
      <c r="L29" s="4294"/>
      <c r="M29" s="4294"/>
      <c r="N29" s="1502"/>
      <c r="O29" s="4294"/>
      <c r="P29" s="4302"/>
      <c r="Q29" s="1503"/>
      <c r="R29" s="4294"/>
      <c r="S29" s="4294"/>
      <c r="T29" s="1504"/>
      <c r="U29" s="4294"/>
      <c r="V29" s="4302"/>
      <c r="W29" s="1505"/>
      <c r="X29" s="4294"/>
      <c r="Y29" s="4294"/>
      <c r="Z29" s="1502"/>
      <c r="AA29" s="4294"/>
      <c r="AB29" s="4302"/>
      <c r="AC29" s="1506"/>
      <c r="AD29" s="4294"/>
      <c r="AE29" s="4294"/>
      <c r="AF29" s="1431"/>
      <c r="AG29" s="1431"/>
      <c r="AH29" s="1507"/>
      <c r="AI29" s="1214"/>
      <c r="AJ29" s="1492"/>
      <c r="BM29" s="229">
        <v>14</v>
      </c>
    </row>
    <row r="30" spans="4:65" ht="14.65" customHeight="1">
      <c r="D30" s="4353"/>
      <c r="E30" s="4355"/>
      <c r="F30" s="4355"/>
      <c r="G30" s="4338"/>
      <c r="H30" s="1518"/>
      <c r="I30" s="4359"/>
      <c r="J30" s="4303"/>
      <c r="K30" s="1501"/>
      <c r="L30" s="4295"/>
      <c r="M30" s="4295"/>
      <c r="N30" s="1508"/>
      <c r="O30" s="4295"/>
      <c r="P30" s="4303"/>
      <c r="Q30" s="1509"/>
      <c r="R30" s="4295"/>
      <c r="S30" s="4295"/>
      <c r="T30" s="1510"/>
      <c r="U30" s="4295"/>
      <c r="V30" s="4303"/>
      <c r="W30" s="1511"/>
      <c r="X30" s="4295"/>
      <c r="Y30" s="4295"/>
      <c r="Z30" s="1508"/>
      <c r="AA30" s="4295"/>
      <c r="AB30" s="4303"/>
      <c r="AC30" s="1512"/>
      <c r="AD30" s="4295"/>
      <c r="AE30" s="4295"/>
      <c r="AF30" s="1513"/>
      <c r="AG30" s="1513"/>
      <c r="AH30" s="4362"/>
      <c r="AI30" s="4363"/>
      <c r="AJ30" s="1492"/>
      <c r="BM30" s="229">
        <v>14</v>
      </c>
    </row>
    <row r="31" spans="4:65" ht="14.65" customHeight="1">
      <c r="D31" s="4353"/>
      <c r="E31" s="4355"/>
      <c r="F31" s="4355"/>
      <c r="G31" s="4338"/>
      <c r="H31" s="1518"/>
      <c r="I31" s="4359"/>
      <c r="J31" s="4303"/>
      <c r="K31" s="1501"/>
      <c r="L31" s="4295"/>
      <c r="M31" s="4295"/>
      <c r="N31" s="1508"/>
      <c r="O31" s="4295"/>
      <c r="P31" s="4303"/>
      <c r="Q31" s="1509"/>
      <c r="R31" s="4295"/>
      <c r="S31" s="4295"/>
      <c r="T31" s="1510"/>
      <c r="U31" s="4295"/>
      <c r="V31" s="4303"/>
      <c r="W31" s="1511"/>
      <c r="X31" s="4295"/>
      <c r="Y31" s="4295"/>
      <c r="Z31" s="1430"/>
      <c r="AA31" s="1513"/>
      <c r="AB31" s="4362"/>
      <c r="AC31" s="4362"/>
      <c r="AD31" s="4362"/>
      <c r="AE31" s="4362"/>
      <c r="AF31" s="4362"/>
      <c r="AG31" s="4362"/>
      <c r="AH31" s="4362"/>
      <c r="AI31" s="4363"/>
      <c r="AJ31" s="1492"/>
      <c r="BM31" s="229">
        <v>14</v>
      </c>
    </row>
    <row r="32" spans="4:65" ht="14.65" customHeight="1">
      <c r="D32" s="4353"/>
      <c r="E32" s="4355"/>
      <c r="F32" s="4355"/>
      <c r="G32" s="4338"/>
      <c r="H32" s="1518"/>
      <c r="I32" s="4359"/>
      <c r="J32" s="4303"/>
      <c r="K32" s="1501"/>
      <c r="L32" s="4295"/>
      <c r="M32" s="4295"/>
      <c r="N32" s="1508"/>
      <c r="O32" s="4295"/>
      <c r="P32" s="4303"/>
      <c r="Q32" s="1509"/>
      <c r="R32" s="4295"/>
      <c r="S32" s="4295"/>
      <c r="T32" s="1514"/>
      <c r="U32" s="1515"/>
      <c r="V32" s="4362"/>
      <c r="W32" s="4362"/>
      <c r="X32" s="4362"/>
      <c r="Y32" s="4362"/>
      <c r="Z32" s="4362"/>
      <c r="AA32" s="4362"/>
      <c r="AB32" s="4362"/>
      <c r="AC32" s="4362"/>
      <c r="AD32" s="4362"/>
      <c r="AE32" s="4362"/>
      <c r="AF32" s="4362"/>
      <c r="AG32" s="4362"/>
      <c r="AH32" s="4362"/>
      <c r="AI32" s="4363"/>
      <c r="AJ32" s="1492"/>
      <c r="BM32" s="229">
        <v>14</v>
      </c>
    </row>
    <row r="33" spans="4:65" ht="11.45" customHeight="1">
      <c r="D33" s="4353"/>
      <c r="E33" s="4355"/>
      <c r="F33" s="4355"/>
      <c r="G33" s="4338"/>
      <c r="H33" s="1519"/>
      <c r="I33" s="4359"/>
      <c r="J33" s="4303"/>
      <c r="K33" s="1501"/>
      <c r="L33" s="4295"/>
      <c r="M33" s="4295"/>
      <c r="N33" s="1513"/>
      <c r="O33" s="1513"/>
      <c r="P33" s="4362"/>
      <c r="Q33" s="4362"/>
      <c r="R33" s="4362"/>
      <c r="S33" s="4362"/>
      <c r="T33" s="4362"/>
      <c r="U33" s="4362"/>
      <c r="V33" s="4362"/>
      <c r="W33" s="4362"/>
      <c r="X33" s="4362"/>
      <c r="Y33" s="4362"/>
      <c r="Z33" s="4362"/>
      <c r="AA33" s="4362"/>
      <c r="AB33" s="4362"/>
      <c r="AC33" s="4362"/>
      <c r="AD33" s="4362"/>
      <c r="AE33" s="4362"/>
      <c r="AF33" s="4362"/>
      <c r="AG33" s="4362"/>
      <c r="AH33" s="4362"/>
      <c r="AI33" s="4363"/>
      <c r="AJ33" s="1492"/>
      <c r="BM33" s="229">
        <v>11</v>
      </c>
    </row>
    <row r="34" spans="4:65" s="4155" customFormat="1" ht="11.45" customHeight="1">
      <c r="D34" s="4354"/>
      <c r="E34" s="4356"/>
      <c r="F34" s="4357"/>
      <c r="G34" s="4289"/>
      <c r="H34" s="1516"/>
      <c r="I34" s="1520"/>
      <c r="J34" s="4360"/>
      <c r="K34" s="4360"/>
      <c r="L34" s="4360"/>
      <c r="M34" s="4360"/>
      <c r="N34" s="4360"/>
      <c r="O34" s="4360"/>
      <c r="P34" s="4360"/>
      <c r="Q34" s="4360"/>
      <c r="R34" s="4360"/>
      <c r="S34" s="4360"/>
      <c r="T34" s="4360"/>
      <c r="U34" s="4360"/>
      <c r="V34" s="4360"/>
      <c r="W34" s="4360"/>
      <c r="X34" s="4360"/>
      <c r="Y34" s="4360"/>
      <c r="Z34" s="4360"/>
      <c r="AA34" s="4360"/>
      <c r="AB34" s="4360"/>
      <c r="AC34" s="4360"/>
      <c r="AD34" s="4360"/>
      <c r="AE34" s="4360"/>
      <c r="AF34" s="4360"/>
      <c r="AG34" s="4360"/>
      <c r="AH34" s="4360"/>
      <c r="AI34" s="436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4353" t="s">
        <v>103</v>
      </c>
      <c r="E35" s="4355" t="s">
        <v>314</v>
      </c>
      <c r="F35" s="4355" t="s">
        <v>319</v>
      </c>
      <c r="G35" s="4337" t="s">
        <v>19</v>
      </c>
      <c r="H35" s="1517"/>
      <c r="I35" s="4358"/>
      <c r="J35" s="4302"/>
      <c r="K35" s="1432"/>
      <c r="L35" s="4294"/>
      <c r="M35" s="4294"/>
      <c r="N35" s="1502"/>
      <c r="O35" s="4294"/>
      <c r="P35" s="4302"/>
      <c r="Q35" s="1503"/>
      <c r="R35" s="4294"/>
      <c r="S35" s="4294"/>
      <c r="T35" s="1504"/>
      <c r="U35" s="4294"/>
      <c r="V35" s="4302"/>
      <c r="W35" s="1505"/>
      <c r="X35" s="4294"/>
      <c r="Y35" s="4294"/>
      <c r="Z35" s="1502"/>
      <c r="AA35" s="4294"/>
      <c r="AB35" s="4302"/>
      <c r="AC35" s="1506"/>
      <c r="AD35" s="4294"/>
      <c r="AE35" s="4294"/>
      <c r="AF35" s="1431"/>
      <c r="AG35" s="1431"/>
      <c r="AH35" s="1507"/>
      <c r="AI35" s="1214"/>
      <c r="AJ35" s="1492"/>
      <c r="BM35" s="229">
        <v>14</v>
      </c>
    </row>
    <row r="36" spans="4:65" ht="14.65" customHeight="1">
      <c r="D36" s="4353"/>
      <c r="E36" s="4355"/>
      <c r="F36" s="4355"/>
      <c r="G36" s="4338"/>
      <c r="H36" s="1518"/>
      <c r="I36" s="4359"/>
      <c r="J36" s="4303"/>
      <c r="K36" s="1501"/>
      <c r="L36" s="4295"/>
      <c r="M36" s="4295"/>
      <c r="N36" s="1508"/>
      <c r="O36" s="4295"/>
      <c r="P36" s="4303"/>
      <c r="Q36" s="1509"/>
      <c r="R36" s="4295"/>
      <c r="S36" s="4295"/>
      <c r="T36" s="1510"/>
      <c r="U36" s="4295"/>
      <c r="V36" s="4303"/>
      <c r="W36" s="1511"/>
      <c r="X36" s="4295"/>
      <c r="Y36" s="4295"/>
      <c r="Z36" s="1508"/>
      <c r="AA36" s="4295"/>
      <c r="AB36" s="4303"/>
      <c r="AC36" s="1512"/>
      <c r="AD36" s="4295"/>
      <c r="AE36" s="4295"/>
      <c r="AF36" s="1513"/>
      <c r="AG36" s="1513"/>
      <c r="AH36" s="4362"/>
      <c r="AI36" s="4363"/>
      <c r="AJ36" s="1492"/>
      <c r="BM36" s="229">
        <v>14</v>
      </c>
    </row>
    <row r="37" spans="4:65" ht="14.65" customHeight="1">
      <c r="D37" s="4353"/>
      <c r="E37" s="4355"/>
      <c r="F37" s="4355"/>
      <c r="G37" s="4338"/>
      <c r="H37" s="1518"/>
      <c r="I37" s="4359"/>
      <c r="J37" s="4303"/>
      <c r="K37" s="1501"/>
      <c r="L37" s="4295"/>
      <c r="M37" s="4295"/>
      <c r="N37" s="1508"/>
      <c r="O37" s="4295"/>
      <c r="P37" s="4303"/>
      <c r="Q37" s="1509"/>
      <c r="R37" s="4295"/>
      <c r="S37" s="4295"/>
      <c r="T37" s="1510"/>
      <c r="U37" s="4295"/>
      <c r="V37" s="4303"/>
      <c r="W37" s="1511"/>
      <c r="X37" s="4295"/>
      <c r="Y37" s="4295"/>
      <c r="Z37" s="1430"/>
      <c r="AA37" s="1513"/>
      <c r="AB37" s="4362"/>
      <c r="AC37" s="4362"/>
      <c r="AD37" s="4362"/>
      <c r="AE37" s="4362"/>
      <c r="AF37" s="4362"/>
      <c r="AG37" s="4362"/>
      <c r="AH37" s="4362"/>
      <c r="AI37" s="4363"/>
      <c r="AJ37" s="1492"/>
      <c r="BM37" s="229">
        <v>14</v>
      </c>
    </row>
    <row r="38" spans="4:65" ht="14.65" customHeight="1">
      <c r="D38" s="4353"/>
      <c r="E38" s="4355"/>
      <c r="F38" s="4355"/>
      <c r="G38" s="4338"/>
      <c r="H38" s="1518"/>
      <c r="I38" s="4359"/>
      <c r="J38" s="4303"/>
      <c r="K38" s="1501"/>
      <c r="L38" s="4295"/>
      <c r="M38" s="4295"/>
      <c r="N38" s="1508"/>
      <c r="O38" s="4295"/>
      <c r="P38" s="4303"/>
      <c r="Q38" s="1509"/>
      <c r="R38" s="4295"/>
      <c r="S38" s="4295"/>
      <c r="T38" s="1514"/>
      <c r="U38" s="1515"/>
      <c r="V38" s="4362"/>
      <c r="W38" s="4362"/>
      <c r="X38" s="4362"/>
      <c r="Y38" s="4362"/>
      <c r="Z38" s="4362"/>
      <c r="AA38" s="4362"/>
      <c r="AB38" s="4362"/>
      <c r="AC38" s="4362"/>
      <c r="AD38" s="4362"/>
      <c r="AE38" s="4362"/>
      <c r="AF38" s="4362"/>
      <c r="AG38" s="4362"/>
      <c r="AH38" s="4362"/>
      <c r="AI38" s="4363"/>
      <c r="AJ38" s="1492"/>
      <c r="BM38" s="229">
        <v>14</v>
      </c>
    </row>
    <row r="39" spans="4:65" ht="11.45" customHeight="1">
      <c r="D39" s="4353"/>
      <c r="E39" s="4355"/>
      <c r="F39" s="4355"/>
      <c r="G39" s="4338"/>
      <c r="H39" s="1519"/>
      <c r="I39" s="4359"/>
      <c r="J39" s="4303"/>
      <c r="K39" s="1501"/>
      <c r="L39" s="4295"/>
      <c r="M39" s="4295"/>
      <c r="N39" s="1513"/>
      <c r="O39" s="1513"/>
      <c r="P39" s="4362"/>
      <c r="Q39" s="4362"/>
      <c r="R39" s="4362"/>
      <c r="S39" s="4362"/>
      <c r="T39" s="4362"/>
      <c r="U39" s="4362"/>
      <c r="V39" s="4362"/>
      <c r="W39" s="4362"/>
      <c r="X39" s="4362"/>
      <c r="Y39" s="4362"/>
      <c r="Z39" s="4362"/>
      <c r="AA39" s="4362"/>
      <c r="AB39" s="4362"/>
      <c r="AC39" s="4362"/>
      <c r="AD39" s="4362"/>
      <c r="AE39" s="4362"/>
      <c r="AF39" s="4362"/>
      <c r="AG39" s="4362"/>
      <c r="AH39" s="4362"/>
      <c r="AI39" s="4363"/>
      <c r="AJ39" s="1492"/>
      <c r="BM39" s="229">
        <v>11</v>
      </c>
    </row>
    <row r="40" spans="4:65" s="4155" customFormat="1" ht="11.45" customHeight="1">
      <c r="D40" s="4353"/>
      <c r="E40" s="4355"/>
      <c r="F40" s="4364"/>
      <c r="G40" s="4289"/>
      <c r="H40" s="1516"/>
      <c r="I40" s="1520"/>
      <c r="J40" s="4360"/>
      <c r="K40" s="4360"/>
      <c r="L40" s="4360"/>
      <c r="M40" s="4360"/>
      <c r="N40" s="4360"/>
      <c r="O40" s="4360"/>
      <c r="P40" s="4360"/>
      <c r="Q40" s="4360"/>
      <c r="R40" s="4360"/>
      <c r="S40" s="4360"/>
      <c r="T40" s="4360"/>
      <c r="U40" s="4360"/>
      <c r="V40" s="4360"/>
      <c r="W40" s="4360"/>
      <c r="X40" s="4360"/>
      <c r="Y40" s="4360"/>
      <c r="Z40" s="4360"/>
      <c r="AA40" s="4360"/>
      <c r="AB40" s="4360"/>
      <c r="AC40" s="4360"/>
      <c r="AD40" s="4360"/>
      <c r="AE40" s="4360"/>
      <c r="AF40" s="4360"/>
      <c r="AG40" s="4360"/>
      <c r="AH40" s="4360"/>
      <c r="AI40" s="436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86</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4143" customWidth="1"/>
    <col min="2" max="2" width="34.5703125" style="4143" customWidth="1"/>
    <col min="3" max="3" width="85" style="4143" customWidth="1"/>
    <col min="4" max="4" width="17" style="4143" customWidth="1"/>
    <col min="5" max="5" width="8" style="4143" customWidth="1"/>
    <col min="6" max="6" width="9.140625" style="4143" hidden="1"/>
  </cols>
  <sheetData>
    <row r="1" spans="1:6" ht="3" customHeight="1">
      <c r="F1" s="29" t="s">
        <v>14</v>
      </c>
    </row>
    <row r="2" spans="1:6" ht="22.5" customHeight="1">
      <c r="B2" s="4607" t="s">
        <v>1941</v>
      </c>
      <c r="C2" s="4607"/>
      <c r="D2" s="4607"/>
      <c r="E2" s="204"/>
      <c r="F2" s="29">
        <v>22</v>
      </c>
    </row>
    <row r="3" spans="1:6" ht="3" customHeight="1">
      <c r="F3" s="29">
        <v>3</v>
      </c>
    </row>
    <row r="4" spans="1:6" ht="23.25" customHeight="1">
      <c r="B4" s="1989" t="s">
        <v>1942</v>
      </c>
      <c r="C4" s="318" t="s">
        <v>1943</v>
      </c>
      <c r="D4" s="318" t="s">
        <v>1944</v>
      </c>
      <c r="F4" s="29">
        <v>22</v>
      </c>
    </row>
    <row r="5" spans="1:6" ht="11.25" hidden="1" customHeight="1">
      <c r="A5" s="29" t="s">
        <v>86</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4143" customWidth="1"/>
    <col min="2" max="2" width="10" style="4143" customWidth="1"/>
    <col min="3" max="3" width="9.140625" style="4143"/>
    <col min="4" max="4" width="11.140625" style="4143" customWidth="1"/>
    <col min="5" max="5" width="16.5703125" style="4143" customWidth="1"/>
    <col min="6" max="6" width="16.28515625" style="4143" customWidth="1"/>
    <col min="7" max="7" width="19.140625" style="4143" customWidth="1"/>
    <col min="8" max="11" width="10" style="4143" customWidth="1"/>
    <col min="12" max="12" width="12.7109375" style="4143" customWidth="1"/>
    <col min="13" max="13" width="61.28515625" style="4143" customWidth="1"/>
    <col min="14" max="14" width="10" style="4143" customWidth="1"/>
    <col min="15" max="17" width="23.7109375" style="4143" customWidth="1"/>
    <col min="18" max="18" width="11.7109375" style="4143" customWidth="1"/>
    <col min="19" max="19" width="8.5703125" style="4143" customWidth="1"/>
    <col min="20" max="20" width="11.7109375" style="4143" customWidth="1"/>
    <col min="21" max="21" width="8.5703125" style="4143" customWidth="1"/>
    <col min="22" max="22" width="4.7109375" style="4143" customWidth="1"/>
    <col min="23" max="23" width="115.7109375" style="4143" customWidth="1"/>
    <col min="24" max="24" width="115.28515625" style="4143" customWidth="1"/>
    <col min="25" max="27" width="9.140625" style="4143"/>
    <col min="28" max="28" width="115.7109375" style="4143" customWidth="1"/>
    <col min="29" max="29" width="9.140625" style="4143"/>
    <col min="30" max="90" width="115.7109375" style="4143" customWidth="1"/>
    <col min="91" max="184" width="9.140625" style="4143"/>
  </cols>
  <sheetData>
    <row r="2" spans="1:80" s="4227" customFormat="1" ht="17.25" customHeight="1">
      <c r="A2" s="1732" t="s">
        <v>1945</v>
      </c>
    </row>
    <row r="4" spans="1:80" s="4225" customFormat="1" ht="15" customHeight="1">
      <c r="C4" s="1733"/>
      <c r="D4" s="53"/>
      <c r="E4" s="312"/>
    </row>
    <row r="6" spans="1:80" s="4227" customFormat="1" ht="17.25" customHeight="1">
      <c r="A6" s="1732" t="s">
        <v>1946</v>
      </c>
    </row>
    <row r="8" spans="1:80" s="4225" customFormat="1" ht="17.25" customHeight="1">
      <c r="C8" s="1734"/>
      <c r="D8" s="53"/>
      <c r="E8" s="54"/>
    </row>
    <row r="11" spans="1:80" s="4227" customFormat="1" ht="17.25" customHeight="1">
      <c r="A11" s="1732" t="s">
        <v>1947</v>
      </c>
    </row>
    <row r="13" spans="1:80" s="4142" customFormat="1" ht="15" customHeight="1">
      <c r="A13" s="4390">
        <v>1</v>
      </c>
      <c r="B13" s="1078"/>
      <c r="C13" s="730" t="s">
        <v>175</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4143" customFormat="1" ht="15" customHeight="1">
      <c r="A14" s="4390"/>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4143" customFormat="1" ht="15" customHeight="1">
      <c r="A15" s="4390"/>
      <c r="B15" s="1078"/>
      <c r="C15" s="347"/>
      <c r="D15" s="730"/>
      <c r="E15" s="356"/>
      <c r="F15" s="114"/>
      <c r="G15" s="350" t="s">
        <v>106</v>
      </c>
      <c r="H15" s="124"/>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4227" customFormat="1" ht="17.25" customHeight="1">
      <c r="A17" s="1732" t="s">
        <v>1948</v>
      </c>
    </row>
    <row r="19" spans="1:80" s="4143" customFormat="1" ht="15" customHeight="1">
      <c r="A19" s="1797"/>
      <c r="B19" s="1284">
        <v>1</v>
      </c>
      <c r="C19" s="1284"/>
      <c r="D19" s="729" t="s">
        <v>175</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4143" customFormat="1" ht="15" customHeight="1">
      <c r="A21" s="1732" t="s">
        <v>1949</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4143" customFormat="1" ht="15" customHeight="1">
      <c r="U22" s="122"/>
    </row>
    <row r="23" spans="1:80" s="4149" customFormat="1" ht="15" customHeight="1">
      <c r="A23" s="358"/>
      <c r="B23" s="358"/>
      <c r="C23" s="1645" t="s">
        <v>175</v>
      </c>
      <c r="D23" s="4285" t="s">
        <v>113</v>
      </c>
      <c r="E23" s="4286"/>
      <c r="F23" s="4284" t="s">
        <v>19</v>
      </c>
      <c r="G23" s="4642"/>
      <c r="H23" s="4274">
        <v>1</v>
      </c>
      <c r="I23" s="4644" t="str">
        <f>IF(U23="","",INDEX(TERRITORY_MR_LIST,MATCH(U23,TERRITORY_LIST_ID,0)))</f>
        <v/>
      </c>
      <c r="J23" s="4284" t="s">
        <v>19</v>
      </c>
      <c r="K23" s="761"/>
      <c r="L23" s="1699" t="s">
        <v>113</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4149" customFormat="1" ht="15" customHeight="1">
      <c r="A24" s="358"/>
      <c r="B24" s="358"/>
      <c r="C24" s="113"/>
      <c r="D24" s="4285"/>
      <c r="E24" s="4287"/>
      <c r="F24" s="4284"/>
      <c r="G24" s="4643"/>
      <c r="H24" s="4274"/>
      <c r="I24" s="4645"/>
      <c r="J24" s="4284"/>
      <c r="K24" s="356"/>
      <c r="L24" s="114"/>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4149" customFormat="1" ht="15" customHeight="1">
      <c r="A25" s="358"/>
      <c r="B25" s="358"/>
      <c r="C25" s="113"/>
      <c r="D25" s="4285"/>
      <c r="E25" s="4288"/>
      <c r="F25" s="4284"/>
      <c r="G25" s="356"/>
      <c r="H25" s="114"/>
      <c r="I25" s="515" t="s">
        <v>123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4143" customFormat="1" ht="15" customHeight="1">
      <c r="U26" s="122"/>
    </row>
    <row r="27" spans="1:80" s="4143" customFormat="1" ht="15" customHeight="1">
      <c r="A27" s="1732" t="s">
        <v>1950</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4143" customFormat="1" ht="15" customHeight="1">
      <c r="U28" s="122"/>
    </row>
    <row r="29" spans="1:80" s="4149" customFormat="1" ht="15" customHeight="1">
      <c r="A29" s="358"/>
      <c r="B29" s="358"/>
      <c r="C29" s="113"/>
      <c r="D29" s="1736"/>
      <c r="E29" s="1736"/>
      <c r="F29" s="1736"/>
      <c r="G29" s="4646" t="s">
        <v>175</v>
      </c>
      <c r="H29" s="4255">
        <v>1</v>
      </c>
      <c r="I29" s="4647" t="str">
        <f>IF(U29="","",INDEX(TERRITORY_MR_LIST,MATCH(U29,TERRITORY_LIST_ID,0)))</f>
        <v/>
      </c>
      <c r="J29" s="4284" t="s">
        <v>19</v>
      </c>
      <c r="K29" s="761"/>
      <c r="L29" s="1699" t="s">
        <v>113</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4149" customFormat="1" ht="15" customHeight="1">
      <c r="A30" s="358"/>
      <c r="B30" s="358"/>
      <c r="C30" s="113"/>
      <c r="D30" s="1736"/>
      <c r="E30" s="1736"/>
      <c r="F30" s="1736"/>
      <c r="G30" s="4646"/>
      <c r="H30" s="4255"/>
      <c r="I30" s="4647"/>
      <c r="J30" s="4284"/>
      <c r="K30" s="356"/>
      <c r="L30" s="114"/>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4143" customFormat="1" ht="15" customHeight="1">
      <c r="U31" s="122"/>
    </row>
    <row r="32" spans="1:80" s="4143" customFormat="1" ht="15" customHeight="1">
      <c r="A32" s="1732" t="s">
        <v>1951</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4143" customFormat="1" ht="15" customHeight="1">
      <c r="U33" s="122"/>
    </row>
    <row r="34" spans="1:38" s="4149" customFormat="1" ht="15" customHeight="1">
      <c r="A34" s="358"/>
      <c r="B34" s="358"/>
      <c r="C34" s="113"/>
      <c r="D34" s="1736"/>
      <c r="E34" s="1736"/>
      <c r="F34" s="1736"/>
      <c r="G34" s="1736"/>
      <c r="H34" s="1736"/>
      <c r="I34" s="1736"/>
      <c r="J34" s="1736"/>
      <c r="K34" s="1716" t="s">
        <v>175</v>
      </c>
      <c r="L34" s="1646" t="s">
        <v>113</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4143" customFormat="1" ht="15" customHeight="1">
      <c r="U35" s="122"/>
    </row>
    <row r="36" spans="1:38" s="4143" customFormat="1" ht="15" customHeight="1">
      <c r="U36" s="122"/>
    </row>
    <row r="37" spans="1:38" s="4227" customFormat="1" ht="11.25" customHeight="1">
      <c r="A37" s="1732" t="s">
        <v>1952</v>
      </c>
    </row>
    <row r="38" spans="1:38" ht="11.25" customHeight="1"/>
    <row r="39" spans="1:38" s="4161" customFormat="1" ht="22.5" customHeight="1">
      <c r="A39" s="1708"/>
      <c r="B39" s="392"/>
      <c r="C39" s="784"/>
      <c r="D39" s="375"/>
      <c r="E39" s="785"/>
      <c r="F39" s="1729"/>
      <c r="G39" s="1737"/>
      <c r="H39" s="410"/>
    </row>
    <row r="40" spans="1:38" ht="11.25" customHeight="1"/>
    <row r="41" spans="1:38" s="4227" customFormat="1" ht="11.25" customHeight="1">
      <c r="A41" s="1732" t="s">
        <v>1953</v>
      </c>
    </row>
    <row r="42" spans="1:38" ht="11.25" customHeight="1"/>
    <row r="43" spans="1:38" s="4161" customFormat="1" ht="22.5" customHeight="1">
      <c r="A43" s="392"/>
      <c r="B43" s="392"/>
      <c r="C43" s="392"/>
      <c r="D43" s="375"/>
      <c r="E43" s="785"/>
      <c r="F43" s="786"/>
      <c r="G43" s="1737"/>
      <c r="H43" s="410"/>
    </row>
    <row r="44" spans="1:38" ht="11.25" customHeight="1"/>
    <row r="45" spans="1:38" s="4227" customFormat="1" ht="11.25" customHeight="1">
      <c r="A45" s="1732" t="s">
        <v>1954</v>
      </c>
    </row>
    <row r="46" spans="1:38" ht="11.25" customHeight="1"/>
    <row r="47" spans="1:38" s="4161" customFormat="1" ht="24" customHeight="1">
      <c r="A47" s="4366" t="s">
        <v>334</v>
      </c>
      <c r="B47" s="437"/>
      <c r="C47" s="4377"/>
      <c r="D47" s="380" t="str">
        <f>A47</f>
        <v>5.1</v>
      </c>
      <c r="E47" s="377" t="s">
        <v>335</v>
      </c>
      <c r="F47" s="1888" t="s">
        <v>327</v>
      </c>
      <c r="G47" s="379" t="s">
        <v>336</v>
      </c>
      <c r="H47" s="410"/>
      <c r="I47" s="777"/>
    </row>
    <row r="48" spans="1:38" s="4161" customFormat="1" ht="22.5" customHeight="1">
      <c r="A48" s="4366"/>
      <c r="B48" s="437"/>
      <c r="C48" s="4377"/>
      <c r="D48" s="375" t="str">
        <f>D47&amp;".1"</f>
        <v>5.1.1</v>
      </c>
      <c r="E48" s="374" t="s">
        <v>337</v>
      </c>
      <c r="F48" s="1889" t="s">
        <v>28</v>
      </c>
      <c r="G48" s="409"/>
      <c r="H48" s="410"/>
      <c r="I48" s="777"/>
    </row>
    <row r="49" spans="1:45" s="4161" customFormat="1" ht="22.5" customHeight="1">
      <c r="A49" s="4366"/>
      <c r="B49" s="437"/>
      <c r="C49" s="4377"/>
      <c r="D49" s="375" t="str">
        <f>D47&amp;".2"</f>
        <v>5.1.2</v>
      </c>
      <c r="E49" s="374" t="s">
        <v>338</v>
      </c>
      <c r="F49" s="1649" t="s">
        <v>28</v>
      </c>
      <c r="G49" s="379" t="s">
        <v>339</v>
      </c>
      <c r="H49" s="410"/>
      <c r="I49" s="777"/>
    </row>
    <row r="50" spans="1:45" s="4161" customFormat="1" ht="22.5" customHeight="1">
      <c r="A50" s="4366"/>
      <c r="B50" s="437"/>
      <c r="C50" s="4377"/>
      <c r="D50" s="375" t="str">
        <f>D47&amp;".3"</f>
        <v>5.1.3</v>
      </c>
      <c r="E50" s="374" t="s">
        <v>340</v>
      </c>
      <c r="F50" s="1889" t="s">
        <v>28</v>
      </c>
      <c r="G50" s="409"/>
      <c r="H50" s="410"/>
      <c r="I50" s="777"/>
    </row>
    <row r="51" spans="1:45" s="4161" customFormat="1" ht="22.5" customHeight="1">
      <c r="A51" s="4366"/>
      <c r="B51" s="437"/>
      <c r="C51" s="4377"/>
      <c r="D51" s="375" t="str">
        <f>D47&amp;".4"</f>
        <v>5.1.4</v>
      </c>
      <c r="E51" s="374" t="s">
        <v>341</v>
      </c>
      <c r="F51" s="1889" t="s">
        <v>28</v>
      </c>
      <c r="G51" s="379" t="s">
        <v>342</v>
      </c>
      <c r="H51" s="410"/>
      <c r="I51" s="777"/>
    </row>
    <row r="54" spans="1:45" s="4227" customFormat="1" ht="17.25" customHeight="1">
      <c r="A54" s="1732" t="s">
        <v>1955</v>
      </c>
    </row>
    <row r="56" spans="1:45" s="4132" customFormat="1" ht="18.75" customHeight="1">
      <c r="A56" s="29"/>
      <c r="B56" s="1738"/>
      <c r="C56" s="1738"/>
      <c r="D56" s="1739"/>
      <c r="E56" s="1726"/>
      <c r="F56" s="793">
        <v>13</v>
      </c>
      <c r="G56" s="792"/>
      <c r="H56" s="722"/>
      <c r="I56" s="720"/>
      <c r="J56" s="455" t="s">
        <v>65</v>
      </c>
      <c r="K56" s="1740" t="s">
        <v>28</v>
      </c>
      <c r="L56" s="29"/>
      <c r="M56" s="1554"/>
      <c r="N56" s="1554"/>
      <c r="O56" s="1554"/>
      <c r="P56" s="451" t="s">
        <v>413</v>
      </c>
      <c r="Q56" s="451" t="s">
        <v>414</v>
      </c>
      <c r="R56" s="452" t="s">
        <v>415</v>
      </c>
      <c r="S56" s="1554" t="s">
        <v>416</v>
      </c>
      <c r="T56" s="1554"/>
      <c r="U56" s="1554"/>
      <c r="V56" s="1554"/>
    </row>
    <row r="58" spans="1:45" s="4227" customFormat="1" ht="11.25" customHeight="1">
      <c r="A58" s="1732" t="s">
        <v>1956</v>
      </c>
    </row>
    <row r="60" spans="1:45" s="4133"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9"/>
      <c r="AF60" s="29"/>
      <c r="AG60" s="29"/>
      <c r="AH60" s="29"/>
      <c r="AJ60" s="1554"/>
      <c r="AK60" s="1554"/>
      <c r="AL60" s="1554"/>
      <c r="AM60" s="1554"/>
      <c r="AN60" s="1554"/>
      <c r="AO60" s="1554"/>
      <c r="AP60" s="1542" t="s">
        <v>402</v>
      </c>
      <c r="AQ60" s="1542" t="s">
        <v>402</v>
      </c>
      <c r="AR60" s="1554"/>
      <c r="AS60" s="1554"/>
    </row>
    <row r="62" spans="1:45" s="4227" customFormat="1" ht="11.25" customHeight="1">
      <c r="A62" s="1732" t="s">
        <v>1957</v>
      </c>
    </row>
    <row r="64" spans="1:45" s="4215" customFormat="1" ht="15" customHeight="1">
      <c r="A64" s="83" t="s">
        <v>94</v>
      </c>
      <c r="B64" s="65" t="s">
        <v>28</v>
      </c>
      <c r="C64" s="1741"/>
      <c r="D64" s="68"/>
      <c r="E64" s="316"/>
      <c r="F64" s="316"/>
      <c r="G64" s="1720"/>
      <c r="H64" s="1740"/>
      <c r="I64" s="1721"/>
      <c r="K64" s="208"/>
      <c r="L64" s="209"/>
    </row>
    <row r="66" spans="1:30" s="4227" customFormat="1" ht="11.25" customHeight="1">
      <c r="A66" s="1732" t="s">
        <v>1958</v>
      </c>
    </row>
    <row r="68" spans="1:30" s="4133" customFormat="1" ht="14.25" customHeight="1">
      <c r="A68" s="279"/>
      <c r="B68" s="1078"/>
      <c r="C68" s="311"/>
      <c r="D68" s="1727"/>
      <c r="E68" s="810"/>
      <c r="F68" s="1740"/>
      <c r="G68" s="29"/>
      <c r="I68" s="1542"/>
      <c r="J68" s="1542"/>
    </row>
    <row r="70" spans="1:30" s="4227" customFormat="1" ht="11.25" customHeight="1">
      <c r="A70" s="1732" t="s">
        <v>1959</v>
      </c>
    </row>
    <row r="72" spans="1:30" s="4133" customFormat="1" ht="27" customHeight="1">
      <c r="A72" s="1084"/>
      <c r="B72" s="1084"/>
      <c r="C72" s="1084"/>
      <c r="D72" s="1078"/>
      <c r="E72" s="1742"/>
      <c r="F72" s="4608"/>
      <c r="G72" s="4609"/>
      <c r="H72" s="4610" t="s">
        <v>65</v>
      </c>
      <c r="I72" s="4612"/>
      <c r="J72" s="4614"/>
      <c r="K72" s="4616"/>
      <c r="L72" s="4627"/>
      <c r="M72" s="4627"/>
      <c r="N72" s="4650"/>
      <c r="O72" s="4650"/>
      <c r="P72" s="4651" t="e">
        <f>DATEDIF(DATEVALUE(N72),DATEVALUE(O72),"y")&amp;"г. "&amp;DATEDIF(DATEVALUE(N72),DATEVALUE(O72),"ym")&amp;"мес. "&amp;DATEVALUE(O72)-DATE(YEAR(DATEVALUE(O72)),MONTH(DATEVALUE(O72)),1)&amp;"дн. "</f>
        <v>#VALUE!</v>
      </c>
      <c r="Q72" s="4628"/>
      <c r="R72" s="4628"/>
      <c r="S72" s="4628"/>
      <c r="T72" s="4614"/>
      <c r="U72" s="4628"/>
      <c r="V72" s="4628"/>
      <c r="W72" s="4628"/>
      <c r="X72" s="4614"/>
      <c r="Y72" s="4648" t="s">
        <v>65</v>
      </c>
      <c r="Z72" s="1725"/>
      <c r="AA72" s="1709">
        <v>1</v>
      </c>
      <c r="AB72" s="1160"/>
      <c r="AD72" s="1554" t="s">
        <v>1960</v>
      </c>
    </row>
    <row r="73" spans="1:30" s="4133" customFormat="1" ht="10.5" customHeight="1">
      <c r="A73" s="1084"/>
      <c r="B73" s="1084"/>
      <c r="C73" s="1084"/>
      <c r="D73" s="1078"/>
      <c r="E73" s="871"/>
      <c r="F73" s="4608"/>
      <c r="G73" s="4609"/>
      <c r="H73" s="4611"/>
      <c r="I73" s="4613"/>
      <c r="J73" s="4615"/>
      <c r="K73" s="4616"/>
      <c r="L73" s="4627"/>
      <c r="M73" s="4627"/>
      <c r="N73" s="4650"/>
      <c r="O73" s="4650"/>
      <c r="P73" s="4651"/>
      <c r="Q73" s="4628"/>
      <c r="R73" s="4628"/>
      <c r="S73" s="4628"/>
      <c r="T73" s="4615"/>
      <c r="U73" s="4628"/>
      <c r="V73" s="4628"/>
      <c r="W73" s="4628"/>
      <c r="X73" s="4615"/>
      <c r="Y73" s="4649"/>
      <c r="Z73" s="283"/>
      <c r="AA73" s="507"/>
      <c r="AB73" s="587" t="s">
        <v>1961</v>
      </c>
    </row>
    <row r="75" spans="1:30" s="4227" customFormat="1" ht="11.25" customHeight="1">
      <c r="A75" s="1732" t="s">
        <v>1962</v>
      </c>
    </row>
    <row r="77" spans="1:30" s="4133"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1960</v>
      </c>
    </row>
    <row r="79" spans="1:30" s="4227" customFormat="1" ht="11.25" customHeight="1">
      <c r="A79" s="1732" t="s">
        <v>1963</v>
      </c>
    </row>
    <row r="80" spans="1:30" ht="17.25" customHeight="1"/>
    <row r="81" spans="1:58" s="4133"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4133" customFormat="1" ht="0.75" customHeight="1">
      <c r="A82" s="1084"/>
      <c r="B82" s="1084"/>
      <c r="C82" s="1084"/>
      <c r="D82" s="1078"/>
      <c r="E82" s="1088"/>
      <c r="F82" s="4654"/>
      <c r="G82" s="4565"/>
      <c r="H82" s="4657" t="s">
        <v>397</v>
      </c>
      <c r="I82" s="4658"/>
      <c r="J82" s="4620"/>
      <c r="K82" s="4620"/>
      <c r="L82" s="4652"/>
      <c r="M82" s="4409"/>
      <c r="N82" s="1948"/>
      <c r="O82" s="1947"/>
      <c r="P82" s="1948"/>
      <c r="Q82" s="1948"/>
      <c r="R82" s="1948"/>
      <c r="S82" s="1948"/>
      <c r="T82" s="1948"/>
      <c r="U82" s="1948"/>
      <c r="V82" s="1948"/>
      <c r="W82" s="1948"/>
      <c r="X82" s="1948"/>
      <c r="Y82" s="1948"/>
      <c r="Z82" s="1948"/>
      <c r="AA82" s="1948"/>
      <c r="AB82" s="1948"/>
      <c r="AC82" s="1948"/>
      <c r="AD82" s="1948"/>
      <c r="AE82" s="1948"/>
      <c r="AF82" s="4656"/>
      <c r="AG82" s="4652"/>
      <c r="AH82" s="4652"/>
      <c r="AI82" s="4656"/>
      <c r="AJ82" s="4652"/>
      <c r="AK82" s="4652"/>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4133" customFormat="1" ht="0.75" customHeight="1">
      <c r="A83" s="1084"/>
      <c r="B83" s="1084"/>
      <c r="C83" s="1084"/>
      <c r="D83" s="1078"/>
      <c r="E83" s="1088"/>
      <c r="F83" s="4654"/>
      <c r="G83" s="4565"/>
      <c r="H83" s="4657"/>
      <c r="I83" s="4658"/>
      <c r="J83" s="4620"/>
      <c r="K83" s="4620"/>
      <c r="L83" s="4652"/>
      <c r="M83" s="4409"/>
      <c r="N83" s="4659"/>
      <c r="O83" s="4660"/>
      <c r="P83" s="4617"/>
      <c r="Q83" s="4620"/>
      <c r="R83" s="4620"/>
      <c r="S83" s="4620"/>
      <c r="T83" s="4620"/>
      <c r="U83" s="4620"/>
      <c r="V83" s="4620"/>
      <c r="W83" s="4620"/>
      <c r="X83" s="4620"/>
      <c r="Y83" s="4620"/>
      <c r="Z83" s="1949"/>
      <c r="AA83" s="1950"/>
      <c r="AB83" s="1950"/>
      <c r="AC83" s="1951"/>
      <c r="AD83" s="1951"/>
      <c r="AE83" s="1952"/>
      <c r="AF83" s="4656"/>
      <c r="AG83" s="4652"/>
      <c r="AH83" s="4652"/>
      <c r="AI83" s="4656"/>
      <c r="AJ83" s="4652"/>
      <c r="AK83" s="4652"/>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4133" customFormat="1" ht="0.75" customHeight="1">
      <c r="A84" s="1084"/>
      <c r="B84" s="1084"/>
      <c r="C84" s="1084"/>
      <c r="D84" s="1078"/>
      <c r="E84" s="1088"/>
      <c r="F84" s="4654"/>
      <c r="G84" s="4565"/>
      <c r="H84" s="4657"/>
      <c r="I84" s="4658"/>
      <c r="J84" s="4620"/>
      <c r="K84" s="4620"/>
      <c r="L84" s="4652"/>
      <c r="M84" s="4409"/>
      <c r="N84" s="4659"/>
      <c r="O84" s="4660"/>
      <c r="P84" s="4618"/>
      <c r="Q84" s="4620"/>
      <c r="R84" s="4620"/>
      <c r="S84" s="4620"/>
      <c r="T84" s="4620"/>
      <c r="U84" s="4620"/>
      <c r="V84" s="4620"/>
      <c r="W84" s="4620"/>
      <c r="X84" s="4620"/>
      <c r="Y84" s="4620"/>
      <c r="Z84" s="1953"/>
      <c r="AA84" s="1954"/>
      <c r="AB84" s="1955"/>
      <c r="AC84" s="1956"/>
      <c r="AD84" s="1955"/>
      <c r="AE84" s="1956"/>
      <c r="AF84" s="4656"/>
      <c r="AG84" s="4652"/>
      <c r="AH84" s="4652"/>
      <c r="AI84" s="4656"/>
      <c r="AJ84" s="4652"/>
      <c r="AK84" s="4652"/>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4133" customFormat="1" ht="0.75" customHeight="1">
      <c r="A85" s="1084"/>
      <c r="B85" s="1084"/>
      <c r="C85" s="1084"/>
      <c r="D85" s="1078"/>
      <c r="E85" s="1088"/>
      <c r="F85" s="4654"/>
      <c r="G85" s="4565"/>
      <c r="H85" s="4657"/>
      <c r="I85" s="4658"/>
      <c r="J85" s="4620"/>
      <c r="K85" s="4620"/>
      <c r="L85" s="4652"/>
      <c r="M85" s="4409"/>
      <c r="N85" s="4659"/>
      <c r="O85" s="4660"/>
      <c r="P85" s="4619"/>
      <c r="Q85" s="4620"/>
      <c r="R85" s="4620"/>
      <c r="S85" s="4620"/>
      <c r="T85" s="4620"/>
      <c r="U85" s="4620"/>
      <c r="V85" s="4620"/>
      <c r="W85" s="4620"/>
      <c r="X85" s="4620"/>
      <c r="Y85" s="4620"/>
      <c r="Z85" s="1949"/>
      <c r="AA85" s="1950"/>
      <c r="AB85" s="1957"/>
      <c r="AC85" s="1951"/>
      <c r="AD85" s="1951"/>
      <c r="AE85" s="1958"/>
      <c r="AF85" s="4656"/>
      <c r="AG85" s="4652"/>
      <c r="AH85" s="4652"/>
      <c r="AI85" s="4656"/>
      <c r="AJ85" s="4652"/>
      <c r="AK85" s="4652"/>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4133" customFormat="1" ht="0.75" customHeight="1">
      <c r="A86" s="1084"/>
      <c r="B86" s="1084"/>
      <c r="C86" s="1084"/>
      <c r="D86" s="1078"/>
      <c r="E86" s="1088"/>
      <c r="F86" s="4654"/>
      <c r="G86" s="4565"/>
      <c r="H86" s="4657"/>
      <c r="I86" s="4658"/>
      <c r="J86" s="4620"/>
      <c r="K86" s="4620"/>
      <c r="L86" s="4652"/>
      <c r="M86" s="4409"/>
      <c r="N86" s="1950"/>
      <c r="O86" s="1950"/>
      <c r="P86" s="1957"/>
      <c r="Q86" s="1950"/>
      <c r="R86" s="1950"/>
      <c r="S86" s="1950"/>
      <c r="T86" s="1950"/>
      <c r="U86" s="1950"/>
      <c r="V86" s="1950"/>
      <c r="W86" s="1950"/>
      <c r="X86" s="1950"/>
      <c r="Y86" s="1950"/>
      <c r="Z86" s="1950"/>
      <c r="AA86" s="1950"/>
      <c r="AB86" s="1950"/>
      <c r="AC86" s="1950"/>
      <c r="AD86" s="1950"/>
      <c r="AE86" s="1959"/>
      <c r="AF86" s="4656"/>
      <c r="AG86" s="4652"/>
      <c r="AH86" s="4652"/>
      <c r="AI86" s="4656"/>
      <c r="AJ86" s="4652"/>
      <c r="AK86" s="4652"/>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4133" customFormat="1" ht="12" customHeight="1">
      <c r="A87" s="1084"/>
      <c r="B87" s="1084"/>
      <c r="C87" s="1084"/>
      <c r="D87" s="1078"/>
      <c r="E87" s="1088"/>
      <c r="F87" s="4655"/>
      <c r="G87" s="1108"/>
      <c r="H87" s="1108"/>
      <c r="I87" s="4653" t="s">
        <v>1964</v>
      </c>
      <c r="J87" s="4653"/>
      <c r="K87" s="4653"/>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4227" customFormat="1" ht="11.25" customHeight="1">
      <c r="A89" s="1732" t="s">
        <v>1965</v>
      </c>
    </row>
    <row r="91" spans="1:58" s="4133" customFormat="1" ht="11.25" customHeight="1">
      <c r="A91" s="1084"/>
      <c r="B91" s="1084"/>
      <c r="C91" s="1084"/>
      <c r="D91" s="1078"/>
      <c r="E91" s="1088"/>
      <c r="F91" s="1744"/>
      <c r="G91" s="1745"/>
      <c r="H91" s="1745"/>
      <c r="I91" s="1681"/>
      <c r="J91" s="1681"/>
      <c r="K91" s="1746"/>
      <c r="L91" s="1681"/>
      <c r="M91" s="1745"/>
      <c r="N91" s="4621"/>
      <c r="O91" s="4622">
        <v>1</v>
      </c>
      <c r="P91" s="4623" t="s">
        <v>19</v>
      </c>
      <c r="Q91" s="4529" t="s">
        <v>28</v>
      </c>
      <c r="R91" s="4529" t="s">
        <v>28</v>
      </c>
      <c r="S91" s="4529" t="s">
        <v>28</v>
      </c>
      <c r="T91" s="4529" t="s">
        <v>28</v>
      </c>
      <c r="U91" s="4529" t="s">
        <v>28</v>
      </c>
      <c r="V91" s="4529" t="s">
        <v>28</v>
      </c>
      <c r="W91" s="4529" t="s">
        <v>28</v>
      </c>
      <c r="X91" s="4529" t="s">
        <v>28</v>
      </c>
      <c r="Y91" s="4529"/>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4133" customFormat="1" ht="11.25" customHeight="1">
      <c r="A92" s="1084"/>
      <c r="B92" s="1084"/>
      <c r="C92" s="1084"/>
      <c r="D92" s="1078"/>
      <c r="E92" s="1088"/>
      <c r="F92" s="1744"/>
      <c r="G92" s="1745"/>
      <c r="H92" s="1745"/>
      <c r="I92" s="1682"/>
      <c r="J92" s="1682"/>
      <c r="K92" s="1746"/>
      <c r="L92" s="1682"/>
      <c r="M92" s="1745"/>
      <c r="N92" s="4621"/>
      <c r="O92" s="4622"/>
      <c r="P92" s="4624"/>
      <c r="Q92" s="4529"/>
      <c r="R92" s="4529"/>
      <c r="S92" s="4626"/>
      <c r="T92" s="4529"/>
      <c r="U92" s="4529"/>
      <c r="V92" s="4529"/>
      <c r="W92" s="4529"/>
      <c r="X92" s="4529"/>
      <c r="Y92" s="4529"/>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4133" customFormat="1" ht="11.25" customHeight="1">
      <c r="A93" s="1084"/>
      <c r="B93" s="1084"/>
      <c r="C93" s="1084"/>
      <c r="D93" s="1078"/>
      <c r="E93" s="1088"/>
      <c r="F93" s="1744"/>
      <c r="G93" s="1745"/>
      <c r="H93" s="1745"/>
      <c r="I93" s="1683"/>
      <c r="J93" s="1683"/>
      <c r="K93" s="1746"/>
      <c r="L93" s="1683"/>
      <c r="M93" s="1745"/>
      <c r="N93" s="4621"/>
      <c r="O93" s="4622"/>
      <c r="P93" s="4625"/>
      <c r="Q93" s="4529"/>
      <c r="R93" s="4529"/>
      <c r="S93" s="4626"/>
      <c r="T93" s="4529"/>
      <c r="U93" s="4529"/>
      <c r="V93" s="4529"/>
      <c r="W93" s="4529"/>
      <c r="X93" s="4529"/>
      <c r="Y93" s="4529"/>
      <c r="Z93" s="1093"/>
      <c r="AA93" s="1094"/>
      <c r="AB93" s="1159" t="s">
        <v>1966</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4227" customFormat="1" ht="11.25" customHeight="1">
      <c r="A95" s="1732" t="s">
        <v>1967</v>
      </c>
    </row>
    <row r="97" spans="1:184" s="4133"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4227" customFormat="1" ht="11.25" customHeight="1">
      <c r="A99" s="1732" t="s">
        <v>1968</v>
      </c>
    </row>
    <row r="101" spans="1:184" s="4133" customFormat="1" ht="11.25" customHeight="1">
      <c r="A101" s="1084"/>
      <c r="B101" s="1084"/>
      <c r="C101" s="1084"/>
      <c r="D101" s="1078"/>
      <c r="E101" s="1088"/>
      <c r="F101" s="1744"/>
      <c r="G101" s="1745"/>
      <c r="H101" s="4565" t="s">
        <v>113</v>
      </c>
      <c r="I101" s="4673"/>
      <c r="J101" s="4601"/>
      <c r="K101" s="4671"/>
      <c r="L101" s="4284" t="s">
        <v>19</v>
      </c>
      <c r="M101" s="4285"/>
      <c r="N101" s="1898"/>
      <c r="O101" s="1095" t="s">
        <v>397</v>
      </c>
      <c r="P101" s="1096"/>
      <c r="Q101" s="1096"/>
      <c r="R101" s="1096"/>
      <c r="S101" s="1096"/>
      <c r="T101" s="1096"/>
      <c r="U101" s="1096"/>
      <c r="V101" s="1096"/>
      <c r="W101" s="1096"/>
      <c r="X101" s="1096"/>
      <c r="Y101" s="1096"/>
      <c r="Z101" s="1096"/>
      <c r="AA101" s="1096"/>
      <c r="AB101" s="1096"/>
      <c r="AC101" s="1096"/>
      <c r="AD101" s="1096"/>
      <c r="AE101" s="1096"/>
      <c r="AF101" s="4674"/>
      <c r="AG101" s="4675"/>
      <c r="AH101" s="4675"/>
      <c r="AI101" s="4674"/>
      <c r="AJ101" s="4675"/>
      <c r="AK101" s="4675"/>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4133" customFormat="1" ht="11.25" customHeight="1">
      <c r="A102" s="1084"/>
      <c r="B102" s="1084"/>
      <c r="C102" s="1084"/>
      <c r="D102" s="1078"/>
      <c r="E102" s="1088"/>
      <c r="F102" s="1744"/>
      <c r="G102" s="1745"/>
      <c r="H102" s="4565"/>
      <c r="I102" s="4673"/>
      <c r="J102" s="4601"/>
      <c r="K102" s="4671"/>
      <c r="L102" s="4284"/>
      <c r="M102" s="4285"/>
      <c r="N102" s="4621"/>
      <c r="O102" s="4676">
        <v>1</v>
      </c>
      <c r="P102" s="4623" t="s">
        <v>19</v>
      </c>
      <c r="Q102" s="4529" t="s">
        <v>28</v>
      </c>
      <c r="R102" s="4529" t="s">
        <v>28</v>
      </c>
      <c r="S102" s="4529" t="s">
        <v>28</v>
      </c>
      <c r="T102" s="4529" t="s">
        <v>28</v>
      </c>
      <c r="U102" s="4529" t="s">
        <v>28</v>
      </c>
      <c r="V102" s="4529" t="s">
        <v>28</v>
      </c>
      <c r="W102" s="4529" t="s">
        <v>28</v>
      </c>
      <c r="X102" s="4529" t="s">
        <v>28</v>
      </c>
      <c r="Y102" s="4529"/>
      <c r="Z102" s="1093"/>
      <c r="AA102" s="1094"/>
      <c r="AB102" s="1094"/>
      <c r="AC102" s="1098"/>
      <c r="AD102" s="1098"/>
      <c r="AE102" s="1099"/>
      <c r="AF102" s="4674"/>
      <c r="AG102" s="4675"/>
      <c r="AH102" s="4675"/>
      <c r="AI102" s="4674"/>
      <c r="AJ102" s="4675"/>
      <c r="AK102" s="4675"/>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4133" customFormat="1" ht="11.25" customHeight="1">
      <c r="A103" s="1084"/>
      <c r="B103" s="1084"/>
      <c r="C103" s="1084"/>
      <c r="D103" s="1078"/>
      <c r="E103" s="1088"/>
      <c r="F103" s="1744"/>
      <c r="G103" s="1745"/>
      <c r="H103" s="4565"/>
      <c r="I103" s="4673"/>
      <c r="J103" s="4601"/>
      <c r="K103" s="4671"/>
      <c r="L103" s="4284"/>
      <c r="M103" s="4285"/>
      <c r="N103" s="4621"/>
      <c r="O103" s="4676"/>
      <c r="P103" s="4624"/>
      <c r="Q103" s="4529"/>
      <c r="R103" s="4529"/>
      <c r="S103" s="4626"/>
      <c r="T103" s="4529"/>
      <c r="U103" s="4529"/>
      <c r="V103" s="4529"/>
      <c r="W103" s="4529"/>
      <c r="X103" s="4529"/>
      <c r="Y103" s="4529"/>
      <c r="Z103" s="1743"/>
      <c r="AA103" s="1711">
        <v>1</v>
      </c>
      <c r="AB103" s="1097"/>
      <c r="AC103" s="1087"/>
      <c r="AD103" s="1097">
        <f>AB103</f>
        <v>0</v>
      </c>
      <c r="AE103" s="1087"/>
      <c r="AF103" s="4674"/>
      <c r="AG103" s="4675"/>
      <c r="AH103" s="4675"/>
      <c r="AI103" s="4674"/>
      <c r="AJ103" s="4675"/>
      <c r="AK103" s="4675"/>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4133" customFormat="1" ht="11.25" customHeight="1">
      <c r="A104" s="1084"/>
      <c r="B104" s="1084"/>
      <c r="C104" s="1084"/>
      <c r="D104" s="1078"/>
      <c r="E104" s="1088"/>
      <c r="F104" s="1744"/>
      <c r="G104" s="1745"/>
      <c r="H104" s="4565"/>
      <c r="I104" s="4673"/>
      <c r="J104" s="4601"/>
      <c r="K104" s="4671"/>
      <c r="L104" s="4284"/>
      <c r="M104" s="4285"/>
      <c r="N104" s="4621"/>
      <c r="O104" s="4676"/>
      <c r="P104" s="4625"/>
      <c r="Q104" s="4529"/>
      <c r="R104" s="4529"/>
      <c r="S104" s="4626"/>
      <c r="T104" s="4529"/>
      <c r="U104" s="4529"/>
      <c r="V104" s="4529"/>
      <c r="W104" s="4529"/>
      <c r="X104" s="4529"/>
      <c r="Y104" s="4529"/>
      <c r="Z104" s="1093"/>
      <c r="AA104" s="1094"/>
      <c r="AB104" s="1159" t="s">
        <v>1966</v>
      </c>
      <c r="AC104" s="1098"/>
      <c r="AD104" s="1098"/>
      <c r="AE104" s="1100"/>
      <c r="AF104" s="4674"/>
      <c r="AG104" s="4675"/>
      <c r="AH104" s="4675"/>
      <c r="AI104" s="4674"/>
      <c r="AJ104" s="4675"/>
      <c r="AK104" s="4675"/>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4133" customFormat="1" ht="11.25" customHeight="1">
      <c r="A105" s="1084"/>
      <c r="B105" s="1084"/>
      <c r="C105" s="1084"/>
      <c r="D105" s="1078"/>
      <c r="E105" s="1088"/>
      <c r="F105" s="1744"/>
      <c r="G105" s="1745"/>
      <c r="H105" s="4565"/>
      <c r="I105" s="4673"/>
      <c r="J105" s="4601"/>
      <c r="K105" s="4671"/>
      <c r="L105" s="4284"/>
      <c r="M105" s="4285"/>
      <c r="N105" s="1093"/>
      <c r="O105" s="1094"/>
      <c r="P105" s="1086" t="s">
        <v>1969</v>
      </c>
      <c r="Q105" s="1094"/>
      <c r="R105" s="1094"/>
      <c r="S105" s="1094"/>
      <c r="T105" s="1094"/>
      <c r="U105" s="1094"/>
      <c r="V105" s="1094"/>
      <c r="W105" s="1094"/>
      <c r="X105" s="1094"/>
      <c r="Y105" s="1094"/>
      <c r="Z105" s="1094"/>
      <c r="AA105" s="1094"/>
      <c r="AB105" s="1094"/>
      <c r="AC105" s="1094"/>
      <c r="AD105" s="1094"/>
      <c r="AE105" s="1101"/>
      <c r="AF105" s="4674"/>
      <c r="AG105" s="4675"/>
      <c r="AH105" s="4675"/>
      <c r="AI105" s="4674"/>
      <c r="AJ105" s="4675"/>
      <c r="AK105" s="4675"/>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4227" customFormat="1" ht="11.25" customHeight="1">
      <c r="A107" s="1732" t="s">
        <v>1970</v>
      </c>
    </row>
    <row r="108" spans="1:184" ht="17.25" customHeight="1"/>
    <row r="109" spans="1:184" s="4208"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4208"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4208" customFormat="1" ht="12" customHeight="1">
      <c r="A111" s="848"/>
      <c r="B111" s="847"/>
      <c r="C111" s="848"/>
      <c r="D111" s="848"/>
      <c r="E111" s="848"/>
      <c r="F111" s="1131"/>
      <c r="G111" s="1717" t="s">
        <v>1971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4227" customFormat="1" ht="11.25" customHeight="1">
      <c r="A113" s="1732" t="s">
        <v>1972</v>
      </c>
    </row>
    <row r="115" spans="1:83" s="4143" customFormat="1" ht="15" customHeight="1">
      <c r="A115" s="558"/>
      <c r="B115" s="559"/>
      <c r="C115" s="559"/>
      <c r="D115" s="4630" t="s">
        <v>113</v>
      </c>
      <c r="E115" s="4510" t="s">
        <v>109</v>
      </c>
      <c r="F115" s="4511"/>
      <c r="G115" s="4512"/>
      <c r="H115" s="4506" t="str">
        <f>IF(A115="","",INDEX(DIFFERENTIATION_UNMERGE_VD,MATCH(A115,DIFFERENTIATION_ID_DIFF,0)))</f>
        <v/>
      </c>
      <c r="I115" s="4506"/>
      <c r="J115" s="4506"/>
      <c r="K115" s="4506"/>
      <c r="L115" s="4506"/>
      <c r="M115" s="4506"/>
      <c r="N115" s="4506"/>
      <c r="O115" s="4506"/>
      <c r="P115" s="4506"/>
      <c r="Q115" s="4506"/>
      <c r="R115" s="4506"/>
      <c r="S115" s="654"/>
      <c r="T115" s="651"/>
      <c r="U115" s="560"/>
      <c r="V115" s="560"/>
      <c r="W115" s="561"/>
      <c r="X115" s="561"/>
      <c r="Y115" s="561"/>
      <c r="Z115" s="561"/>
      <c r="AA115" s="562"/>
      <c r="AB115" s="563"/>
      <c r="AC115" s="4509"/>
      <c r="AD115" s="564"/>
      <c r="AE115" s="565" t="s">
        <v>28</v>
      </c>
      <c r="AF115" s="565"/>
      <c r="AG115" s="566" t="s">
        <v>630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4143" customFormat="1" ht="15" customHeight="1">
      <c r="A116" s="558"/>
      <c r="B116" s="559"/>
      <c r="C116" s="559"/>
      <c r="D116" s="4631"/>
      <c r="E116" s="4510" t="s">
        <v>585</v>
      </c>
      <c r="F116" s="4511"/>
      <c r="G116" s="4512"/>
      <c r="H116" s="4506" t="str">
        <f>IF(A115="","",INDEX(DIFFERENTIATION_UNMERGE_AREA,MATCH(A115,DIFFERENTIATION_ID_DIFF,0)))</f>
        <v/>
      </c>
      <c r="I116" s="4506"/>
      <c r="J116" s="4506"/>
      <c r="K116" s="4506"/>
      <c r="L116" s="4506"/>
      <c r="M116" s="4506"/>
      <c r="N116" s="4506"/>
      <c r="O116" s="4506"/>
      <c r="P116" s="4506"/>
      <c r="Q116" s="4506"/>
      <c r="R116" s="4506"/>
      <c r="S116" s="654"/>
      <c r="T116" s="651"/>
      <c r="U116" s="560"/>
      <c r="V116" s="560"/>
      <c r="W116" s="561"/>
      <c r="X116" s="561"/>
      <c r="Y116" s="561"/>
      <c r="Z116" s="561"/>
      <c r="AA116" s="562"/>
      <c r="AB116" s="563"/>
      <c r="AC116" s="450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4143" customFormat="1" ht="15" customHeight="1">
      <c r="A117" s="558"/>
      <c r="B117" s="559"/>
      <c r="C117" s="559"/>
      <c r="D117" s="4631"/>
      <c r="E117" s="4510" t="s">
        <v>586</v>
      </c>
      <c r="F117" s="4511"/>
      <c r="G117" s="4512"/>
      <c r="H117" s="4506" t="str">
        <f>IF(A115="","",INDEX(DIFFERENTIATION_UNMERGE_SYSTEM,MATCH(A115,DIFFERENTIATION_ID_DIFF,0)))</f>
        <v/>
      </c>
      <c r="I117" s="4506"/>
      <c r="J117" s="4506"/>
      <c r="K117" s="4506"/>
      <c r="L117" s="4506"/>
      <c r="M117" s="4506"/>
      <c r="N117" s="4506"/>
      <c r="O117" s="4506"/>
      <c r="P117" s="4506"/>
      <c r="Q117" s="4506"/>
      <c r="R117" s="4506"/>
      <c r="S117" s="654"/>
      <c r="T117" s="651"/>
      <c r="U117" s="560"/>
      <c r="V117" s="560"/>
      <c r="W117" s="561"/>
      <c r="X117" s="561"/>
      <c r="Y117" s="561"/>
      <c r="Z117" s="561"/>
      <c r="AA117" s="562"/>
      <c r="AB117" s="563"/>
      <c r="AC117" s="450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4143" customFormat="1" ht="24.75" customHeight="1">
      <c r="A118" s="1723"/>
      <c r="B118" s="1078"/>
      <c r="C118" s="347"/>
      <c r="D118" s="4631"/>
      <c r="E118" s="4508" t="s">
        <v>631</v>
      </c>
      <c r="F118" s="4508"/>
      <c r="G118" s="4508"/>
      <c r="H118" s="4508"/>
      <c r="I118" s="4508"/>
      <c r="J118" s="4508"/>
      <c r="K118" s="4508"/>
      <c r="L118" s="4508"/>
      <c r="M118" s="4508"/>
      <c r="N118" s="4508"/>
      <c r="O118" s="4508"/>
      <c r="P118" s="4508"/>
      <c r="Q118" s="493">
        <f>SUMIF(T119:T120,"i",Q119:Q120)</f>
        <v>0</v>
      </c>
      <c r="R118" s="939"/>
      <c r="S118" s="1715" t="s">
        <v>632</v>
      </c>
      <c r="T118" s="652" t="s">
        <v>633</v>
      </c>
      <c r="U118" s="4416">
        <v>1</v>
      </c>
      <c r="V118" s="4416" t="s">
        <v>596</v>
      </c>
      <c r="W118" s="1078"/>
      <c r="X118" s="1078"/>
      <c r="Y118" s="1078"/>
      <c r="Z118" s="1078"/>
      <c r="AA118" s="1554"/>
      <c r="AB118" s="1078"/>
      <c r="AC118" s="450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4143" customFormat="1" ht="11.25" hidden="1" customHeight="1">
      <c r="A119" s="1710"/>
      <c r="B119" s="1554"/>
      <c r="C119" s="1554"/>
      <c r="D119" s="4631"/>
      <c r="E119" s="570"/>
      <c r="F119" s="570">
        <v>0</v>
      </c>
      <c r="G119" s="570"/>
      <c r="H119" s="570"/>
      <c r="I119" s="570"/>
      <c r="J119" s="570"/>
      <c r="K119" s="570"/>
      <c r="L119" s="570"/>
      <c r="M119" s="570"/>
      <c r="N119" s="570"/>
      <c r="O119" s="570"/>
      <c r="P119" s="570"/>
      <c r="Q119" s="570"/>
      <c r="R119" s="570"/>
      <c r="S119" s="571"/>
      <c r="T119" s="653"/>
      <c r="U119" s="4416"/>
      <c r="V119" s="4416"/>
      <c r="W119" s="1554"/>
      <c r="X119" s="1554"/>
      <c r="Y119" s="1554"/>
      <c r="Z119" s="1554"/>
      <c r="AA119" s="1554"/>
      <c r="AB119" s="1078"/>
      <c r="AC119" s="450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4143" customFormat="1" ht="11.25" customHeight="1">
      <c r="A120" s="1723"/>
      <c r="B120" s="1078"/>
      <c r="C120" s="347"/>
      <c r="D120" s="4631"/>
      <c r="E120" s="584" t="s">
        <v>28</v>
      </c>
      <c r="F120" s="1086" t="s">
        <v>28</v>
      </c>
      <c r="G120" s="1086" t="s">
        <v>1973</v>
      </c>
      <c r="H120" s="586" t="s">
        <v>28</v>
      </c>
      <c r="I120" s="586"/>
      <c r="J120" s="586"/>
      <c r="K120" s="586"/>
      <c r="L120" s="586"/>
      <c r="M120" s="586"/>
      <c r="N120" s="586"/>
      <c r="O120" s="586"/>
      <c r="P120" s="586"/>
      <c r="Q120" s="586"/>
      <c r="R120" s="587"/>
      <c r="S120" s="588"/>
      <c r="T120" s="653"/>
      <c r="U120" s="4416"/>
      <c r="V120" s="4416"/>
      <c r="W120" s="1078"/>
      <c r="X120" s="1078"/>
      <c r="Y120" s="1078"/>
      <c r="Z120" s="1078"/>
      <c r="AA120" s="1554"/>
      <c r="AB120" s="1078"/>
      <c r="AC120" s="450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4143" customFormat="1" ht="24.75" customHeight="1">
      <c r="A121" s="1723"/>
      <c r="B121" s="1078"/>
      <c r="C121" s="347"/>
      <c r="D121" s="4631"/>
      <c r="E121" s="4508" t="s">
        <v>634</v>
      </c>
      <c r="F121" s="4508"/>
      <c r="G121" s="4508"/>
      <c r="H121" s="4508"/>
      <c r="I121" s="4508"/>
      <c r="J121" s="4508"/>
      <c r="K121" s="4508"/>
      <c r="L121" s="4508"/>
      <c r="M121" s="4508"/>
      <c r="N121" s="4508"/>
      <c r="O121" s="4508"/>
      <c r="P121" s="4508"/>
      <c r="Q121" s="493">
        <f>SUMIF(T122:T123,"i",Q122:Q123)</f>
        <v>0</v>
      </c>
      <c r="R121" s="939"/>
      <c r="S121" s="1715" t="s">
        <v>635</v>
      </c>
      <c r="T121" s="652" t="s">
        <v>633</v>
      </c>
      <c r="U121" s="4416">
        <v>1</v>
      </c>
      <c r="V121" s="4416" t="s">
        <v>596</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4143" customFormat="1" ht="11.25" hidden="1" customHeight="1">
      <c r="A122" s="1710"/>
      <c r="B122" s="1554"/>
      <c r="C122" s="1554"/>
      <c r="D122" s="4631"/>
      <c r="E122" s="570"/>
      <c r="F122" s="570">
        <v>0</v>
      </c>
      <c r="G122" s="570"/>
      <c r="H122" s="570"/>
      <c r="I122" s="570"/>
      <c r="J122" s="570"/>
      <c r="K122" s="570"/>
      <c r="L122" s="570"/>
      <c r="M122" s="570"/>
      <c r="N122" s="570"/>
      <c r="O122" s="570"/>
      <c r="P122" s="570"/>
      <c r="Q122" s="570"/>
      <c r="R122" s="570"/>
      <c r="S122" s="571"/>
      <c r="T122" s="653"/>
      <c r="U122" s="4416"/>
      <c r="V122" s="4416"/>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4143" customFormat="1" ht="11.25" customHeight="1">
      <c r="A123" s="1723"/>
      <c r="B123" s="1078"/>
      <c r="C123" s="347"/>
      <c r="D123" s="4632"/>
      <c r="E123" s="584" t="s">
        <v>28</v>
      </c>
      <c r="F123" s="1086" t="s">
        <v>28</v>
      </c>
      <c r="G123" s="1086" t="s">
        <v>1973</v>
      </c>
      <c r="H123" s="586" t="s">
        <v>28</v>
      </c>
      <c r="I123" s="586"/>
      <c r="J123" s="586"/>
      <c r="K123" s="586"/>
      <c r="L123" s="586"/>
      <c r="M123" s="586"/>
      <c r="N123" s="586"/>
      <c r="O123" s="586"/>
      <c r="P123" s="586"/>
      <c r="Q123" s="586"/>
      <c r="R123" s="587"/>
      <c r="S123" s="588"/>
      <c r="T123" s="653"/>
      <c r="U123" s="4416"/>
      <c r="V123" s="4416"/>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4227" customFormat="1" ht="11.25" customHeight="1">
      <c r="A125" s="1732" t="s">
        <v>1974</v>
      </c>
    </row>
    <row r="127" spans="1:83" s="4143" customFormat="1" ht="15" customHeight="1">
      <c r="A127" s="558"/>
      <c r="B127" s="559"/>
      <c r="C127" s="559"/>
      <c r="D127" s="4630" t="s">
        <v>113</v>
      </c>
      <c r="E127" s="4510" t="s">
        <v>109</v>
      </c>
      <c r="F127" s="4511"/>
      <c r="G127" s="4512"/>
      <c r="H127" s="4506" t="str">
        <f>IF(A127="","",INDEX(DIFFERENTIATION_UNMERGE_VD,MATCH(A127,DIFFERENTIATION_ID_DIFF,0)))</f>
        <v/>
      </c>
      <c r="I127" s="4506"/>
      <c r="J127" s="4506"/>
      <c r="K127" s="4506"/>
      <c r="L127" s="4506"/>
      <c r="M127" s="4506"/>
      <c r="N127" s="4506"/>
      <c r="O127" s="4506"/>
      <c r="P127" s="4506"/>
      <c r="Q127" s="4506"/>
      <c r="R127" s="4506"/>
      <c r="S127" s="654"/>
      <c r="T127" s="651"/>
      <c r="U127" s="560"/>
      <c r="V127" s="560"/>
      <c r="W127" s="561"/>
      <c r="X127" s="561"/>
      <c r="Y127" s="561"/>
      <c r="Z127" s="561"/>
      <c r="AA127" s="562"/>
      <c r="AB127" s="563"/>
      <c r="AC127" s="4509"/>
      <c r="AD127" s="564"/>
      <c r="AE127" s="565" t="s">
        <v>28</v>
      </c>
      <c r="AF127" s="565"/>
      <c r="AG127" s="566" t="s">
        <v>630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4143" customFormat="1" ht="15" customHeight="1">
      <c r="A128" s="558"/>
      <c r="B128" s="559"/>
      <c r="C128" s="559"/>
      <c r="D128" s="4631"/>
      <c r="E128" s="4510" t="s">
        <v>585</v>
      </c>
      <c r="F128" s="4511"/>
      <c r="G128" s="4512"/>
      <c r="H128" s="4506" t="str">
        <f>IF(A127="","",INDEX(DIFFERENTIATION_UNMERGE_AREA,MATCH(A127,DIFFERENTIATION_ID_DIFF,0)))</f>
        <v/>
      </c>
      <c r="I128" s="4506"/>
      <c r="J128" s="4506"/>
      <c r="K128" s="4506"/>
      <c r="L128" s="4506"/>
      <c r="M128" s="4506"/>
      <c r="N128" s="4506"/>
      <c r="O128" s="4506"/>
      <c r="P128" s="4506"/>
      <c r="Q128" s="4506"/>
      <c r="R128" s="4506"/>
      <c r="S128" s="654"/>
      <c r="T128" s="651"/>
      <c r="U128" s="560"/>
      <c r="V128" s="560"/>
      <c r="W128" s="561"/>
      <c r="X128" s="561"/>
      <c r="Y128" s="561"/>
      <c r="Z128" s="561"/>
      <c r="AA128" s="562"/>
      <c r="AB128" s="563"/>
      <c r="AC128" s="450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4143" customFormat="1" ht="15" customHeight="1">
      <c r="A129" s="558"/>
      <c r="B129" s="559"/>
      <c r="C129" s="559"/>
      <c r="D129" s="4631"/>
      <c r="E129" s="4510" t="s">
        <v>586</v>
      </c>
      <c r="F129" s="4511"/>
      <c r="G129" s="4512"/>
      <c r="H129" s="4506" t="str">
        <f>IF(A127="","",INDEX(DIFFERENTIATION_UNMERGE_SYSTEM,MATCH(A127,DIFFERENTIATION_ID_DIFF,0)))</f>
        <v/>
      </c>
      <c r="I129" s="4506"/>
      <c r="J129" s="4506"/>
      <c r="K129" s="4506"/>
      <c r="L129" s="4506"/>
      <c r="M129" s="4506"/>
      <c r="N129" s="4506"/>
      <c r="O129" s="4506"/>
      <c r="P129" s="4506"/>
      <c r="Q129" s="4506"/>
      <c r="R129" s="4506"/>
      <c r="S129" s="654"/>
      <c r="T129" s="651"/>
      <c r="U129" s="560"/>
      <c r="V129" s="560"/>
      <c r="W129" s="561"/>
      <c r="X129" s="561"/>
      <c r="Y129" s="561"/>
      <c r="Z129" s="561"/>
      <c r="AA129" s="562"/>
      <c r="AB129" s="563"/>
      <c r="AC129" s="450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4143" customFormat="1" ht="24.75" customHeight="1">
      <c r="A130" s="1723"/>
      <c r="B130" s="1078"/>
      <c r="C130" s="347"/>
      <c r="D130" s="4631"/>
      <c r="E130" s="4508" t="s">
        <v>631</v>
      </c>
      <c r="F130" s="4508"/>
      <c r="G130" s="4508"/>
      <c r="H130" s="4508"/>
      <c r="I130" s="4508"/>
      <c r="J130" s="4508"/>
      <c r="K130" s="4508"/>
      <c r="L130" s="4508"/>
      <c r="M130" s="4508"/>
      <c r="N130" s="4508"/>
      <c r="O130" s="4508"/>
      <c r="P130" s="4508"/>
      <c r="Q130" s="493">
        <f>SUMIF(T131:T132,"i",Q131:Q132)</f>
        <v>0</v>
      </c>
      <c r="R130" s="939"/>
      <c r="S130" s="1715" t="s">
        <v>632</v>
      </c>
      <c r="T130" s="652" t="s">
        <v>633</v>
      </c>
      <c r="U130" s="4416">
        <v>1</v>
      </c>
      <c r="V130" s="4416" t="s">
        <v>596</v>
      </c>
      <c r="W130" s="1078"/>
      <c r="X130" s="1078"/>
      <c r="Y130" s="1078"/>
      <c r="Z130" s="1078"/>
      <c r="AA130" s="1554"/>
      <c r="AB130" s="1078"/>
      <c r="AC130" s="450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4143" customFormat="1" ht="11.25" hidden="1" customHeight="1">
      <c r="A131" s="1710"/>
      <c r="B131" s="1554"/>
      <c r="C131" s="1554"/>
      <c r="D131" s="4631"/>
      <c r="E131" s="570"/>
      <c r="F131" s="570">
        <v>0</v>
      </c>
      <c r="G131" s="570"/>
      <c r="H131" s="570"/>
      <c r="I131" s="570"/>
      <c r="J131" s="570"/>
      <c r="K131" s="570"/>
      <c r="L131" s="570"/>
      <c r="M131" s="570"/>
      <c r="N131" s="570"/>
      <c r="O131" s="570"/>
      <c r="P131" s="570"/>
      <c r="Q131" s="570"/>
      <c r="R131" s="570"/>
      <c r="S131" s="571"/>
      <c r="T131" s="653"/>
      <c r="U131" s="4416"/>
      <c r="V131" s="4416"/>
      <c r="W131" s="1554"/>
      <c r="X131" s="1554"/>
      <c r="Y131" s="1554"/>
      <c r="Z131" s="1554"/>
      <c r="AA131" s="1554"/>
      <c r="AB131" s="1078"/>
      <c r="AC131" s="450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4143" customFormat="1" ht="11.25" customHeight="1">
      <c r="A132" s="1723"/>
      <c r="B132" s="1078"/>
      <c r="C132" s="347"/>
      <c r="D132" s="4631"/>
      <c r="E132" s="584" t="s">
        <v>28</v>
      </c>
      <c r="F132" s="1086" t="s">
        <v>28</v>
      </c>
      <c r="G132" s="1086" t="s">
        <v>1973</v>
      </c>
      <c r="H132" s="586" t="s">
        <v>28</v>
      </c>
      <c r="I132" s="586"/>
      <c r="J132" s="586"/>
      <c r="K132" s="586"/>
      <c r="L132" s="586"/>
      <c r="M132" s="586"/>
      <c r="N132" s="586"/>
      <c r="O132" s="586"/>
      <c r="P132" s="586"/>
      <c r="Q132" s="586"/>
      <c r="R132" s="587"/>
      <c r="S132" s="588"/>
      <c r="T132" s="653"/>
      <c r="U132" s="4416"/>
      <c r="V132" s="4416"/>
      <c r="W132" s="1078"/>
      <c r="X132" s="1078"/>
      <c r="Y132" s="1078"/>
      <c r="Z132" s="1078"/>
      <c r="AA132" s="1554"/>
      <c r="AB132" s="1078"/>
      <c r="AC132" s="450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4153" customFormat="1" ht="5.25" hidden="1" customHeight="1">
      <c r="A133" s="1710"/>
      <c r="B133" s="1554"/>
      <c r="C133" s="1554"/>
      <c r="D133" s="4631"/>
      <c r="E133" s="961"/>
      <c r="F133" s="961"/>
      <c r="G133" s="961"/>
      <c r="H133" s="961"/>
      <c r="I133" s="961"/>
      <c r="J133" s="961"/>
      <c r="K133" s="961"/>
      <c r="L133" s="961"/>
      <c r="M133" s="961"/>
      <c r="N133" s="961"/>
      <c r="O133" s="961"/>
      <c r="P133" s="961"/>
      <c r="Q133" s="962"/>
      <c r="R133" s="963"/>
      <c r="S133" s="964"/>
      <c r="T133" s="652" t="s">
        <v>633</v>
      </c>
      <c r="U133" s="4416">
        <v>1</v>
      </c>
      <c r="V133" s="4416" t="s">
        <v>596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4153" customFormat="1" ht="5.25" hidden="1" customHeight="1">
      <c r="A134" s="1710"/>
      <c r="B134" s="1554"/>
      <c r="C134" s="1554"/>
      <c r="D134" s="4631"/>
      <c r="E134" s="570"/>
      <c r="F134" s="570"/>
      <c r="G134" s="570"/>
      <c r="H134" s="570"/>
      <c r="I134" s="570"/>
      <c r="J134" s="570"/>
      <c r="K134" s="570"/>
      <c r="L134" s="570"/>
      <c r="M134" s="570"/>
      <c r="N134" s="570"/>
      <c r="O134" s="570"/>
      <c r="P134" s="570"/>
      <c r="Q134" s="570"/>
      <c r="R134" s="570"/>
      <c r="S134" s="571"/>
      <c r="T134" s="653"/>
      <c r="U134" s="4416"/>
      <c r="V134" s="441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4153" customFormat="1" ht="5.25" hidden="1" customHeight="1">
      <c r="A135" s="1710"/>
      <c r="B135" s="1554"/>
      <c r="C135" s="1554"/>
      <c r="D135" s="4632"/>
      <c r="E135" s="965"/>
      <c r="F135" s="966"/>
      <c r="G135" s="966"/>
      <c r="H135" s="967"/>
      <c r="I135" s="967"/>
      <c r="J135" s="967"/>
      <c r="K135" s="967"/>
      <c r="L135" s="967"/>
      <c r="M135" s="967"/>
      <c r="N135" s="967"/>
      <c r="O135" s="967"/>
      <c r="P135" s="967"/>
      <c r="Q135" s="967"/>
      <c r="R135" s="870"/>
      <c r="S135" s="968"/>
      <c r="T135" s="653"/>
      <c r="U135" s="4416"/>
      <c r="V135" s="441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4227" customFormat="1" ht="11.25" customHeight="1">
      <c r="A137" s="1732" t="s">
        <v>1975</v>
      </c>
    </row>
    <row r="139" spans="1:83" s="4143" customFormat="1" ht="45" customHeight="1">
      <c r="A139" s="1723"/>
      <c r="B139" s="1078"/>
      <c r="C139" s="347"/>
      <c r="D139" s="29"/>
      <c r="E139" s="4635"/>
      <c r="F139" s="4285" t="s">
        <v>113</v>
      </c>
      <c r="G139" s="4638" t="s">
        <v>28</v>
      </c>
      <c r="H139" s="225"/>
      <c r="I139" s="572" t="s">
        <v>113</v>
      </c>
      <c r="J139" s="1724" t="s">
        <v>1976</v>
      </c>
      <c r="K139" s="573" t="s">
        <v>567</v>
      </c>
      <c r="L139" s="4379" t="s">
        <v>567</v>
      </c>
      <c r="M139" s="4333"/>
      <c r="N139" s="573" t="s">
        <v>567</v>
      </c>
      <c r="O139" s="573" t="s">
        <v>567</v>
      </c>
      <c r="P139" s="573" t="s">
        <v>567</v>
      </c>
      <c r="Q139" s="574">
        <f>SUM(Q140:Q142)</f>
        <v>0</v>
      </c>
      <c r="R139" s="574">
        <f>IF(R136=0,0,(Q136/R136)*100)</f>
        <v>0</v>
      </c>
      <c r="S139" s="4355"/>
      <c r="T139" s="652" t="s">
        <v>633</v>
      </c>
      <c r="U139" s="29"/>
      <c r="V139" s="29"/>
      <c r="AC139" s="29"/>
    </row>
    <row r="140" spans="1:83" s="4143" customFormat="1" ht="11.25" customHeight="1">
      <c r="A140" s="1723"/>
      <c r="B140" s="1078"/>
      <c r="C140" s="347"/>
      <c r="D140" s="29"/>
      <c r="E140" s="4636"/>
      <c r="F140" s="4285"/>
      <c r="G140" s="4638"/>
      <c r="H140" s="4274"/>
      <c r="I140" s="4565" t="s">
        <v>1042</v>
      </c>
      <c r="J140" s="4633"/>
      <c r="K140" s="4634"/>
      <c r="L140" s="575"/>
      <c r="M140" s="576" t="s">
        <v>113</v>
      </c>
      <c r="N140" s="1712"/>
      <c r="O140" s="577"/>
      <c r="P140" s="578"/>
      <c r="Q140" s="577"/>
      <c r="R140" s="579">
        <v>0</v>
      </c>
      <c r="S140" s="4355"/>
      <c r="T140" s="652"/>
      <c r="U140" s="29"/>
      <c r="V140" s="29"/>
      <c r="AC140" s="29"/>
    </row>
    <row r="141" spans="1:83" s="4143" customFormat="1" ht="11.25" customHeight="1">
      <c r="A141" s="1723"/>
      <c r="B141" s="1078"/>
      <c r="C141" s="347"/>
      <c r="D141" s="29"/>
      <c r="E141" s="4636"/>
      <c r="F141" s="4285"/>
      <c r="G141" s="4638"/>
      <c r="H141" s="4274"/>
      <c r="I141" s="4565"/>
      <c r="J141" s="4633"/>
      <c r="K141" s="4629"/>
      <c r="L141" s="580"/>
      <c r="M141" s="581"/>
      <c r="N141" s="582" t="s">
        <v>1977</v>
      </c>
      <c r="O141" s="582"/>
      <c r="P141" s="582"/>
      <c r="Q141" s="582"/>
      <c r="R141" s="583"/>
      <c r="S141" s="4355"/>
      <c r="T141" s="652"/>
      <c r="U141" s="29"/>
      <c r="V141" s="29"/>
      <c r="AC141" s="29"/>
    </row>
    <row r="142" spans="1:83" s="4143" customFormat="1" ht="11.25" customHeight="1">
      <c r="A142" s="1723"/>
      <c r="B142" s="1078"/>
      <c r="C142" s="347"/>
      <c r="D142" s="29"/>
      <c r="E142" s="4637"/>
      <c r="F142" s="4285"/>
      <c r="G142" s="4639"/>
      <c r="H142" s="580" t="s">
        <v>28</v>
      </c>
      <c r="I142" s="581"/>
      <c r="J142" s="582" t="s">
        <v>1978</v>
      </c>
      <c r="K142" s="582"/>
      <c r="L142" s="582"/>
      <c r="M142" s="582"/>
      <c r="N142" s="582"/>
      <c r="O142" s="582"/>
      <c r="P142" s="582"/>
      <c r="Q142" s="582"/>
      <c r="R142" s="583"/>
      <c r="S142" s="4355"/>
      <c r="T142" s="652"/>
      <c r="U142" s="29"/>
      <c r="V142" s="29"/>
      <c r="AC142" s="29"/>
    </row>
    <row r="147" spans="1:43" s="4143" customFormat="1" ht="11.25" customHeight="1">
      <c r="A147" s="1723"/>
      <c r="B147" s="1078"/>
      <c r="C147" s="347"/>
      <c r="D147" s="29"/>
      <c r="E147" s="1745"/>
      <c r="F147" s="1745"/>
      <c r="G147" s="1745"/>
      <c r="H147" s="4274"/>
      <c r="I147" s="4565" t="s">
        <v>1042</v>
      </c>
      <c r="J147" s="4633"/>
      <c r="K147" s="4634"/>
      <c r="L147" s="575"/>
      <c r="M147" s="576" t="s">
        <v>113</v>
      </c>
      <c r="N147" s="1712"/>
      <c r="O147" s="577"/>
      <c r="P147" s="578"/>
      <c r="Q147" s="577"/>
      <c r="R147" s="579">
        <v>0</v>
      </c>
      <c r="S147" s="29"/>
      <c r="T147" s="652"/>
      <c r="U147" s="29"/>
      <c r="V147" s="29"/>
      <c r="AC147" s="29"/>
    </row>
    <row r="148" spans="1:43" s="4143" customFormat="1" ht="11.25" customHeight="1">
      <c r="A148" s="1723"/>
      <c r="B148" s="1078"/>
      <c r="C148" s="347"/>
      <c r="D148" s="29"/>
      <c r="E148" s="1745"/>
      <c r="F148" s="1745"/>
      <c r="G148" s="1745"/>
      <c r="H148" s="4274"/>
      <c r="I148" s="4565"/>
      <c r="J148" s="4633"/>
      <c r="K148" s="4629"/>
      <c r="L148" s="580"/>
      <c r="M148" s="581"/>
      <c r="N148" s="582" t="s">
        <v>1977</v>
      </c>
      <c r="O148" s="582"/>
      <c r="P148" s="582"/>
      <c r="Q148" s="582"/>
      <c r="R148" s="583"/>
      <c r="S148" s="29"/>
      <c r="T148" s="652"/>
      <c r="U148" s="29"/>
      <c r="V148" s="29"/>
      <c r="AC148" s="29"/>
    </row>
    <row r="150" spans="1:43" s="4143" customFormat="1" ht="11.25" customHeight="1">
      <c r="A150" s="1723"/>
      <c r="B150" s="1078"/>
      <c r="C150" s="347"/>
      <c r="D150" s="29"/>
      <c r="E150" s="1752"/>
      <c r="F150" s="1750"/>
      <c r="G150" s="1750"/>
      <c r="H150" s="1753"/>
      <c r="I150" s="1745"/>
      <c r="J150" s="1746"/>
      <c r="K150" s="1746"/>
      <c r="L150" s="575"/>
      <c r="M150" s="576" t="s">
        <v>113</v>
      </c>
      <c r="N150" s="1712"/>
      <c r="O150" s="577"/>
      <c r="P150" s="578"/>
      <c r="Q150" s="577"/>
      <c r="R150" s="579">
        <v>0</v>
      </c>
      <c r="S150" s="29"/>
      <c r="T150" s="652"/>
      <c r="U150" s="29"/>
      <c r="V150" s="29"/>
      <c r="AC150" s="29"/>
    </row>
    <row r="152" spans="1:43" s="4227" customFormat="1" ht="17.25" customHeight="1">
      <c r="A152" s="1732" t="s">
        <v>1979</v>
      </c>
    </row>
    <row r="153" spans="1:43" ht="17.25" customHeight="1">
      <c r="G153" s="1754"/>
      <c r="H153" s="1754"/>
      <c r="I153" s="1754"/>
      <c r="M153" s="1750"/>
    </row>
    <row r="154" spans="1:43" s="4149" customFormat="1" ht="17.25" customHeight="1">
      <c r="A154" s="1755"/>
      <c r="C154" s="1757"/>
      <c r="D154" s="4343"/>
      <c r="E154" s="4296"/>
      <c r="F154" s="4309"/>
      <c r="G154" s="4334"/>
      <c r="H154" s="4343"/>
      <c r="I154" s="4343">
        <v>1</v>
      </c>
      <c r="J154" s="4341"/>
      <c r="K154" s="4337" t="s">
        <v>65</v>
      </c>
      <c r="L154" s="4285"/>
      <c r="M154" s="4285" t="s">
        <v>113</v>
      </c>
      <c r="N154" s="4640" t="str">
        <f>IF(Z154="","",INDEX(TERRITORY_MR_LIST,MATCH(Z154,TERRITORY_LIST_ID,0)))</f>
        <v/>
      </c>
      <c r="O154" s="4337" t="s">
        <v>65</v>
      </c>
      <c r="P154" s="4285"/>
      <c r="Q154" s="4285" t="s">
        <v>113</v>
      </c>
      <c r="R154" s="4629" t="s">
        <v>28</v>
      </c>
      <c r="S154" s="4284" t="s">
        <v>65</v>
      </c>
      <c r="T154" s="1728"/>
      <c r="U154" s="1728" t="s">
        <v>113</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4149" customFormat="1" ht="17.25" customHeight="1">
      <c r="A155" s="1755"/>
      <c r="C155" s="1760"/>
      <c r="D155" s="4343"/>
      <c r="E155" s="4296"/>
      <c r="F155" s="4310"/>
      <c r="G155" s="4334"/>
      <c r="H155" s="4343"/>
      <c r="I155" s="4343"/>
      <c r="J155" s="4341"/>
      <c r="K155" s="4338"/>
      <c r="L155" s="4285"/>
      <c r="M155" s="4285"/>
      <c r="N155" s="4640"/>
      <c r="O155" s="4338"/>
      <c r="P155" s="4285"/>
      <c r="Q155" s="4285"/>
      <c r="R155" s="4629"/>
      <c r="S155" s="4284"/>
      <c r="T155" s="253"/>
      <c r="U155" s="254"/>
      <c r="V155" s="254" t="s">
        <v>172</v>
      </c>
      <c r="W155" s="255"/>
      <c r="Y155" s="1177"/>
      <c r="Z155" s="1177"/>
      <c r="AA155" s="1177"/>
      <c r="AB155" s="1177"/>
      <c r="AC155" s="1177"/>
      <c r="AD155" s="1177"/>
      <c r="AE155" s="1177"/>
      <c r="AF155" s="1177"/>
      <c r="AG155" s="1177"/>
      <c r="AH155" s="1177"/>
      <c r="AI155" s="1177"/>
      <c r="AJ155" s="1177"/>
      <c r="AK155" s="1177"/>
    </row>
    <row r="156" spans="1:43" s="4149" customFormat="1" ht="17.25" customHeight="1">
      <c r="A156" s="1755"/>
      <c r="C156" s="1760"/>
      <c r="D156" s="4308"/>
      <c r="E156" s="4297"/>
      <c r="F156" s="4310"/>
      <c r="G156" s="4335"/>
      <c r="H156" s="4308"/>
      <c r="I156" s="4308"/>
      <c r="J156" s="4342"/>
      <c r="K156" s="4338"/>
      <c r="L156" s="4308"/>
      <c r="M156" s="4308"/>
      <c r="N156" s="4641"/>
      <c r="O156" s="4289"/>
      <c r="P156" s="253"/>
      <c r="Q156" s="254"/>
      <c r="R156" s="254" t="s">
        <v>173</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4149" customFormat="1" ht="17.25" customHeight="1">
      <c r="A157" s="1755"/>
      <c r="C157" s="1760"/>
      <c r="D157" s="4308"/>
      <c r="E157" s="4297"/>
      <c r="F157" s="4310"/>
      <c r="G157" s="4335"/>
      <c r="H157" s="4308"/>
      <c r="I157" s="4308"/>
      <c r="J157" s="4342"/>
      <c r="K157" s="4289"/>
      <c r="L157" s="253"/>
      <c r="M157" s="254"/>
      <c r="N157" s="254" t="s">
        <v>174</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4149" customFormat="1" ht="17.25" customHeight="1">
      <c r="A158" s="1755"/>
      <c r="C158" s="1760"/>
      <c r="D158" s="4308"/>
      <c r="E158" s="4297"/>
      <c r="F158" s="4311"/>
      <c r="G158" s="4335"/>
      <c r="H158" s="253"/>
      <c r="I158" s="254"/>
      <c r="J158" s="254" t="s">
        <v>188</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4149" customFormat="1" ht="17.25" customHeight="1">
      <c r="A160" s="1755"/>
      <c r="C160" s="1757"/>
      <c r="D160" s="1745"/>
      <c r="E160" s="1762"/>
      <c r="F160" s="1701"/>
      <c r="G160" s="1763"/>
      <c r="H160" s="4343"/>
      <c r="I160" s="4343">
        <v>1</v>
      </c>
      <c r="J160" s="4341"/>
      <c r="K160" s="4337" t="s">
        <v>65</v>
      </c>
      <c r="L160" s="4285"/>
      <c r="M160" s="4285" t="s">
        <v>113</v>
      </c>
      <c r="N160" s="4640" t="str">
        <f>IF(Z160="","",INDEX(TERRITORY_MR_LIST,MATCH(Z160,TERRITORY_LIST_ID,0)))</f>
        <v/>
      </c>
      <c r="O160" s="4337" t="s">
        <v>65</v>
      </c>
      <c r="P160" s="4285"/>
      <c r="Q160" s="4285" t="s">
        <v>113</v>
      </c>
      <c r="R160" s="4629" t="s">
        <v>28</v>
      </c>
      <c r="S160" s="4284" t="s">
        <v>65</v>
      </c>
      <c r="T160" s="1728"/>
      <c r="U160" s="1728" t="s">
        <v>113</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4149" customFormat="1" ht="17.25" customHeight="1">
      <c r="A161" s="1755"/>
      <c r="C161" s="1760"/>
      <c r="D161" s="1745"/>
      <c r="E161" s="1762"/>
      <c r="F161" s="1701"/>
      <c r="G161" s="1763"/>
      <c r="H161" s="4343"/>
      <c r="I161" s="4343"/>
      <c r="J161" s="4341"/>
      <c r="K161" s="4338"/>
      <c r="L161" s="4285"/>
      <c r="M161" s="4285"/>
      <c r="N161" s="4640"/>
      <c r="O161" s="4338"/>
      <c r="P161" s="4285"/>
      <c r="Q161" s="4285"/>
      <c r="R161" s="4629"/>
      <c r="S161" s="4284"/>
      <c r="T161" s="253"/>
      <c r="U161" s="254"/>
      <c r="V161" s="254" t="s">
        <v>172</v>
      </c>
      <c r="W161" s="255"/>
      <c r="Y161" s="1177"/>
      <c r="Z161" s="1177"/>
      <c r="AA161" s="1177"/>
      <c r="AB161" s="1177"/>
      <c r="AC161" s="1177"/>
      <c r="AD161" s="1177"/>
      <c r="AE161" s="1177"/>
      <c r="AF161" s="1177"/>
      <c r="AG161" s="1177"/>
      <c r="AH161" s="1177"/>
      <c r="AI161" s="1177"/>
      <c r="AJ161" s="1177"/>
      <c r="AK161" s="1177"/>
    </row>
    <row r="162" spans="1:43" s="4149" customFormat="1" ht="17.25" customHeight="1">
      <c r="A162" s="1755"/>
      <c r="C162" s="1760"/>
      <c r="D162" s="1745"/>
      <c r="E162" s="1762"/>
      <c r="F162" s="1701"/>
      <c r="G162" s="1763"/>
      <c r="H162" s="4308"/>
      <c r="I162" s="4308"/>
      <c r="J162" s="4342"/>
      <c r="K162" s="4338"/>
      <c r="L162" s="4308"/>
      <c r="M162" s="4308"/>
      <c r="N162" s="4641"/>
      <c r="O162" s="4289"/>
      <c r="P162" s="253"/>
      <c r="Q162" s="254"/>
      <c r="R162" s="254" t="s">
        <v>173</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4149" customFormat="1" ht="17.25" customHeight="1">
      <c r="A163" s="1755"/>
      <c r="C163" s="1760"/>
      <c r="D163" s="1745"/>
      <c r="E163" s="1762"/>
      <c r="F163" s="1701"/>
      <c r="G163" s="1763"/>
      <c r="H163" s="4308"/>
      <c r="I163" s="4308"/>
      <c r="J163" s="4342"/>
      <c r="K163" s="4289"/>
      <c r="L163" s="253"/>
      <c r="M163" s="254"/>
      <c r="N163" s="254" t="s">
        <v>174</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4149" customFormat="1" ht="17.25" customHeight="1">
      <c r="A165" s="1755"/>
      <c r="C165" s="1757"/>
      <c r="D165" s="1745"/>
      <c r="E165" s="1762"/>
      <c r="F165" s="1701"/>
      <c r="G165" s="1763"/>
      <c r="H165" s="1745"/>
      <c r="I165" s="1745"/>
      <c r="J165" s="1764"/>
      <c r="K165" s="1677"/>
      <c r="L165" s="4285"/>
      <c r="M165" s="4285" t="s">
        <v>113</v>
      </c>
      <c r="N165" s="4640" t="str">
        <f>IF(Z165="","",INDEX(TERRITORY_MR_LIST,MATCH(Z165,TERRITORY_LIST_ID,0)))</f>
        <v/>
      </c>
      <c r="O165" s="4337" t="s">
        <v>65</v>
      </c>
      <c r="P165" s="4285"/>
      <c r="Q165" s="4285" t="s">
        <v>113</v>
      </c>
      <c r="R165" s="4629" t="s">
        <v>28</v>
      </c>
      <c r="S165" s="4284" t="s">
        <v>65</v>
      </c>
      <c r="T165" s="1728"/>
      <c r="U165" s="1728" t="s">
        <v>113</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4149" customFormat="1" ht="17.25" customHeight="1">
      <c r="A166" s="1755"/>
      <c r="C166" s="1760"/>
      <c r="D166" s="1745"/>
      <c r="E166" s="1762"/>
      <c r="F166" s="1701"/>
      <c r="G166" s="1763"/>
      <c r="H166" s="1745"/>
      <c r="I166" s="1745"/>
      <c r="J166" s="1764"/>
      <c r="K166" s="1677"/>
      <c r="L166" s="4285"/>
      <c r="M166" s="4285"/>
      <c r="N166" s="4640"/>
      <c r="O166" s="4338"/>
      <c r="P166" s="4285"/>
      <c r="Q166" s="4285"/>
      <c r="R166" s="4629"/>
      <c r="S166" s="4284"/>
      <c r="T166" s="253"/>
      <c r="U166" s="254"/>
      <c r="V166" s="254" t="s">
        <v>172</v>
      </c>
      <c r="W166" s="255"/>
      <c r="Y166" s="1177"/>
      <c r="Z166" s="1177"/>
      <c r="AA166" s="1177"/>
      <c r="AB166" s="1177"/>
      <c r="AC166" s="1177"/>
      <c r="AD166" s="1177"/>
      <c r="AE166" s="1177"/>
      <c r="AF166" s="1177"/>
      <c r="AG166" s="1177"/>
      <c r="AH166" s="1177"/>
      <c r="AI166" s="1177"/>
      <c r="AJ166" s="1177"/>
      <c r="AK166" s="1177"/>
    </row>
    <row r="167" spans="1:43" s="4149" customFormat="1" ht="17.25" customHeight="1">
      <c r="A167" s="1755"/>
      <c r="C167" s="1760"/>
      <c r="D167" s="1745"/>
      <c r="E167" s="1762"/>
      <c r="F167" s="1701"/>
      <c r="G167" s="1763"/>
      <c r="H167" s="1745"/>
      <c r="I167" s="1745"/>
      <c r="J167" s="1764"/>
      <c r="K167" s="1677"/>
      <c r="L167" s="4308"/>
      <c r="M167" s="4308"/>
      <c r="N167" s="4641"/>
      <c r="O167" s="4289"/>
      <c r="P167" s="253"/>
      <c r="Q167" s="254"/>
      <c r="R167" s="254" t="s">
        <v>173</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4149" customFormat="1" ht="17.25" customHeight="1">
      <c r="A169" s="1755"/>
      <c r="C169" s="1757"/>
      <c r="D169" s="1745"/>
      <c r="E169" s="1762"/>
      <c r="F169" s="1701"/>
      <c r="G169" s="1763"/>
      <c r="H169" s="1745"/>
      <c r="I169" s="1745"/>
      <c r="J169" s="1764"/>
      <c r="K169" s="1677"/>
      <c r="L169" s="1673"/>
      <c r="M169" s="1673"/>
      <c r="N169" s="1960"/>
      <c r="O169" s="1704"/>
      <c r="P169" s="4285"/>
      <c r="Q169" s="4285" t="s">
        <v>113</v>
      </c>
      <c r="R169" s="4629" t="s">
        <v>28</v>
      </c>
      <c r="S169" s="4284" t="s">
        <v>65</v>
      </c>
      <c r="T169" s="1728"/>
      <c r="U169" s="1728" t="s">
        <v>113</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4149" customFormat="1" ht="17.25" customHeight="1">
      <c r="A170" s="1755"/>
      <c r="C170" s="1760"/>
      <c r="D170" s="1745"/>
      <c r="E170" s="1762"/>
      <c r="F170" s="1701"/>
      <c r="G170" s="1763"/>
      <c r="H170" s="1745"/>
      <c r="I170" s="1745"/>
      <c r="J170" s="1764"/>
      <c r="K170" s="1677"/>
      <c r="L170" s="1673"/>
      <c r="M170" s="1673"/>
      <c r="N170" s="1960"/>
      <c r="O170" s="1704"/>
      <c r="P170" s="4285"/>
      <c r="Q170" s="4285"/>
      <c r="R170" s="4629"/>
      <c r="S170" s="4284"/>
      <c r="T170" s="253"/>
      <c r="U170" s="254"/>
      <c r="V170" s="254" t="s">
        <v>172</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4149"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113</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4227" customFormat="1" ht="17.25" customHeight="1">
      <c r="A174" s="1732" t="s">
        <v>1980</v>
      </c>
    </row>
    <row r="175" spans="1:43" ht="17.25" customHeight="1">
      <c r="G175" s="1754"/>
      <c r="H175" s="1754"/>
      <c r="I175" s="1754"/>
      <c r="M175" s="1750"/>
    </row>
    <row r="176" spans="1:43" s="4149" customFormat="1" ht="17.25" customHeight="1">
      <c r="A176" s="1755"/>
      <c r="C176" s="1757"/>
      <c r="D176" s="4343"/>
      <c r="E176" s="4296"/>
      <c r="F176" s="4309"/>
      <c r="G176" s="4334"/>
      <c r="H176" s="4343"/>
      <c r="I176" s="4343">
        <v>1</v>
      </c>
      <c r="J176" s="4341"/>
      <c r="K176" s="4337" t="s">
        <v>65</v>
      </c>
      <c r="L176" s="4285"/>
      <c r="M176" s="4285" t="s">
        <v>113</v>
      </c>
      <c r="N176" s="4640" t="str">
        <f>IF(Z176="","",INDEX(TERRITORY_MR_LIST,MATCH(Z176,TERRITORY_LIST_ID,0)))</f>
        <v/>
      </c>
      <c r="O176" s="4337" t="s">
        <v>65</v>
      </c>
      <c r="P176" s="4285"/>
      <c r="Q176" s="4285" t="s">
        <v>113</v>
      </c>
      <c r="R176" s="4629" t="s">
        <v>28</v>
      </c>
      <c r="S176" s="4528" t="s">
        <v>19</v>
      </c>
      <c r="T176" s="1719"/>
      <c r="U176" s="1719" t="s">
        <v>113</v>
      </c>
      <c r="V176" s="1352"/>
      <c r="W176" s="4341"/>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4149" customFormat="1" ht="17.25" customHeight="1">
      <c r="A177" s="1755"/>
      <c r="C177" s="1760"/>
      <c r="D177" s="4343"/>
      <c r="E177" s="4296"/>
      <c r="F177" s="4310"/>
      <c r="G177" s="4334"/>
      <c r="H177" s="4343"/>
      <c r="I177" s="4343"/>
      <c r="J177" s="4341"/>
      <c r="K177" s="4338"/>
      <c r="L177" s="4285"/>
      <c r="M177" s="4285"/>
      <c r="N177" s="4640"/>
      <c r="O177" s="4338"/>
      <c r="P177" s="4285"/>
      <c r="Q177" s="4285"/>
      <c r="R177" s="4629"/>
      <c r="S177" s="4528"/>
      <c r="T177" s="1353"/>
      <c r="U177" s="1354"/>
      <c r="V177" s="1354"/>
      <c r="W177" s="4341"/>
      <c r="Y177" s="1177"/>
      <c r="Z177" s="1177"/>
      <c r="AA177" s="1177"/>
      <c r="AB177" s="1177"/>
      <c r="AC177" s="1177"/>
      <c r="AD177" s="1177"/>
      <c r="AE177" s="1177"/>
      <c r="AF177" s="1177"/>
      <c r="AG177" s="1177"/>
      <c r="AH177" s="1177"/>
      <c r="AI177" s="1177"/>
      <c r="AJ177" s="1177"/>
      <c r="AK177" s="1177"/>
    </row>
    <row r="178" spans="1:43" s="4149" customFormat="1" ht="17.25" customHeight="1">
      <c r="A178" s="1755"/>
      <c r="C178" s="1760"/>
      <c r="D178" s="4308"/>
      <c r="E178" s="4297"/>
      <c r="F178" s="4310"/>
      <c r="G178" s="4335"/>
      <c r="H178" s="4308"/>
      <c r="I178" s="4308"/>
      <c r="J178" s="4342"/>
      <c r="K178" s="4338"/>
      <c r="L178" s="4308"/>
      <c r="M178" s="4308"/>
      <c r="N178" s="4641"/>
      <c r="O178" s="4289"/>
      <c r="P178" s="253"/>
      <c r="Q178" s="254"/>
      <c r="R178" s="254" t="s">
        <v>173</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4149" customFormat="1" ht="17.25" customHeight="1">
      <c r="A179" s="1755"/>
      <c r="C179" s="1760"/>
      <c r="D179" s="4308"/>
      <c r="E179" s="4297"/>
      <c r="F179" s="4310"/>
      <c r="G179" s="4335"/>
      <c r="H179" s="4308"/>
      <c r="I179" s="4308"/>
      <c r="J179" s="4342"/>
      <c r="K179" s="4289"/>
      <c r="L179" s="253"/>
      <c r="M179" s="254"/>
      <c r="N179" s="254" t="s">
        <v>174</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4149" customFormat="1" ht="17.25" customHeight="1">
      <c r="A180" s="1755"/>
      <c r="C180" s="1760"/>
      <c r="D180" s="4308"/>
      <c r="E180" s="4297"/>
      <c r="F180" s="4311"/>
      <c r="G180" s="4335"/>
      <c r="H180" s="253"/>
      <c r="I180" s="254"/>
      <c r="J180" s="254" t="s">
        <v>188</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4149" customFormat="1" ht="17.25" customHeight="1">
      <c r="A182" s="1755"/>
      <c r="C182" s="1757"/>
      <c r="D182" s="1745"/>
      <c r="E182" s="1762"/>
      <c r="F182" s="1701"/>
      <c r="G182" s="1763"/>
      <c r="H182" s="4343"/>
      <c r="I182" s="4343">
        <v>1</v>
      </c>
      <c r="J182" s="4341"/>
      <c r="K182" s="4337" t="s">
        <v>65</v>
      </c>
      <c r="L182" s="4285"/>
      <c r="M182" s="4285" t="s">
        <v>113</v>
      </c>
      <c r="N182" s="4640" t="str">
        <f>IF(Z182="","",INDEX(TERRITORY_MR_LIST,MATCH(Z182,TERRITORY_LIST_ID,0)))</f>
        <v/>
      </c>
      <c r="O182" s="4337" t="s">
        <v>65</v>
      </c>
      <c r="P182" s="4285"/>
      <c r="Q182" s="4285" t="s">
        <v>113</v>
      </c>
      <c r="R182" s="4629" t="s">
        <v>28</v>
      </c>
      <c r="S182" s="4528" t="s">
        <v>19</v>
      </c>
      <c r="T182" s="1719"/>
      <c r="U182" s="1719" t="s">
        <v>113</v>
      </c>
      <c r="V182" s="1352"/>
      <c r="W182" s="4341"/>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4149" customFormat="1" ht="17.25" customHeight="1">
      <c r="A183" s="1755"/>
      <c r="C183" s="1760"/>
      <c r="D183" s="1745"/>
      <c r="E183" s="1762"/>
      <c r="F183" s="1701"/>
      <c r="G183" s="1763"/>
      <c r="H183" s="4343"/>
      <c r="I183" s="4343"/>
      <c r="J183" s="4341"/>
      <c r="K183" s="4338"/>
      <c r="L183" s="4285"/>
      <c r="M183" s="4285"/>
      <c r="N183" s="4640"/>
      <c r="O183" s="4338"/>
      <c r="P183" s="4285"/>
      <c r="Q183" s="4285"/>
      <c r="R183" s="4629"/>
      <c r="S183" s="4528"/>
      <c r="T183" s="1353"/>
      <c r="U183" s="1354"/>
      <c r="V183" s="1354"/>
      <c r="W183" s="4341"/>
      <c r="Y183" s="1177"/>
      <c r="Z183" s="1177"/>
      <c r="AA183" s="1177"/>
      <c r="AB183" s="1177"/>
      <c r="AC183" s="1177"/>
      <c r="AD183" s="1177"/>
      <c r="AE183" s="1177"/>
      <c r="AF183" s="1177"/>
      <c r="AG183" s="1177"/>
      <c r="AH183" s="1177"/>
      <c r="AI183" s="1177"/>
      <c r="AJ183" s="1177"/>
      <c r="AK183" s="1177"/>
    </row>
    <row r="184" spans="1:43" s="4149" customFormat="1" ht="17.25" customHeight="1">
      <c r="A184" s="1755"/>
      <c r="C184" s="1760"/>
      <c r="D184" s="1745"/>
      <c r="E184" s="1762"/>
      <c r="F184" s="1701"/>
      <c r="G184" s="1763"/>
      <c r="H184" s="4308"/>
      <c r="I184" s="4308"/>
      <c r="J184" s="4342"/>
      <c r="K184" s="4338"/>
      <c r="L184" s="4308"/>
      <c r="M184" s="4308"/>
      <c r="N184" s="4641"/>
      <c r="O184" s="4289"/>
      <c r="P184" s="253"/>
      <c r="Q184" s="254"/>
      <c r="R184" s="254" t="s">
        <v>173</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4149" customFormat="1" ht="17.25" customHeight="1">
      <c r="A185" s="1755"/>
      <c r="C185" s="1760"/>
      <c r="D185" s="1745"/>
      <c r="E185" s="1762"/>
      <c r="F185" s="1701"/>
      <c r="G185" s="1763"/>
      <c r="H185" s="4308"/>
      <c r="I185" s="4308"/>
      <c r="J185" s="4342"/>
      <c r="K185" s="4289"/>
      <c r="L185" s="253"/>
      <c r="M185" s="254"/>
      <c r="N185" s="254" t="s">
        <v>174</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4149" customFormat="1" ht="17.25" customHeight="1">
      <c r="A187" s="1755"/>
      <c r="C187" s="1757"/>
      <c r="D187" s="1745"/>
      <c r="E187" s="1762"/>
      <c r="F187" s="1701"/>
      <c r="G187" s="1763"/>
      <c r="H187" s="1745"/>
      <c r="I187" s="1745"/>
      <c r="J187" s="1766"/>
      <c r="K187" s="1763"/>
      <c r="L187" s="4285"/>
      <c r="M187" s="4285" t="s">
        <v>113</v>
      </c>
      <c r="N187" s="4640" t="str">
        <f>IF(Z187="","",INDEX(TERRITORY_MR_LIST,MATCH(Z187,TERRITORY_LIST_ID,0)))</f>
        <v/>
      </c>
      <c r="O187" s="4337" t="s">
        <v>65</v>
      </c>
      <c r="P187" s="4285"/>
      <c r="Q187" s="4285" t="s">
        <v>113</v>
      </c>
      <c r="R187" s="4629" t="s">
        <v>28</v>
      </c>
      <c r="S187" s="4528" t="s">
        <v>19</v>
      </c>
      <c r="T187" s="1719"/>
      <c r="U187" s="1719" t="s">
        <v>113</v>
      </c>
      <c r="V187" s="1352"/>
      <c r="W187" s="4341"/>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4149" customFormat="1" ht="17.25" customHeight="1">
      <c r="A188" s="1755"/>
      <c r="C188" s="1760"/>
      <c r="D188" s="1745"/>
      <c r="E188" s="1762"/>
      <c r="F188" s="1701"/>
      <c r="G188" s="1763"/>
      <c r="H188" s="1745"/>
      <c r="I188" s="1745"/>
      <c r="J188" s="1766"/>
      <c r="K188" s="1763"/>
      <c r="L188" s="4285"/>
      <c r="M188" s="4285"/>
      <c r="N188" s="4640"/>
      <c r="O188" s="4338"/>
      <c r="P188" s="4285"/>
      <c r="Q188" s="4285"/>
      <c r="R188" s="4629"/>
      <c r="S188" s="4528"/>
      <c r="T188" s="1353"/>
      <c r="U188" s="1354"/>
      <c r="V188" s="1354"/>
      <c r="W188" s="4341"/>
      <c r="Y188" s="1177"/>
      <c r="Z188" s="1177"/>
      <c r="AA188" s="1177"/>
      <c r="AB188" s="1177"/>
      <c r="AC188" s="1177"/>
      <c r="AD188" s="1177"/>
      <c r="AE188" s="1177"/>
      <c r="AF188" s="1177"/>
      <c r="AG188" s="1177"/>
      <c r="AH188" s="1177"/>
      <c r="AI188" s="1177"/>
      <c r="AJ188" s="1177"/>
      <c r="AK188" s="1177"/>
    </row>
    <row r="189" spans="1:43" s="4149" customFormat="1" ht="17.25" customHeight="1">
      <c r="A189" s="1755"/>
      <c r="C189" s="1760"/>
      <c r="D189" s="1745"/>
      <c r="E189" s="1762"/>
      <c r="F189" s="1701"/>
      <c r="G189" s="1763"/>
      <c r="H189" s="1745"/>
      <c r="I189" s="1745"/>
      <c r="J189" s="1766"/>
      <c r="K189" s="1763"/>
      <c r="L189" s="4308"/>
      <c r="M189" s="4308"/>
      <c r="N189" s="4641"/>
      <c r="O189" s="4289"/>
      <c r="P189" s="253"/>
      <c r="Q189" s="254"/>
      <c r="R189" s="254" t="s">
        <v>173</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4149" customFormat="1" ht="17.25" customHeight="1">
      <c r="A191" s="1755"/>
      <c r="C191" s="1757"/>
      <c r="D191" s="1745"/>
      <c r="E191" s="1762"/>
      <c r="F191" s="1701"/>
      <c r="G191" s="1763"/>
      <c r="H191" s="1745"/>
      <c r="I191" s="1745"/>
      <c r="J191" s="1766"/>
      <c r="K191" s="1763"/>
      <c r="L191" s="1745"/>
      <c r="M191" s="1745"/>
      <c r="N191" s="1960"/>
      <c r="O191" s="1704"/>
      <c r="P191" s="4285"/>
      <c r="Q191" s="4285" t="s">
        <v>113</v>
      </c>
      <c r="R191" s="4629" t="s">
        <v>28</v>
      </c>
      <c r="S191" s="4528" t="s">
        <v>19</v>
      </c>
      <c r="T191" s="1719"/>
      <c r="U191" s="1719" t="s">
        <v>113</v>
      </c>
      <c r="V191" s="1352"/>
      <c r="W191" s="4341"/>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4149" customFormat="1" ht="17.25" customHeight="1">
      <c r="A192" s="1755"/>
      <c r="C192" s="1760"/>
      <c r="D192" s="1745"/>
      <c r="E192" s="1762"/>
      <c r="F192" s="1701"/>
      <c r="G192" s="1763"/>
      <c r="H192" s="1745"/>
      <c r="I192" s="1745"/>
      <c r="J192" s="1766"/>
      <c r="K192" s="1763"/>
      <c r="L192" s="1745"/>
      <c r="M192" s="1745"/>
      <c r="N192" s="1960"/>
      <c r="O192" s="1704"/>
      <c r="P192" s="4285"/>
      <c r="Q192" s="4285"/>
      <c r="R192" s="4629"/>
      <c r="S192" s="4528"/>
      <c r="T192" s="1353"/>
      <c r="U192" s="1354"/>
      <c r="V192" s="1354"/>
      <c r="W192" s="4341"/>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4343"/>
      <c r="E194" s="4355"/>
      <c r="F194" s="4355"/>
      <c r="G194" s="4274"/>
      <c r="H194" s="4298"/>
      <c r="I194" s="4300"/>
      <c r="J194" s="4302"/>
      <c r="K194" s="4294"/>
      <c r="L194" s="4294"/>
      <c r="M194" s="4294"/>
      <c r="N194" s="4305"/>
      <c r="O194" s="4294"/>
      <c r="P194" s="4294"/>
      <c r="Q194" s="4294"/>
      <c r="R194" s="4292"/>
      <c r="S194" s="4294"/>
      <c r="T194" s="1700"/>
      <c r="U194" s="1700"/>
      <c r="V194" s="1767"/>
      <c r="W194" s="1214"/>
    </row>
    <row r="195" spans="1:63" ht="16.5" customHeight="1">
      <c r="A195" s="1755"/>
      <c r="B195" s="1756"/>
      <c r="C195" s="1760"/>
      <c r="D195" s="4343"/>
      <c r="E195" s="4355"/>
      <c r="F195" s="4355"/>
      <c r="G195" s="4274"/>
      <c r="H195" s="4299"/>
      <c r="I195" s="4301"/>
      <c r="J195" s="4303"/>
      <c r="K195" s="4295"/>
      <c r="L195" s="4295"/>
      <c r="M195" s="4295"/>
      <c r="N195" s="4306"/>
      <c r="O195" s="4295"/>
      <c r="P195" s="4295"/>
      <c r="Q195" s="4295"/>
      <c r="R195" s="4293"/>
      <c r="S195" s="4295"/>
      <c r="T195" s="1215"/>
      <c r="U195" s="1215"/>
      <c r="V195" s="1215"/>
      <c r="W195" s="1216"/>
    </row>
    <row r="196" spans="1:63" ht="17.25" customHeight="1">
      <c r="A196" s="1755"/>
      <c r="B196" s="1756"/>
      <c r="C196" s="1760"/>
      <c r="D196" s="4343"/>
      <c r="E196" s="4355"/>
      <c r="F196" s="4355"/>
      <c r="G196" s="4274"/>
      <c r="H196" s="4299"/>
      <c r="I196" s="4301"/>
      <c r="J196" s="4304"/>
      <c r="K196" s="4295"/>
      <c r="L196" s="4295"/>
      <c r="M196" s="4295"/>
      <c r="N196" s="4293"/>
      <c r="O196" s="4295"/>
      <c r="P196" s="1703"/>
      <c r="Q196" s="1215"/>
      <c r="R196" s="1215"/>
      <c r="S196" s="1768"/>
      <c r="T196" s="1768"/>
      <c r="U196" s="1768"/>
      <c r="V196" s="1768"/>
      <c r="W196" s="1216"/>
    </row>
    <row r="197" spans="1:63" ht="17.25" customHeight="1">
      <c r="A197" s="1755"/>
      <c r="B197" s="1756"/>
      <c r="C197" s="1760"/>
      <c r="D197" s="4343"/>
      <c r="E197" s="4355"/>
      <c r="F197" s="4355"/>
      <c r="G197" s="4274"/>
      <c r="H197" s="4299"/>
      <c r="I197" s="4301"/>
      <c r="J197" s="4304"/>
      <c r="K197" s="4295"/>
      <c r="L197" s="1215"/>
      <c r="M197" s="1215"/>
      <c r="N197" s="1215"/>
      <c r="O197" s="1215"/>
      <c r="P197" s="1215"/>
      <c r="Q197" s="1215"/>
      <c r="R197" s="1215"/>
      <c r="S197" s="1768"/>
      <c r="T197" s="1768"/>
      <c r="U197" s="1768"/>
      <c r="V197" s="1768"/>
      <c r="W197" s="1216"/>
    </row>
    <row r="198" spans="1:63" ht="17.25" customHeight="1">
      <c r="A198" s="1755"/>
      <c r="B198" s="1756"/>
      <c r="C198" s="1760"/>
      <c r="D198" s="4343"/>
      <c r="E198" s="4355"/>
      <c r="F198" s="4355"/>
      <c r="G198" s="4274"/>
      <c r="H198" s="1217"/>
      <c r="I198" s="1218"/>
      <c r="J198" s="1218"/>
      <c r="K198" s="1218"/>
      <c r="L198" s="1218"/>
      <c r="M198" s="1218"/>
      <c r="N198" s="1218"/>
      <c r="O198" s="1218"/>
      <c r="P198" s="1218"/>
      <c r="Q198" s="1218"/>
      <c r="R198" s="1218"/>
      <c r="S198" s="1769"/>
      <c r="T198" s="1769"/>
      <c r="U198" s="1769"/>
      <c r="V198" s="1769"/>
      <c r="W198" s="1220"/>
    </row>
    <row r="200" spans="1:63" s="4227" customFormat="1" ht="17.25" customHeight="1">
      <c r="A200" s="1732" t="s">
        <v>1981</v>
      </c>
    </row>
    <row r="201" spans="1:63" ht="17.25" customHeight="1">
      <c r="G201" s="1754"/>
      <c r="H201" s="1754"/>
      <c r="I201" s="1754"/>
      <c r="M201" s="1750"/>
    </row>
    <row r="202" spans="1:63" s="4143" customFormat="1" ht="15" customHeight="1">
      <c r="D202" s="4664"/>
      <c r="E202" s="4350"/>
      <c r="F202" s="4350"/>
      <c r="G202" s="4337"/>
      <c r="H202" s="1482"/>
      <c r="I202" s="4665">
        <v>1</v>
      </c>
      <c r="J202" s="4341"/>
      <c r="K202" s="1497"/>
      <c r="L202" s="4337" t="s">
        <v>65</v>
      </c>
      <c r="M202" s="4337" t="s">
        <v>65</v>
      </c>
      <c r="N202" s="1482"/>
      <c r="O202" s="4285" t="s">
        <v>113</v>
      </c>
      <c r="P202" s="4671"/>
      <c r="Q202" s="1498"/>
      <c r="R202" s="4337" t="s">
        <v>65</v>
      </c>
      <c r="S202" s="4337" t="s">
        <v>65</v>
      </c>
      <c r="T202" s="1770"/>
      <c r="U202" s="4285" t="s">
        <v>113</v>
      </c>
      <c r="V202" s="4661" t="str">
        <f>IF(AK202="","",INDEX(TERRITORY_MR_LIST,MATCH(AK202,TERRITORY_LIST_ID,0)))</f>
        <v/>
      </c>
      <c r="W202" s="1499"/>
      <c r="X202" s="4337" t="s">
        <v>65</v>
      </c>
      <c r="Y202" s="4337" t="s">
        <v>19</v>
      </c>
      <c r="Z202" s="1482"/>
      <c r="AA202" s="4285" t="s">
        <v>113</v>
      </c>
      <c r="AB202" s="4663"/>
      <c r="AC202" s="1500"/>
      <c r="AD202" s="4337" t="s">
        <v>65</v>
      </c>
      <c r="AE202" s="4337" t="s">
        <v>19</v>
      </c>
      <c r="AF202" s="1480"/>
      <c r="AG202" s="1728" t="s">
        <v>113</v>
      </c>
      <c r="AH202" s="1490"/>
      <c r="AI202" s="1718"/>
    </row>
    <row r="203" spans="1:63" s="4143" customFormat="1" ht="15" customHeight="1">
      <c r="D203" s="4664"/>
      <c r="E203" s="4350"/>
      <c r="F203" s="4350"/>
      <c r="G203" s="4338"/>
      <c r="H203" s="1482"/>
      <c r="I203" s="4665"/>
      <c r="J203" s="4341"/>
      <c r="K203" s="1481"/>
      <c r="L203" s="4338"/>
      <c r="M203" s="4338"/>
      <c r="N203" s="1482"/>
      <c r="O203" s="4285"/>
      <c r="P203" s="4671"/>
      <c r="Q203" s="1478"/>
      <c r="R203" s="4338"/>
      <c r="S203" s="4338"/>
      <c r="T203" s="1770"/>
      <c r="U203" s="4285"/>
      <c r="V203" s="4662"/>
      <c r="W203" s="1479"/>
      <c r="X203" s="4338"/>
      <c r="Y203" s="4338"/>
      <c r="Z203" s="1482"/>
      <c r="AA203" s="4285"/>
      <c r="AB203" s="4598"/>
      <c r="AC203" s="1483"/>
      <c r="AD203" s="4289"/>
      <c r="AE203" s="4289"/>
      <c r="AF203" s="1484"/>
      <c r="AG203" s="1485"/>
      <c r="AH203" s="4667" t="s">
        <v>1982</v>
      </c>
      <c r="AI203" s="4668"/>
    </row>
    <row r="204" spans="1:63" s="4143" customFormat="1" ht="15" customHeight="1">
      <c r="D204" s="4664"/>
      <c r="E204" s="4350"/>
      <c r="F204" s="4350"/>
      <c r="G204" s="4338"/>
      <c r="H204" s="1482"/>
      <c r="I204" s="4665"/>
      <c r="J204" s="4341"/>
      <c r="K204" s="1481"/>
      <c r="L204" s="4338"/>
      <c r="M204" s="4338"/>
      <c r="N204" s="1482"/>
      <c r="O204" s="4285"/>
      <c r="P204" s="4671"/>
      <c r="Q204" s="1478"/>
      <c r="R204" s="4338"/>
      <c r="S204" s="4338"/>
      <c r="T204" s="1770"/>
      <c r="U204" s="4285"/>
      <c r="V204" s="4662"/>
      <c r="W204" s="1479"/>
      <c r="X204" s="4338"/>
      <c r="Y204" s="4338"/>
      <c r="Z204" s="1521"/>
      <c r="AA204" s="1487"/>
      <c r="AB204" s="4669" t="s">
        <v>1983</v>
      </c>
      <c r="AC204" s="4669"/>
      <c r="AD204" s="4669"/>
      <c r="AE204" s="4669"/>
      <c r="AF204" s="4669"/>
      <c r="AG204" s="4669"/>
      <c r="AH204" s="4669"/>
      <c r="AI204" s="4670"/>
    </row>
    <row r="205" spans="1:63" s="4143" customFormat="1" ht="15" customHeight="1">
      <c r="D205" s="4664"/>
      <c r="E205" s="4350"/>
      <c r="F205" s="4350"/>
      <c r="G205" s="4338"/>
      <c r="H205" s="1482"/>
      <c r="I205" s="4665"/>
      <c r="J205" s="4341"/>
      <c r="K205" s="1481"/>
      <c r="L205" s="4338"/>
      <c r="M205" s="4338"/>
      <c r="N205" s="1482"/>
      <c r="O205" s="4285"/>
      <c r="P205" s="4672"/>
      <c r="Q205" s="1478"/>
      <c r="R205" s="4338"/>
      <c r="S205" s="4338"/>
      <c r="T205" s="1771"/>
      <c r="U205" s="1522"/>
      <c r="V205" s="4667" t="s">
        <v>107</v>
      </c>
      <c r="W205" s="4667"/>
      <c r="X205" s="4667"/>
      <c r="Y205" s="4667"/>
      <c r="Z205" s="4667"/>
      <c r="AA205" s="4667"/>
      <c r="AB205" s="4667"/>
      <c r="AC205" s="4667"/>
      <c r="AD205" s="4667"/>
      <c r="AE205" s="4667"/>
      <c r="AF205" s="4667"/>
      <c r="AG205" s="4667"/>
      <c r="AH205" s="4667"/>
      <c r="AI205" s="4668"/>
    </row>
    <row r="206" spans="1:63" s="4143" customFormat="1" ht="11.25" customHeight="1">
      <c r="D206" s="4664"/>
      <c r="E206" s="4350"/>
      <c r="F206" s="4350"/>
      <c r="G206" s="4338"/>
      <c r="H206" s="1486"/>
      <c r="I206" s="4665"/>
      <c r="J206" s="4666"/>
      <c r="K206" s="1481"/>
      <c r="L206" s="4338"/>
      <c r="M206" s="4338"/>
      <c r="N206" s="1486"/>
      <c r="O206" s="1487"/>
      <c r="P206" s="4667" t="s">
        <v>1984</v>
      </c>
      <c r="Q206" s="4667"/>
      <c r="R206" s="4667"/>
      <c r="S206" s="4667"/>
      <c r="T206" s="4667"/>
      <c r="U206" s="4667"/>
      <c r="V206" s="4667"/>
      <c r="W206" s="4667"/>
      <c r="X206" s="4667"/>
      <c r="Y206" s="4667"/>
      <c r="Z206" s="4667"/>
      <c r="AA206" s="4667"/>
      <c r="AB206" s="4667"/>
      <c r="AC206" s="4667"/>
      <c r="AD206" s="4667"/>
      <c r="AE206" s="4667"/>
      <c r="AF206" s="4667"/>
      <c r="AG206" s="4667"/>
      <c r="AH206" s="4667"/>
      <c r="AI206" s="4668"/>
    </row>
    <row r="207" spans="1:63" s="4155" customFormat="1" ht="11.25" customHeight="1">
      <c r="D207" s="4664"/>
      <c r="E207" s="4350"/>
      <c r="F207" s="4350"/>
      <c r="G207" s="4289"/>
      <c r="H207" s="1488"/>
      <c r="I207" s="1489"/>
      <c r="J207" s="4667" t="s">
        <v>188</v>
      </c>
      <c r="K207" s="4667"/>
      <c r="L207" s="4667"/>
      <c r="M207" s="4667"/>
      <c r="N207" s="4667"/>
      <c r="O207" s="4667"/>
      <c r="P207" s="4667"/>
      <c r="Q207" s="4667"/>
      <c r="R207" s="4667"/>
      <c r="S207" s="4667"/>
      <c r="T207" s="4667"/>
      <c r="U207" s="4667"/>
      <c r="V207" s="4667"/>
      <c r="W207" s="4667"/>
      <c r="X207" s="4667"/>
      <c r="Y207" s="4667"/>
      <c r="Z207" s="4667"/>
      <c r="AA207" s="4667"/>
      <c r="AB207" s="4667"/>
      <c r="AC207" s="4667"/>
      <c r="AD207" s="4667"/>
      <c r="AE207" s="4667"/>
      <c r="AF207" s="4667"/>
      <c r="AG207" s="4667"/>
      <c r="AH207" s="4667"/>
      <c r="AI207" s="4668"/>
      <c r="BK207" s="1492"/>
    </row>
    <row r="208" spans="1:63" ht="17.25" customHeight="1">
      <c r="G208" s="1754"/>
      <c r="I208" s="1754"/>
      <c r="J208" s="1754"/>
      <c r="N208" s="1750"/>
    </row>
    <row r="209" spans="1:63" s="4143" customFormat="1" ht="15" customHeight="1">
      <c r="D209" s="4664"/>
      <c r="E209" s="4350"/>
      <c r="F209" s="4350"/>
      <c r="G209" s="4355"/>
      <c r="H209" s="1517"/>
      <c r="I209" s="4358"/>
      <c r="J209" s="4302"/>
      <c r="K209" s="1702"/>
      <c r="L209" s="4294"/>
      <c r="M209" s="4294"/>
      <c r="N209" s="1502"/>
      <c r="O209" s="4294"/>
      <c r="P209" s="4302"/>
      <c r="Q209" s="1706"/>
      <c r="R209" s="4294"/>
      <c r="S209" s="4294"/>
      <c r="T209" s="1772"/>
      <c r="U209" s="4294"/>
      <c r="V209" s="4302"/>
      <c r="W209" s="1505"/>
      <c r="X209" s="4294"/>
      <c r="Y209" s="4294"/>
      <c r="Z209" s="1502"/>
      <c r="AA209" s="4294"/>
      <c r="AB209" s="4302"/>
      <c r="AC209" s="1506"/>
      <c r="AD209" s="4294"/>
      <c r="AE209" s="4294"/>
      <c r="AF209" s="1700"/>
      <c r="AG209" s="1700"/>
      <c r="AH209" s="1507"/>
      <c r="AI209" s="1214"/>
    </row>
    <row r="210" spans="1:63" s="4143" customFormat="1" ht="15" customHeight="1">
      <c r="D210" s="4664"/>
      <c r="E210" s="4350"/>
      <c r="F210" s="4350"/>
      <c r="G210" s="4355"/>
      <c r="H210" s="1518"/>
      <c r="I210" s="4359"/>
      <c r="J210" s="4303"/>
      <c r="K210" s="1528"/>
      <c r="L210" s="4295"/>
      <c r="M210" s="4295"/>
      <c r="N210" s="1508"/>
      <c r="O210" s="4295"/>
      <c r="P210" s="4303"/>
      <c r="Q210" s="1707"/>
      <c r="R210" s="4295"/>
      <c r="S210" s="4295"/>
      <c r="T210" s="1773"/>
      <c r="U210" s="4295"/>
      <c r="V210" s="4303"/>
      <c r="W210" s="1511"/>
      <c r="X210" s="4295"/>
      <c r="Y210" s="4295"/>
      <c r="Z210" s="1508"/>
      <c r="AA210" s="4295"/>
      <c r="AB210" s="4303"/>
      <c r="AC210" s="1512"/>
      <c r="AD210" s="4295"/>
      <c r="AE210" s="4295"/>
      <c r="AF210" s="1705"/>
      <c r="AG210" s="1705"/>
      <c r="AH210" s="4362"/>
      <c r="AI210" s="4363"/>
    </row>
    <row r="211" spans="1:63" s="4143" customFormat="1" ht="15" customHeight="1">
      <c r="D211" s="4664"/>
      <c r="E211" s="4350"/>
      <c r="F211" s="4350"/>
      <c r="G211" s="4355"/>
      <c r="H211" s="1518"/>
      <c r="I211" s="4359"/>
      <c r="J211" s="4303"/>
      <c r="K211" s="1528"/>
      <c r="L211" s="4295"/>
      <c r="M211" s="4295"/>
      <c r="N211" s="1508"/>
      <c r="O211" s="4295"/>
      <c r="P211" s="4303"/>
      <c r="Q211" s="1707"/>
      <c r="R211" s="4295"/>
      <c r="S211" s="4295"/>
      <c r="T211" s="1773"/>
      <c r="U211" s="4295"/>
      <c r="V211" s="4303"/>
      <c r="W211" s="1511"/>
      <c r="X211" s="4295"/>
      <c r="Y211" s="4295"/>
      <c r="Z211" s="1703"/>
      <c r="AA211" s="1705"/>
      <c r="AB211" s="4362"/>
      <c r="AC211" s="4362"/>
      <c r="AD211" s="4362"/>
      <c r="AE211" s="4362"/>
      <c r="AF211" s="4362"/>
      <c r="AG211" s="4362"/>
      <c r="AH211" s="4362"/>
      <c r="AI211" s="4363"/>
    </row>
    <row r="212" spans="1:63" s="4143" customFormat="1" ht="15" customHeight="1">
      <c r="D212" s="4664"/>
      <c r="E212" s="4350"/>
      <c r="F212" s="4350"/>
      <c r="G212" s="4355"/>
      <c r="H212" s="1518"/>
      <c r="I212" s="4359"/>
      <c r="J212" s="4303"/>
      <c r="K212" s="1528"/>
      <c r="L212" s="4295"/>
      <c r="M212" s="4295"/>
      <c r="N212" s="1508"/>
      <c r="O212" s="4295"/>
      <c r="P212" s="4303"/>
      <c r="Q212" s="1707"/>
      <c r="R212" s="4295"/>
      <c r="S212" s="4295"/>
      <c r="T212" s="1774"/>
      <c r="U212" s="1515"/>
      <c r="V212" s="4362"/>
      <c r="W212" s="4362"/>
      <c r="X212" s="4362"/>
      <c r="Y212" s="4362"/>
      <c r="Z212" s="4362"/>
      <c r="AA212" s="4362"/>
      <c r="AB212" s="4362"/>
      <c r="AC212" s="4362"/>
      <c r="AD212" s="4362"/>
      <c r="AE212" s="4362"/>
      <c r="AF212" s="4362"/>
      <c r="AG212" s="4362"/>
      <c r="AH212" s="4362"/>
      <c r="AI212" s="4363"/>
    </row>
    <row r="213" spans="1:63" s="4143" customFormat="1" ht="11.25" customHeight="1">
      <c r="D213" s="4664"/>
      <c r="E213" s="4350"/>
      <c r="F213" s="4350"/>
      <c r="G213" s="4355"/>
      <c r="H213" s="1519"/>
      <c r="I213" s="4359"/>
      <c r="J213" s="4303"/>
      <c r="K213" s="1528"/>
      <c r="L213" s="4295"/>
      <c r="M213" s="4295"/>
      <c r="N213" s="1705"/>
      <c r="O213" s="1705"/>
      <c r="P213" s="4362"/>
      <c r="Q213" s="4362"/>
      <c r="R213" s="4362"/>
      <c r="S213" s="4362"/>
      <c r="T213" s="4362"/>
      <c r="U213" s="4362"/>
      <c r="V213" s="4362"/>
      <c r="W213" s="4362"/>
      <c r="X213" s="4362"/>
      <c r="Y213" s="4362"/>
      <c r="Z213" s="4362"/>
      <c r="AA213" s="4362"/>
      <c r="AB213" s="4362"/>
      <c r="AC213" s="4362"/>
      <c r="AD213" s="4362"/>
      <c r="AE213" s="4362"/>
      <c r="AF213" s="4362"/>
      <c r="AG213" s="4362"/>
      <c r="AH213" s="4362"/>
      <c r="AI213" s="4363"/>
    </row>
    <row r="214" spans="1:63" s="4155" customFormat="1" ht="11.25" customHeight="1">
      <c r="D214" s="4664"/>
      <c r="E214" s="4350"/>
      <c r="F214" s="4350"/>
      <c r="G214" s="4364"/>
      <c r="H214" s="1516"/>
      <c r="I214" s="152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360"/>
      <c r="AD214" s="4360"/>
      <c r="AE214" s="4360"/>
      <c r="AF214" s="4360"/>
      <c r="AG214" s="4360"/>
      <c r="AH214" s="4360"/>
      <c r="AI214" s="4361"/>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228"/>
    <col min="2" max="2" width="43.140625" style="4228" hidden="1"/>
    <col min="3" max="3" width="43.140625" style="4228"/>
    <col min="4" max="5" width="36.42578125" style="4228" customWidth="1"/>
    <col min="6" max="8" width="36.42578125" style="4229" customWidth="1"/>
  </cols>
  <sheetData>
    <row r="1" spans="1:8" ht="9" customHeight="1">
      <c r="A1" s="772" t="s">
        <v>1985</v>
      </c>
      <c r="B1" s="772"/>
      <c r="C1" s="905" t="s">
        <v>1986</v>
      </c>
      <c r="D1" s="904" t="s">
        <v>828</v>
      </c>
      <c r="E1" s="904" t="s">
        <v>874</v>
      </c>
      <c r="F1" s="904" t="s">
        <v>927</v>
      </c>
      <c r="G1" s="904" t="s">
        <v>914</v>
      </c>
      <c r="H1" s="904" t="s">
        <v>1658</v>
      </c>
    </row>
    <row r="2" spans="1:8" ht="9" customHeight="1">
      <c r="A2" s="906" t="s">
        <v>1987</v>
      </c>
      <c r="B2" s="906"/>
      <c r="C2" s="907" t="str">
        <f>INDEX(TEMPLATE_NUMBER_FORM_LIST,MATCH(TEMPLATE_SPHERE,TEMPLATE_SPHERE_LIST,0))</f>
        <v>16</v>
      </c>
      <c r="D2" s="906" t="s">
        <v>1509</v>
      </c>
      <c r="E2" s="906" t="s">
        <v>152</v>
      </c>
      <c r="F2" s="908" t="s">
        <v>152</v>
      </c>
      <c r="G2" s="906" t="s">
        <v>152</v>
      </c>
      <c r="H2" s="909"/>
    </row>
    <row r="3" spans="1:8" ht="63" customHeight="1">
      <c r="A3" s="772"/>
      <c r="B3" s="772" t="s">
        <v>113</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1988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1989</v>
      </c>
      <c r="B4" s="772" t="s">
        <v>114</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1990</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1991</v>
      </c>
    </row>
    <row r="5" spans="1:8" ht="117" customHeight="1">
      <c r="A5" s="772" t="s">
        <v>1992</v>
      </c>
      <c r="B5" s="772" t="s">
        <v>94</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1993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1994</v>
      </c>
    </row>
    <row r="6" spans="1:8" ht="90" customHeight="1">
      <c r="A6" s="772" t="s">
        <v>1995</v>
      </c>
      <c r="B6" s="772" t="s">
        <v>95</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1996</v>
      </c>
      <c r="B7" s="772" t="s">
        <v>103</v>
      </c>
      <c r="C7" s="907" t="str">
        <f>IF(TEMPLATE_SPHERE="HEAT",D7,E7)</f>
        <v>Форма 11. Информация о расходах на капитальный и текущий ремонт основных средств</v>
      </c>
      <c r="D7" s="772" t="s">
        <v>1997</v>
      </c>
      <c r="E7" s="772" t="s">
        <v>1998</v>
      </c>
      <c r="F7" s="909"/>
      <c r="G7" s="909"/>
      <c r="H7" s="909"/>
    </row>
    <row r="8" spans="1:8" ht="108" customHeight="1">
      <c r="A8" s="772" t="s">
        <v>1999</v>
      </c>
      <c r="B8" s="772" t="s">
        <v>96</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1199</v>
      </c>
      <c r="E8" s="772" t="s">
        <v>2000</v>
      </c>
      <c r="F8" s="909"/>
      <c r="G8" s="909"/>
      <c r="H8" s="909"/>
    </row>
    <row r="9" spans="1:8" ht="99" customHeight="1">
      <c r="A9" s="772" t="s">
        <v>2001</v>
      </c>
      <c r="B9" s="772"/>
      <c r="C9" s="772" t="s">
        <v>2002</v>
      </c>
      <c r="D9" s="772"/>
      <c r="E9" s="772"/>
      <c r="F9" s="909"/>
      <c r="G9" s="909"/>
      <c r="H9" s="909"/>
    </row>
    <row r="10" spans="1:8" ht="126" customHeight="1">
      <c r="A10" s="772" t="s">
        <v>2003</v>
      </c>
      <c r="B10" s="772"/>
      <c r="C10" s="772" t="s">
        <v>2004</v>
      </c>
      <c r="D10" s="772"/>
      <c r="E10" s="772"/>
      <c r="F10" s="909"/>
      <c r="G10" s="909"/>
      <c r="H10" s="909"/>
    </row>
    <row r="11" spans="1:8" ht="108" customHeight="1">
      <c r="A11" s="772" t="s">
        <v>2005</v>
      </c>
      <c r="B11" s="772"/>
      <c r="C11" s="772" t="s">
        <v>2006</v>
      </c>
      <c r="D11" s="772"/>
      <c r="E11" s="772"/>
      <c r="F11" s="909"/>
      <c r="G11" s="909"/>
      <c r="H11" s="909"/>
    </row>
    <row r="12" spans="1:8" ht="54" customHeight="1">
      <c r="A12" s="772" t="s">
        <v>2007</v>
      </c>
      <c r="B12" s="772"/>
      <c r="C12" s="772" t="s">
        <v>2008</v>
      </c>
      <c r="D12" s="772"/>
      <c r="E12" s="772"/>
      <c r="F12" s="909"/>
      <c r="G12" s="909"/>
      <c r="H12" s="909"/>
    </row>
    <row r="13" spans="1:8" ht="45" customHeight="1">
      <c r="A13" s="772" t="s">
        <v>2009</v>
      </c>
      <c r="B13" s="772"/>
      <c r="C13" s="772" t="s">
        <v>2010</v>
      </c>
      <c r="D13" s="772"/>
      <c r="E13" s="772"/>
      <c r="F13" s="909"/>
      <c r="G13" s="909"/>
      <c r="H13" s="909"/>
    </row>
    <row r="14" spans="1:8" ht="117" customHeight="1">
      <c r="A14" s="772" t="s">
        <v>2011</v>
      </c>
      <c r="B14" s="772"/>
      <c r="C14" s="772" t="s">
        <v>2012</v>
      </c>
      <c r="D14" s="772"/>
      <c r="E14" s="772"/>
      <c r="F14" s="909"/>
      <c r="G14" s="909"/>
      <c r="H14" s="909"/>
    </row>
    <row r="15" spans="1:8" ht="117" customHeight="1">
      <c r="A15" s="772" t="s">
        <v>2013</v>
      </c>
      <c r="B15" s="772"/>
      <c r="C15" s="772" t="s">
        <v>2014</v>
      </c>
      <c r="D15" s="772"/>
      <c r="E15" s="772"/>
      <c r="F15" s="909"/>
      <c r="G15" s="909"/>
      <c r="H15" s="909"/>
    </row>
    <row r="16" spans="1:8" ht="63" customHeight="1">
      <c r="A16" s="772" t="s">
        <v>2015</v>
      </c>
      <c r="B16" s="772"/>
      <c r="C16" s="772" t="s">
        <v>2016</v>
      </c>
      <c r="D16" s="772"/>
      <c r="E16" s="772"/>
      <c r="F16" s="909"/>
      <c r="G16" s="909"/>
      <c r="H16" s="909"/>
    </row>
    <row r="17" spans="1:8" ht="54" customHeight="1">
      <c r="A17" s="772" t="s">
        <v>2017</v>
      </c>
      <c r="B17" s="772"/>
      <c r="C17" s="907" t="s">
        <v>2018</v>
      </c>
      <c r="D17" s="772"/>
      <c r="E17" s="772"/>
      <c r="F17" s="909"/>
      <c r="G17" s="909"/>
      <c r="H17" s="909"/>
    </row>
    <row r="18" spans="1:8" ht="27" customHeight="1">
      <c r="A18" s="772" t="s">
        <v>2019</v>
      </c>
      <c r="B18" s="772"/>
      <c r="C18" s="907" t="s">
        <v>2020</v>
      </c>
      <c r="D18" s="772"/>
      <c r="E18" s="772"/>
      <c r="F18" s="909"/>
      <c r="G18" s="909"/>
      <c r="H18" s="909"/>
    </row>
    <row r="19" spans="1:8" ht="54" customHeight="1">
      <c r="A19" s="772" t="s">
        <v>2021</v>
      </c>
      <c r="B19" s="772"/>
      <c r="C19" s="907" t="s">
        <v>2022</v>
      </c>
      <c r="D19" s="772"/>
      <c r="E19" s="772"/>
      <c r="F19" s="909"/>
      <c r="G19" s="909"/>
      <c r="H19" s="909"/>
    </row>
    <row r="20" spans="1:8" ht="36" customHeight="1">
      <c r="A20" s="772" t="s">
        <v>2023</v>
      </c>
      <c r="B20" s="772"/>
      <c r="C20" s="907" t="s">
        <v>2024</v>
      </c>
      <c r="D20" s="772"/>
      <c r="E20" s="772"/>
      <c r="F20" s="909"/>
      <c r="G20" s="909"/>
      <c r="H20" s="909"/>
    </row>
    <row r="21" spans="1:8" ht="36" customHeight="1">
      <c r="A21" s="772" t="s">
        <v>2025</v>
      </c>
      <c r="B21" s="772"/>
      <c r="C21" s="907" t="s">
        <v>2026</v>
      </c>
      <c r="D21" s="772"/>
      <c r="E21" s="772"/>
      <c r="F21" s="909"/>
      <c r="G21" s="909"/>
      <c r="H21" s="909"/>
    </row>
    <row r="22" spans="1:8" ht="27" customHeight="1">
      <c r="A22" s="772" t="s">
        <v>2027</v>
      </c>
      <c r="B22" s="772"/>
      <c r="C22" s="907" t="s">
        <v>2028</v>
      </c>
      <c r="D22" s="772"/>
      <c r="E22" s="772"/>
      <c r="F22" s="909"/>
      <c r="G22" s="909"/>
      <c r="H22" s="909"/>
    </row>
    <row r="23" spans="1:8" ht="36" customHeight="1">
      <c r="A23" s="772" t="s">
        <v>2029</v>
      </c>
      <c r="B23" s="772"/>
      <c r="C23" s="907" t="s">
        <v>2030</v>
      </c>
      <c r="D23" s="772"/>
      <c r="E23" s="772"/>
      <c r="F23" s="909"/>
      <c r="G23" s="909"/>
      <c r="H23" s="909"/>
    </row>
    <row r="24" spans="1:8" ht="28.5" customHeight="1">
      <c r="A24" s="772" t="s">
        <v>2031</v>
      </c>
      <c r="B24" s="772"/>
      <c r="C24" s="907" t="s">
        <v>2032</v>
      </c>
      <c r="D24" s="772"/>
      <c r="E24" s="772"/>
      <c r="F24" s="909"/>
      <c r="G24" s="909"/>
      <c r="H24" s="909"/>
    </row>
    <row r="25" spans="1:8" ht="36" customHeight="1">
      <c r="A25" s="772" t="s">
        <v>2033</v>
      </c>
      <c r="B25" s="772"/>
      <c r="C25" s="907" t="s">
        <v>2034</v>
      </c>
      <c r="D25" s="772"/>
      <c r="E25" s="772"/>
      <c r="F25" s="909"/>
      <c r="G25" s="909"/>
      <c r="H25" s="909"/>
    </row>
    <row r="26" spans="1:8" ht="27" customHeight="1">
      <c r="A26" s="772" t="s">
        <v>2035</v>
      </c>
      <c r="B26" s="772"/>
      <c r="C26" s="907" t="s">
        <v>2036</v>
      </c>
      <c r="D26" s="772"/>
      <c r="E26" s="772"/>
      <c r="F26" s="909"/>
      <c r="G26" s="909"/>
      <c r="H26" s="909"/>
    </row>
    <row r="27" spans="1:8" ht="36" customHeight="1">
      <c r="A27" s="772" t="s">
        <v>2037</v>
      </c>
      <c r="B27" s="772"/>
      <c r="C27" s="907" t="s">
        <v>2038</v>
      </c>
      <c r="D27" s="772"/>
      <c r="E27" s="772"/>
      <c r="F27" s="909"/>
      <c r="G27" s="909"/>
      <c r="H27" s="909"/>
    </row>
    <row r="28" spans="1:8" ht="28.5" customHeight="1">
      <c r="A28" s="772" t="s">
        <v>2039</v>
      </c>
      <c r="B28" s="772"/>
      <c r="C28" s="907" t="s">
        <v>2040</v>
      </c>
      <c r="D28" s="772"/>
      <c r="E28" s="772"/>
      <c r="F28" s="909"/>
      <c r="G28" s="909"/>
      <c r="H28" s="909"/>
    </row>
    <row r="29" spans="1:8" ht="126" customHeight="1">
      <c r="A29" s="772" t="s">
        <v>2041</v>
      </c>
      <c r="B29" s="772" t="s">
        <v>1611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2042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2043</v>
      </c>
    </row>
    <row r="30" spans="1:8" ht="36" customHeight="1">
      <c r="A30" s="772" t="s">
        <v>2044</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2045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2046</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2047</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2048</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2049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2050</v>
      </c>
    </row>
    <row r="33" spans="1:8" ht="9" customHeight="1">
      <c r="A33" s="772"/>
      <c r="B33" s="772"/>
      <c r="C33" s="907"/>
      <c r="D33" s="772"/>
      <c r="E33" s="772"/>
      <c r="F33" s="909"/>
      <c r="G33" s="909"/>
      <c r="H33" s="909"/>
    </row>
    <row r="34" spans="1:8" ht="9" customHeight="1">
      <c r="A34" s="772"/>
      <c r="B34" s="772" t="s">
        <v>1547</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228"/>
    <col min="3" max="7" width="8" style="4231" customWidth="1"/>
    <col min="8" max="12" width="8.5703125" style="4231" customWidth="1"/>
    <col min="13" max="14" width="27.7109375" style="4231" customWidth="1"/>
    <col min="15" max="19" width="5.140625" style="4231" customWidth="1"/>
    <col min="20" max="24" width="27.7109375" style="4231" customWidth="1"/>
    <col min="25" max="25" width="1.85546875" style="4232" customWidth="1"/>
    <col min="26" max="26" width="27.7109375" style="4228" customWidth="1"/>
    <col min="27" max="27" width="27.7109375" style="4233" customWidth="1"/>
    <col min="28" max="29" width="27.7109375" style="4228" customWidth="1"/>
    <col min="30" max="30" width="3.85546875" style="4228" customWidth="1"/>
    <col min="31" max="34" width="9.140625" style="4228"/>
  </cols>
  <sheetData>
    <row r="1" spans="1:34" s="4230" customFormat="1" ht="18" customHeight="1">
      <c r="A1" s="822"/>
      <c r="B1" s="822"/>
      <c r="C1" s="822" t="s">
        <v>2051</v>
      </c>
      <c r="D1" s="822"/>
      <c r="E1" s="822"/>
      <c r="F1" s="822"/>
      <c r="G1" s="822"/>
      <c r="H1" s="822" t="s">
        <v>2052</v>
      </c>
      <c r="I1" s="822"/>
      <c r="J1" s="822"/>
      <c r="K1" s="822"/>
      <c r="L1" s="822"/>
      <c r="M1" s="822" t="s">
        <v>2053</v>
      </c>
      <c r="N1" s="822" t="s">
        <v>2054</v>
      </c>
      <c r="O1" s="4677" t="s">
        <v>2055</v>
      </c>
      <c r="P1" s="4677"/>
      <c r="Q1" s="4677"/>
      <c r="R1" s="4677"/>
      <c r="S1" s="4677"/>
      <c r="T1" s="4677" t="s">
        <v>2053</v>
      </c>
      <c r="U1" s="4677"/>
      <c r="V1" s="4677"/>
      <c r="W1" s="4677"/>
      <c r="X1" s="4677"/>
      <c r="Y1" s="922"/>
      <c r="Z1" s="4677" t="s">
        <v>2056</v>
      </c>
      <c r="AA1" s="4677"/>
      <c r="AB1" s="4677"/>
      <c r="AC1" s="4677"/>
      <c r="AD1" s="4677"/>
    </row>
    <row r="2" spans="1:34" ht="18" customHeight="1">
      <c r="A2" s="772"/>
      <c r="B2" s="772"/>
      <c r="C2" s="768" t="s">
        <v>828</v>
      </c>
      <c r="D2" s="768" t="s">
        <v>874</v>
      </c>
      <c r="E2" s="768" t="s">
        <v>927</v>
      </c>
      <c r="F2" s="768" t="s">
        <v>914</v>
      </c>
      <c r="G2" s="768" t="s">
        <v>1658</v>
      </c>
      <c r="H2" s="769"/>
      <c r="I2" s="769"/>
      <c r="J2" s="769"/>
      <c r="K2" s="769"/>
      <c r="L2" s="769"/>
      <c r="M2" s="769"/>
      <c r="N2" s="769"/>
      <c r="O2" s="768" t="s">
        <v>828</v>
      </c>
      <c r="P2" s="768" t="s">
        <v>874</v>
      </c>
      <c r="Q2" s="768" t="s">
        <v>914</v>
      </c>
      <c r="R2" s="768" t="s">
        <v>927</v>
      </c>
      <c r="S2" s="768" t="s">
        <v>1658</v>
      </c>
      <c r="T2" s="768" t="s">
        <v>828</v>
      </c>
      <c r="U2" s="768" t="s">
        <v>874</v>
      </c>
      <c r="V2" s="768" t="s">
        <v>914</v>
      </c>
      <c r="W2" s="768" t="s">
        <v>927</v>
      </c>
      <c r="X2" s="768" t="s">
        <v>1658</v>
      </c>
      <c r="Y2" s="768"/>
      <c r="Z2" s="768" t="s">
        <v>828</v>
      </c>
      <c r="AA2" s="776" t="s">
        <v>874</v>
      </c>
      <c r="AB2" s="768" t="s">
        <v>914</v>
      </c>
      <c r="AC2" s="768" t="s">
        <v>927</v>
      </c>
      <c r="AD2" s="768" t="s">
        <v>1658</v>
      </c>
    </row>
    <row r="3" spans="1:34" ht="162" customHeight="1">
      <c r="A3" s="771" t="s">
        <v>26</v>
      </c>
      <c r="B3" s="771"/>
      <c r="C3" s="4681" t="s">
        <v>2057</v>
      </c>
      <c r="D3" s="4682"/>
      <c r="E3" s="4682"/>
      <c r="F3" s="4683"/>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2058</v>
      </c>
      <c r="AA3" s="769" t="s">
        <v>2059</v>
      </c>
      <c r="AB3" s="772" t="s">
        <v>2060</v>
      </c>
      <c r="AC3" s="772" t="s">
        <v>2061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4678" t="s">
        <v>33</v>
      </c>
      <c r="B11" s="823">
        <v>1</v>
      </c>
      <c r="C11" s="4684" t="s">
        <v>1598</v>
      </c>
      <c r="D11" s="4684" t="s">
        <v>1594</v>
      </c>
      <c r="E11" s="4684" t="s">
        <v>1691</v>
      </c>
      <c r="F11" s="4684" t="s">
        <v>2062</v>
      </c>
      <c r="G11" s="4684"/>
      <c r="H11" s="822" t="s">
        <v>2063</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2064</v>
      </c>
      <c r="U11" s="769" t="s">
        <v>2065</v>
      </c>
      <c r="V11" s="769"/>
      <c r="W11" s="769"/>
      <c r="X11" s="769"/>
      <c r="Y11" s="923"/>
      <c r="Z11" s="772" t="s">
        <v>2066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4678"/>
      <c r="B12" s="823">
        <v>2</v>
      </c>
      <c r="C12" s="4685"/>
      <c r="D12" s="4685"/>
      <c r="E12" s="4685"/>
      <c r="F12" s="4685"/>
      <c r="G12" s="4685"/>
      <c r="H12" s="822" t="s">
        <v>2067</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2068</v>
      </c>
      <c r="U12" s="769" t="s">
        <v>2069</v>
      </c>
      <c r="V12" s="769"/>
      <c r="W12" s="769"/>
      <c r="X12" s="769"/>
      <c r="Y12" s="923"/>
      <c r="Z12" s="772" t="s">
        <v>2070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4678"/>
      <c r="B13" s="823">
        <v>3</v>
      </c>
      <c r="C13" s="4685"/>
      <c r="D13" s="4685"/>
      <c r="E13" s="4685"/>
      <c r="F13" s="4685"/>
      <c r="G13" s="4685"/>
      <c r="H13" s="4677" t="s">
        <v>2071</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2072</v>
      </c>
      <c r="U13" s="770" t="s">
        <v>2073</v>
      </c>
      <c r="V13" s="770"/>
      <c r="W13" s="770"/>
      <c r="X13" s="769"/>
      <c r="Y13" s="923"/>
      <c r="Z13" s="772" t="s">
        <v>2074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4678"/>
      <c r="B14" s="823">
        <v>4</v>
      </c>
      <c r="C14" s="4685"/>
      <c r="D14" s="4685"/>
      <c r="E14" s="4685"/>
      <c r="F14" s="4685"/>
      <c r="G14" s="4685"/>
      <c r="H14" s="4677"/>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2075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2076</v>
      </c>
      <c r="AA14" s="775" t="s">
        <v>2076</v>
      </c>
      <c r="AB14" s="772"/>
      <c r="AC14" s="772"/>
      <c r="AD14" s="772"/>
    </row>
    <row r="15" spans="1:34" ht="108" customHeight="1">
      <c r="A15" s="4678"/>
      <c r="B15" s="823">
        <v>5</v>
      </c>
      <c r="C15" s="4685"/>
      <c r="D15" s="4685"/>
      <c r="E15" s="4685"/>
      <c r="F15" s="4685"/>
      <c r="G15" s="4685"/>
      <c r="H15" s="4679" t="s">
        <v>2077</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2078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2079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4686"/>
      <c r="D16" s="4686"/>
      <c r="E16" s="4686"/>
      <c r="F16" s="4686"/>
      <c r="G16" s="4686"/>
      <c r="H16" s="4680"/>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2079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1694</v>
      </c>
      <c r="B18" s="823">
        <v>1</v>
      </c>
      <c r="C18" s="769" t="s">
        <v>2063</v>
      </c>
      <c r="D18" s="891" t="s">
        <v>2063</v>
      </c>
      <c r="E18" s="769" t="s">
        <v>2063</v>
      </c>
      <c r="F18" s="769" t="s">
        <v>2063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2080</v>
      </c>
      <c r="U18" s="772" t="s">
        <v>2081</v>
      </c>
      <c r="V18" s="772" t="s">
        <v>2082</v>
      </c>
      <c r="W18" s="772" t="s">
        <v>2083</v>
      </c>
      <c r="X18" s="769"/>
      <c r="Y18" s="923"/>
      <c r="Z18" s="772" t="s">
        <v>2084</v>
      </c>
      <c r="AA18" s="775" t="s">
        <v>2085</v>
      </c>
      <c r="AB18" s="775" t="s">
        <v>2085</v>
      </c>
      <c r="AC18" s="775" t="s">
        <v>2085</v>
      </c>
      <c r="AD18" s="772"/>
    </row>
    <row r="19" spans="1:30" ht="36" customHeight="1">
      <c r="A19" s="771"/>
      <c r="B19" s="823">
        <v>2</v>
      </c>
      <c r="C19" s="769" t="s">
        <v>2067</v>
      </c>
      <c r="D19" s="891" t="s">
        <v>2067</v>
      </c>
      <c r="E19" s="769" t="s">
        <v>2067</v>
      </c>
      <c r="F19" s="769" t="s">
        <v>2067</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2086</v>
      </c>
      <c r="U19" s="772" t="s">
        <v>2087</v>
      </c>
      <c r="V19" s="772" t="s">
        <v>2088</v>
      </c>
      <c r="W19" s="772" t="s">
        <v>2089</v>
      </c>
      <c r="X19" s="769"/>
      <c r="Y19" s="923"/>
      <c r="Z19" s="772" t="s">
        <v>2090</v>
      </c>
      <c r="AA19" s="775" t="s">
        <v>2090</v>
      </c>
      <c r="AB19" s="775" t="s">
        <v>2090</v>
      </c>
      <c r="AC19" s="775" t="s">
        <v>2090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729</v>
      </c>
      <c r="P20" s="881" t="s">
        <v>729</v>
      </c>
      <c r="Q20" s="881" t="s">
        <v>729</v>
      </c>
      <c r="R20" s="881" t="s">
        <v>729</v>
      </c>
      <c r="S20" s="881"/>
      <c r="T20" s="888" t="s">
        <v>2091</v>
      </c>
      <c r="U20" s="772" t="s">
        <v>2092</v>
      </c>
      <c r="V20" s="772" t="s">
        <v>2093</v>
      </c>
      <c r="W20" s="772" t="s">
        <v>2094</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328</v>
      </c>
      <c r="P21" s="881"/>
      <c r="Q21" s="881"/>
      <c r="R21" s="881"/>
      <c r="S21" s="881"/>
      <c r="T21" s="888" t="s">
        <v>2095</v>
      </c>
      <c r="U21" s="772"/>
      <c r="V21" s="772"/>
      <c r="W21" s="772"/>
      <c r="X21" s="769"/>
      <c r="Y21" s="923"/>
      <c r="Z21" s="772" t="s">
        <v>2096</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328</v>
      </c>
      <c r="R22" s="881"/>
      <c r="S22" s="881"/>
      <c r="T22" s="888"/>
      <c r="U22" s="772"/>
      <c r="V22" s="772" t="s">
        <v>2097</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331</v>
      </c>
      <c r="R23" s="881"/>
      <c r="S23" s="881"/>
      <c r="T23" s="888"/>
      <c r="U23" s="772"/>
      <c r="V23" s="772" t="s">
        <v>2098</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749</v>
      </c>
      <c r="R24" s="881"/>
      <c r="S24" s="881"/>
      <c r="T24" s="888"/>
      <c r="U24" s="772"/>
      <c r="V24" s="772" t="s">
        <v>2099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331</v>
      </c>
      <c r="P25" s="881" t="s">
        <v>328</v>
      </c>
      <c r="Q25" s="881" t="s">
        <v>756</v>
      </c>
      <c r="R25" s="881" t="s">
        <v>328</v>
      </c>
      <c r="S25" s="881"/>
      <c r="T25" s="888" t="s">
        <v>2100</v>
      </c>
      <c r="U25" s="772" t="s">
        <v>2100</v>
      </c>
      <c r="V25" s="772" t="s">
        <v>2100</v>
      </c>
      <c r="W25" s="772" t="s">
        <v>2100</v>
      </c>
      <c r="X25" s="769"/>
      <c r="Y25" s="923"/>
      <c r="Z25" s="772"/>
      <c r="AA25" s="775"/>
      <c r="AB25" s="772"/>
      <c r="AC25" s="772"/>
      <c r="AD25" s="772"/>
    </row>
    <row r="26" spans="1:30" ht="18" customHeight="1">
      <c r="A26" s="771"/>
      <c r="B26" s="823">
        <v>9</v>
      </c>
      <c r="C26" s="769" t="s">
        <v>673</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745</v>
      </c>
      <c r="P26" s="881" t="s">
        <v>739</v>
      </c>
      <c r="Q26" s="881" t="s">
        <v>2101</v>
      </c>
      <c r="R26" s="881" t="s">
        <v>739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2102</v>
      </c>
      <c r="V26" s="888" t="s">
        <v>2102</v>
      </c>
      <c r="W26" s="888" t="s">
        <v>2102</v>
      </c>
      <c r="X26" s="769"/>
      <c r="Y26" s="923"/>
      <c r="Z26" s="772"/>
      <c r="AA26" s="775"/>
      <c r="AB26" s="772"/>
      <c r="AC26" s="772"/>
      <c r="AD26" s="772"/>
    </row>
    <row r="27" spans="1:30" ht="18" customHeight="1">
      <c r="A27" s="771"/>
      <c r="B27" s="823">
        <v>10</v>
      </c>
      <c r="C27" s="769" t="s">
        <v>677</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747</v>
      </c>
      <c r="P27" s="881" t="s">
        <v>741</v>
      </c>
      <c r="Q27" s="881" t="s">
        <v>2103</v>
      </c>
      <c r="R27" s="881" t="s">
        <v>741</v>
      </c>
      <c r="S27" s="881"/>
      <c r="T27" s="888" t="s">
        <v>2104</v>
      </c>
      <c r="U27" s="888" t="s">
        <v>2104</v>
      </c>
      <c r="V27" s="888" t="s">
        <v>2104</v>
      </c>
      <c r="W27" s="888" t="s">
        <v>2104</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749</v>
      </c>
      <c r="P28" s="881"/>
      <c r="Q28" s="881"/>
      <c r="R28" s="881"/>
      <c r="S28" s="881"/>
      <c r="T28" s="888" t="s">
        <v>2105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756</v>
      </c>
      <c r="P29" s="881" t="s">
        <v>331</v>
      </c>
      <c r="Q29" s="881"/>
      <c r="R29" s="881" t="s">
        <v>331</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2106</v>
      </c>
      <c r="V29" s="772"/>
      <c r="W29" s="772" t="s">
        <v>2106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758</v>
      </c>
      <c r="P30" s="881" t="s">
        <v>749</v>
      </c>
      <c r="Q30" s="881" t="s">
        <v>758</v>
      </c>
      <c r="R30" s="881" t="s">
        <v>749</v>
      </c>
      <c r="S30" s="881"/>
      <c r="T30" s="888" t="s">
        <v>2107</v>
      </c>
      <c r="U30" s="772" t="s">
        <v>2107</v>
      </c>
      <c r="V30" s="772" t="s">
        <v>2107</v>
      </c>
      <c r="W30" s="772" t="s">
        <v>2107</v>
      </c>
      <c r="X30" s="769"/>
      <c r="Y30" s="923"/>
      <c r="Z30" s="772"/>
      <c r="AA30" s="775" t="s">
        <v>2108</v>
      </c>
      <c r="AB30" s="775" t="s">
        <v>2108</v>
      </c>
      <c r="AC30" s="775" t="s">
        <v>2108</v>
      </c>
      <c r="AD30" s="772"/>
    </row>
    <row r="31" spans="1:30" ht="18" customHeight="1">
      <c r="A31" s="771"/>
      <c r="B31" s="823">
        <v>14</v>
      </c>
      <c r="C31" s="769" t="s">
        <v>2109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2110</v>
      </c>
      <c r="P31" s="881" t="s">
        <v>752</v>
      </c>
      <c r="Q31" s="881" t="s">
        <v>2110</v>
      </c>
      <c r="R31" s="881" t="s">
        <v>752</v>
      </c>
      <c r="S31" s="881"/>
      <c r="T31" s="889" t="s">
        <v>2111</v>
      </c>
      <c r="U31" s="772" t="s">
        <v>2111</v>
      </c>
      <c r="V31" s="772" t="s">
        <v>2111</v>
      </c>
      <c r="W31" s="772" t="s">
        <v>2111</v>
      </c>
      <c r="X31" s="769"/>
      <c r="Y31" s="923"/>
      <c r="Z31" s="772"/>
      <c r="AA31" s="775"/>
      <c r="AB31" s="775"/>
      <c r="AC31" s="775"/>
      <c r="AD31" s="772"/>
    </row>
    <row r="32" spans="1:30" ht="36" customHeight="1">
      <c r="A32" s="771"/>
      <c r="B32" s="823">
        <v>15</v>
      </c>
      <c r="C32" s="769" t="s">
        <v>2112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2113</v>
      </c>
      <c r="P32" s="881" t="s">
        <v>754</v>
      </c>
      <c r="Q32" s="881" t="s">
        <v>2113</v>
      </c>
      <c r="R32" s="881" t="s">
        <v>754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2114</v>
      </c>
      <c r="V32" s="772" t="s">
        <v>2114</v>
      </c>
      <c r="W32" s="772" t="s">
        <v>2114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760</v>
      </c>
      <c r="P33" s="881" t="s">
        <v>756</v>
      </c>
      <c r="Q33" s="881" t="s">
        <v>760</v>
      </c>
      <c r="R33" s="881" t="s">
        <v>756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2115</v>
      </c>
      <c r="V33" s="772" t="s">
        <v>2115</v>
      </c>
      <c r="W33" s="772" t="s">
        <v>2116</v>
      </c>
      <c r="X33" s="769"/>
      <c r="Y33" s="923"/>
      <c r="Z33" s="772"/>
      <c r="AA33" s="775" t="s">
        <v>2117</v>
      </c>
      <c r="AB33" s="775" t="s">
        <v>2117</v>
      </c>
      <c r="AC33" s="775" t="s">
        <v>2117</v>
      </c>
      <c r="AD33" s="772"/>
    </row>
    <row r="34" spans="1:30" ht="27" customHeight="1">
      <c r="A34" s="771"/>
      <c r="B34" s="823">
        <v>17</v>
      </c>
      <c r="C34" s="769" t="s">
        <v>2118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2119</v>
      </c>
      <c r="P34" s="881" t="s">
        <v>2101</v>
      </c>
      <c r="Q34" s="881" t="s">
        <v>2119</v>
      </c>
      <c r="R34" s="881" t="s">
        <v>2101</v>
      </c>
      <c r="S34" s="881"/>
      <c r="T34" s="890" t="s">
        <v>2120</v>
      </c>
      <c r="U34" s="772" t="s">
        <v>2120</v>
      </c>
      <c r="V34" s="772" t="s">
        <v>2120</v>
      </c>
      <c r="W34" s="772" t="s">
        <v>2121</v>
      </c>
      <c r="X34" s="769"/>
      <c r="Y34" s="923"/>
      <c r="Z34" s="772"/>
      <c r="AA34" s="775"/>
      <c r="AB34" s="772"/>
      <c r="AC34" s="772"/>
      <c r="AD34" s="772"/>
    </row>
    <row r="35" spans="1:30" ht="45" customHeight="1">
      <c r="A35" s="771"/>
      <c r="B35" s="823">
        <v>18</v>
      </c>
      <c r="C35" s="769" t="s">
        <v>2122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2123</v>
      </c>
      <c r="P35" s="881" t="s">
        <v>2103</v>
      </c>
      <c r="Q35" s="881" t="s">
        <v>2123</v>
      </c>
      <c r="R35" s="881" t="s">
        <v>2103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2124</v>
      </c>
      <c r="V35" s="772" t="s">
        <v>2124</v>
      </c>
      <c r="W35" s="772" t="s">
        <v>2124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762</v>
      </c>
      <c r="P36" s="881" t="s">
        <v>758</v>
      </c>
      <c r="Q36" s="881" t="s">
        <v>762</v>
      </c>
      <c r="R36" s="881" t="s">
        <v>758</v>
      </c>
      <c r="S36" s="881"/>
      <c r="T36" s="888" t="s">
        <v>2125</v>
      </c>
      <c r="U36" s="772" t="s">
        <v>2125</v>
      </c>
      <c r="V36" s="772" t="s">
        <v>2125</v>
      </c>
      <c r="W36" s="772" t="s">
        <v>2125</v>
      </c>
      <c r="X36" s="769"/>
      <c r="Y36" s="923"/>
      <c r="Z36" s="772"/>
      <c r="AA36" s="775"/>
      <c r="AB36" s="772"/>
      <c r="AC36" s="772"/>
      <c r="AD36" s="772"/>
    </row>
    <row r="37" spans="1:30" ht="18" customHeight="1">
      <c r="A37" s="771"/>
      <c r="B37" s="823">
        <v>20</v>
      </c>
      <c r="C37" s="769" t="s">
        <v>2126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2127</v>
      </c>
      <c r="P37" s="881" t="s">
        <v>2110</v>
      </c>
      <c r="Q37" s="881" t="s">
        <v>2127</v>
      </c>
      <c r="R37" s="881" t="s">
        <v>2110</v>
      </c>
      <c r="S37" s="881"/>
      <c r="T37" s="888" t="s">
        <v>2128</v>
      </c>
      <c r="U37" s="772" t="s">
        <v>2128</v>
      </c>
      <c r="V37" s="772" t="s">
        <v>2128</v>
      </c>
      <c r="W37" s="772" t="s">
        <v>2128</v>
      </c>
      <c r="X37" s="769"/>
      <c r="Y37" s="923"/>
      <c r="Z37" s="772"/>
      <c r="AA37" s="775"/>
      <c r="AB37" s="772"/>
      <c r="AC37" s="772"/>
      <c r="AD37" s="772"/>
    </row>
    <row r="38" spans="1:30" ht="18" customHeight="1">
      <c r="A38" s="771"/>
      <c r="B38" s="823">
        <v>21</v>
      </c>
      <c r="C38" s="769" t="s">
        <v>2129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2130</v>
      </c>
      <c r="P38" s="881" t="s">
        <v>2113</v>
      </c>
      <c r="Q38" s="881" t="s">
        <v>2130</v>
      </c>
      <c r="R38" s="881" t="s">
        <v>2113</v>
      </c>
      <c r="S38" s="881"/>
      <c r="T38" s="888" t="s">
        <v>2131</v>
      </c>
      <c r="U38" s="772" t="s">
        <v>2131</v>
      </c>
      <c r="V38" s="772" t="s">
        <v>2131</v>
      </c>
      <c r="W38" s="772" t="s">
        <v>2131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766</v>
      </c>
      <c r="P39" s="881" t="s">
        <v>760</v>
      </c>
      <c r="Q39" s="881" t="s">
        <v>766</v>
      </c>
      <c r="R39" s="881" t="s">
        <v>760</v>
      </c>
      <c r="S39" s="881"/>
      <c r="T39" s="888" t="s">
        <v>2132</v>
      </c>
      <c r="U39" s="772" t="s">
        <v>2133</v>
      </c>
      <c r="V39" s="772" t="s">
        <v>2134</v>
      </c>
      <c r="W39" s="772" t="s">
        <v>2135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2136</v>
      </c>
      <c r="P40" s="881" t="s">
        <v>762</v>
      </c>
      <c r="Q40" s="881" t="s">
        <v>2136</v>
      </c>
      <c r="R40" s="881" t="s">
        <v>762</v>
      </c>
      <c r="S40" s="881"/>
      <c r="T40" s="769" t="s">
        <v>2137</v>
      </c>
      <c r="U40" s="769" t="s">
        <v>2137</v>
      </c>
      <c r="V40" s="769" t="s">
        <v>2137</v>
      </c>
      <c r="W40" s="769" t="s">
        <v>2137</v>
      </c>
      <c r="X40" s="769"/>
      <c r="Y40" s="923"/>
      <c r="Z40" s="772" t="s">
        <v>2138</v>
      </c>
      <c r="AA40" s="775" t="s">
        <v>2138</v>
      </c>
      <c r="AB40" s="775" t="s">
        <v>2138</v>
      </c>
      <c r="AC40" s="775" t="s">
        <v>2138</v>
      </c>
      <c r="AD40" s="772"/>
    </row>
    <row r="41" spans="1:30" ht="27" customHeight="1">
      <c r="A41" s="771"/>
      <c r="B41" s="823">
        <v>24</v>
      </c>
      <c r="C41" s="769" t="s">
        <v>2139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2140</v>
      </c>
      <c r="P41" s="881" t="s">
        <v>2127</v>
      </c>
      <c r="Q41" s="881" t="s">
        <v>2140</v>
      </c>
      <c r="R41" s="881" t="s">
        <v>2127</v>
      </c>
      <c r="S41" s="881"/>
      <c r="T41" s="769" t="s">
        <v>2141</v>
      </c>
      <c r="U41" s="769" t="s">
        <v>2141</v>
      </c>
      <c r="V41" s="769" t="s">
        <v>2141</v>
      </c>
      <c r="W41" s="769" t="s">
        <v>2141</v>
      </c>
      <c r="X41" s="769"/>
      <c r="Y41" s="923"/>
      <c r="Z41" s="772" t="s">
        <v>2142</v>
      </c>
      <c r="AA41" s="772" t="s">
        <v>2142</v>
      </c>
      <c r="AB41" s="772" t="s">
        <v>2142</v>
      </c>
      <c r="AC41" s="772" t="s">
        <v>2142</v>
      </c>
      <c r="AD41" s="772"/>
    </row>
    <row r="42" spans="1:30" ht="27" customHeight="1">
      <c r="A42" s="771"/>
      <c r="B42" s="823">
        <v>25</v>
      </c>
      <c r="C42" s="769" t="s">
        <v>2143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2144</v>
      </c>
      <c r="P42" s="881" t="s">
        <v>2130</v>
      </c>
      <c r="Q42" s="881" t="s">
        <v>2144</v>
      </c>
      <c r="R42" s="881" t="s">
        <v>2130</v>
      </c>
      <c r="S42" s="881"/>
      <c r="T42" s="769" t="s">
        <v>2145</v>
      </c>
      <c r="U42" s="769" t="s">
        <v>2145</v>
      </c>
      <c r="V42" s="769" t="s">
        <v>2145</v>
      </c>
      <c r="W42" s="769" t="s">
        <v>2145</v>
      </c>
      <c r="X42" s="769"/>
      <c r="Y42" s="923"/>
      <c r="Z42" s="772" t="s">
        <v>2146</v>
      </c>
      <c r="AA42" s="772" t="s">
        <v>2146</v>
      </c>
      <c r="AB42" s="772" t="s">
        <v>2146</v>
      </c>
      <c r="AC42" s="772" t="s">
        <v>2146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2147</v>
      </c>
      <c r="P43" s="881" t="s">
        <v>766</v>
      </c>
      <c r="Q43" s="881" t="s">
        <v>2147</v>
      </c>
      <c r="R43" s="881" t="s">
        <v>766</v>
      </c>
      <c r="S43" s="881"/>
      <c r="T43" s="769" t="s">
        <v>2148</v>
      </c>
      <c r="U43" s="769" t="s">
        <v>2148</v>
      </c>
      <c r="V43" s="769" t="s">
        <v>2148</v>
      </c>
      <c r="W43" s="769" t="s">
        <v>2148</v>
      </c>
      <c r="X43" s="769"/>
      <c r="Y43" s="923"/>
      <c r="Z43" s="772" t="s">
        <v>2149</v>
      </c>
      <c r="AA43" s="772" t="s">
        <v>2149</v>
      </c>
      <c r="AB43" s="772" t="s">
        <v>2149</v>
      </c>
      <c r="AC43" s="772" t="s">
        <v>2149</v>
      </c>
      <c r="AD43" s="772"/>
    </row>
    <row r="44" spans="1:30" ht="27" customHeight="1">
      <c r="A44" s="771"/>
      <c r="B44" s="823">
        <v>27</v>
      </c>
      <c r="C44" s="769" t="s">
        <v>2150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2151</v>
      </c>
      <c r="P44" s="881" t="s">
        <v>2152</v>
      </c>
      <c r="Q44" s="881" t="s">
        <v>2151</v>
      </c>
      <c r="R44" s="881" t="s">
        <v>2152</v>
      </c>
      <c r="S44" s="881"/>
      <c r="T44" s="769" t="s">
        <v>2141</v>
      </c>
      <c r="U44" s="769" t="s">
        <v>2141</v>
      </c>
      <c r="V44" s="769" t="s">
        <v>2141</v>
      </c>
      <c r="W44" s="769" t="s">
        <v>2141</v>
      </c>
      <c r="X44" s="769"/>
      <c r="Y44" s="923"/>
      <c r="Z44" s="772" t="s">
        <v>2153</v>
      </c>
      <c r="AA44" s="772" t="s">
        <v>2153</v>
      </c>
      <c r="AB44" s="772" t="s">
        <v>2153</v>
      </c>
      <c r="AC44" s="772" t="s">
        <v>2153</v>
      </c>
      <c r="AD44" s="772"/>
    </row>
    <row r="45" spans="1:30" ht="27" customHeight="1">
      <c r="A45" s="771"/>
      <c r="B45" s="823">
        <v>28</v>
      </c>
      <c r="C45" s="769" t="s">
        <v>2154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2155</v>
      </c>
      <c r="P45" s="881" t="s">
        <v>2156</v>
      </c>
      <c r="Q45" s="881" t="s">
        <v>2155</v>
      </c>
      <c r="R45" s="881" t="s">
        <v>2156</v>
      </c>
      <c r="S45" s="881"/>
      <c r="T45" s="769" t="s">
        <v>2145</v>
      </c>
      <c r="U45" s="769" t="s">
        <v>2145</v>
      </c>
      <c r="V45" s="769" t="s">
        <v>2145</v>
      </c>
      <c r="W45" s="769" t="s">
        <v>2145</v>
      </c>
      <c r="X45" s="769"/>
      <c r="Y45" s="923"/>
      <c r="Z45" s="772" t="s">
        <v>2157</v>
      </c>
      <c r="AA45" s="772" t="s">
        <v>2157</v>
      </c>
      <c r="AB45" s="772" t="s">
        <v>2157</v>
      </c>
      <c r="AC45" s="772" t="s">
        <v>2157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2158</v>
      </c>
      <c r="P46" s="881" t="s">
        <v>2136</v>
      </c>
      <c r="Q46" s="881" t="s">
        <v>2158</v>
      </c>
      <c r="R46" s="881" t="s">
        <v>2136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2159</v>
      </c>
      <c r="V46" s="769" t="s">
        <v>2159</v>
      </c>
      <c r="W46" s="769" t="s">
        <v>2159</v>
      </c>
      <c r="X46" s="769"/>
      <c r="Y46" s="923"/>
      <c r="Z46" s="772" t="s">
        <v>2160</v>
      </c>
      <c r="AA46" s="772" t="s">
        <v>2161</v>
      </c>
      <c r="AB46" s="772" t="s">
        <v>2161</v>
      </c>
      <c r="AC46" s="772" t="s">
        <v>2161</v>
      </c>
      <c r="AD46" s="772"/>
    </row>
    <row r="47" spans="1:30" ht="54" customHeight="1">
      <c r="A47" s="771"/>
      <c r="B47" s="823">
        <v>30</v>
      </c>
      <c r="C47" s="769" t="s">
        <v>2162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2163</v>
      </c>
      <c r="P47" s="881" t="s">
        <v>2140</v>
      </c>
      <c r="Q47" s="881" t="s">
        <v>2163</v>
      </c>
      <c r="R47" s="881" t="s">
        <v>2140</v>
      </c>
      <c r="S47" s="881"/>
      <c r="T47" s="769" t="s">
        <v>2164</v>
      </c>
      <c r="U47" s="769" t="s">
        <v>2164</v>
      </c>
      <c r="V47" s="769" t="s">
        <v>2164</v>
      </c>
      <c r="W47" s="769" t="s">
        <v>2164</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2147</v>
      </c>
      <c r="Q48" s="881" t="s">
        <v>2165</v>
      </c>
      <c r="R48" s="881" t="s">
        <v>2147</v>
      </c>
      <c r="S48" s="881"/>
      <c r="T48" s="769"/>
      <c r="U48" s="769" t="s">
        <v>2166</v>
      </c>
      <c r="V48" s="769" t="s">
        <v>2167</v>
      </c>
      <c r="W48" s="769" t="s">
        <v>2167</v>
      </c>
      <c r="X48" s="769"/>
      <c r="Y48" s="923"/>
      <c r="Z48" s="772"/>
      <c r="AA48" s="775" t="s">
        <v>2161</v>
      </c>
      <c r="AB48" s="775" t="s">
        <v>2161</v>
      </c>
      <c r="AC48" s="775" t="s">
        <v>2161</v>
      </c>
      <c r="AD48" s="772"/>
    </row>
    <row r="49" spans="1:30" ht="54" customHeight="1">
      <c r="A49" s="771"/>
      <c r="B49" s="823">
        <v>32</v>
      </c>
      <c r="C49" s="769" t="s">
        <v>2168</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2151</v>
      </c>
      <c r="Q49" s="881" t="s">
        <v>2169</v>
      </c>
      <c r="R49" s="881" t="s">
        <v>2151</v>
      </c>
      <c r="S49" s="881"/>
      <c r="T49" s="769"/>
      <c r="U49" s="769" t="s">
        <v>2164</v>
      </c>
      <c r="V49" s="769" t="s">
        <v>2164</v>
      </c>
      <c r="W49" s="769" t="s">
        <v>2164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2165</v>
      </c>
      <c r="P50" s="881" t="s">
        <v>2158</v>
      </c>
      <c r="Q50" s="881" t="s">
        <v>2170</v>
      </c>
      <c r="R50" s="881" t="s">
        <v>2158</v>
      </c>
      <c r="S50" s="881"/>
      <c r="T50" s="769" t="s">
        <v>2171</v>
      </c>
      <c r="U50" s="769" t="s">
        <v>2172</v>
      </c>
      <c r="V50" s="769" t="s">
        <v>2173</v>
      </c>
      <c r="W50" s="769" t="s">
        <v>2174</v>
      </c>
      <c r="X50" s="769"/>
      <c r="Y50" s="923"/>
      <c r="Z50" s="772" t="s">
        <v>2175</v>
      </c>
      <c r="AA50" s="775" t="s">
        <v>2176</v>
      </c>
      <c r="AB50" s="775" t="s">
        <v>2176</v>
      </c>
      <c r="AC50" s="775" t="s">
        <v>2176</v>
      </c>
      <c r="AD50" s="772"/>
    </row>
    <row r="51" spans="1:30" ht="27" customHeight="1">
      <c r="A51" s="771"/>
      <c r="B51" s="823">
        <v>34</v>
      </c>
      <c r="C51" s="769" t="s">
        <v>2177</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94</v>
      </c>
      <c r="P51" s="881"/>
      <c r="Q51" s="881"/>
      <c r="R51" s="881"/>
      <c r="S51" s="881"/>
      <c r="T51" s="769" t="s">
        <v>2178</v>
      </c>
      <c r="U51" s="769"/>
      <c r="V51" s="769"/>
      <c r="W51" s="769"/>
      <c r="X51" s="769"/>
      <c r="Y51" s="923"/>
      <c r="Z51" s="772"/>
      <c r="AA51" s="775"/>
      <c r="AB51" s="775"/>
      <c r="AC51" s="775"/>
      <c r="AD51" s="772"/>
    </row>
    <row r="52" spans="1:30" ht="36" customHeight="1">
      <c r="A52" s="771"/>
      <c r="B52" s="823">
        <v>35</v>
      </c>
      <c r="C52" s="769" t="s">
        <v>2071</v>
      </c>
      <c r="D52" s="891" t="s">
        <v>2071</v>
      </c>
      <c r="E52" s="769" t="s">
        <v>2071</v>
      </c>
      <c r="F52" s="769" t="s">
        <v>2071</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95</v>
      </c>
      <c r="P52" s="881" t="s">
        <v>94</v>
      </c>
      <c r="Q52" s="881" t="s">
        <v>94</v>
      </c>
      <c r="R52" s="881" t="s">
        <v>94</v>
      </c>
      <c r="S52" s="881"/>
      <c r="T52" s="769" t="s">
        <v>2179</v>
      </c>
      <c r="U52" s="769" t="s">
        <v>2180</v>
      </c>
      <c r="V52" s="769" t="s">
        <v>2181</v>
      </c>
      <c r="W52" s="769" t="s">
        <v>2182</v>
      </c>
      <c r="X52" s="769"/>
      <c r="Y52" s="923"/>
      <c r="Z52" s="772" t="s">
        <v>770</v>
      </c>
      <c r="AA52" s="775" t="s">
        <v>770</v>
      </c>
      <c r="AB52" s="775" t="s">
        <v>770</v>
      </c>
      <c r="AC52" s="775" t="s">
        <v>770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774</v>
      </c>
      <c r="P53" s="881" t="s">
        <v>345</v>
      </c>
      <c r="Q53" s="881" t="s">
        <v>345</v>
      </c>
      <c r="R53" s="881" t="s">
        <v>345</v>
      </c>
      <c r="S53" s="881"/>
      <c r="T53" s="769" t="s">
        <v>2183</v>
      </c>
      <c r="U53" s="769" t="s">
        <v>2183</v>
      </c>
      <c r="V53" s="769" t="s">
        <v>2183</v>
      </c>
      <c r="W53" s="769" t="s">
        <v>2183</v>
      </c>
      <c r="X53" s="769"/>
      <c r="Y53" s="923"/>
      <c r="Z53" s="772"/>
      <c r="AA53" s="775"/>
      <c r="AB53" s="772"/>
      <c r="AC53" s="772"/>
      <c r="AD53" s="772"/>
    </row>
    <row r="54" spans="1:30" ht="18" customHeight="1">
      <c r="A54" s="771"/>
      <c r="B54" s="823">
        <v>37</v>
      </c>
      <c r="C54" s="769" t="s">
        <v>2077</v>
      </c>
      <c r="D54" s="891" t="s">
        <v>2077</v>
      </c>
      <c r="E54" s="769" t="s">
        <v>2077</v>
      </c>
      <c r="F54" s="769" t="s">
        <v>2077</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103</v>
      </c>
      <c r="P54" s="881" t="s">
        <v>95</v>
      </c>
      <c r="Q54" s="881" t="s">
        <v>95</v>
      </c>
      <c r="R54" s="881" t="s">
        <v>95</v>
      </c>
      <c r="S54" s="881"/>
      <c r="T54" s="769" t="s">
        <v>772</v>
      </c>
      <c r="U54" s="769" t="s">
        <v>772</v>
      </c>
      <c r="V54" s="769" t="s">
        <v>772</v>
      </c>
      <c r="W54" s="769" t="s">
        <v>772</v>
      </c>
      <c r="X54" s="769"/>
      <c r="Y54" s="923"/>
      <c r="Z54" s="772" t="s">
        <v>773</v>
      </c>
      <c r="AA54" s="772" t="s">
        <v>773</v>
      </c>
      <c r="AB54" s="772" t="s">
        <v>773</v>
      </c>
      <c r="AC54" s="772" t="s">
        <v>773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334</v>
      </c>
      <c r="P55" s="881" t="s">
        <v>774</v>
      </c>
      <c r="Q55" s="881" t="s">
        <v>774</v>
      </c>
      <c r="R55" s="881" t="s">
        <v>774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2184</v>
      </c>
      <c r="V55" s="769" t="s">
        <v>2184</v>
      </c>
      <c r="W55" s="769" t="s">
        <v>2184</v>
      </c>
      <c r="X55" s="769"/>
      <c r="Y55" s="923"/>
      <c r="Z55" s="772" t="s">
        <v>2185</v>
      </c>
      <c r="AA55" s="772" t="s">
        <v>2185</v>
      </c>
      <c r="AB55" s="772" t="s">
        <v>2185</v>
      </c>
      <c r="AC55" s="772" t="s">
        <v>2185</v>
      </c>
      <c r="AD55" s="772"/>
    </row>
    <row r="56" spans="1:30" ht="27" customHeight="1">
      <c r="A56" s="771"/>
      <c r="B56" s="823">
        <v>39</v>
      </c>
      <c r="C56" s="769" t="s">
        <v>1042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1178</v>
      </c>
      <c r="P56" s="881" t="s">
        <v>777</v>
      </c>
      <c r="Q56" s="881" t="s">
        <v>777</v>
      </c>
      <c r="R56" s="881" t="s">
        <v>777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2186</v>
      </c>
      <c r="V56" s="769" t="s">
        <v>2186</v>
      </c>
      <c r="W56" s="769" t="s">
        <v>2186</v>
      </c>
      <c r="X56" s="769"/>
      <c r="Y56" s="923"/>
      <c r="Z56" s="772" t="s">
        <v>779</v>
      </c>
      <c r="AA56" s="772" t="s">
        <v>779</v>
      </c>
      <c r="AB56" s="772" t="s">
        <v>779</v>
      </c>
      <c r="AC56" s="772" t="s">
        <v>779</v>
      </c>
      <c r="AD56" s="772"/>
    </row>
    <row r="57" spans="1:30" ht="27" customHeight="1">
      <c r="A57" s="771"/>
      <c r="B57" s="823">
        <v>40</v>
      </c>
      <c r="C57" s="769" t="s">
        <v>1044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2187</v>
      </c>
      <c r="P57" s="881" t="s">
        <v>780</v>
      </c>
      <c r="Q57" s="881" t="s">
        <v>780</v>
      </c>
      <c r="R57" s="881" t="s">
        <v>780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2188</v>
      </c>
      <c r="V57" s="769" t="s">
        <v>2188</v>
      </c>
      <c r="W57" s="769" t="s">
        <v>2188</v>
      </c>
      <c r="X57" s="769"/>
      <c r="Y57" s="923"/>
      <c r="Z57" s="772" t="s">
        <v>782</v>
      </c>
      <c r="AA57" s="772" t="s">
        <v>782</v>
      </c>
      <c r="AB57" s="772" t="s">
        <v>782</v>
      </c>
      <c r="AC57" s="772" t="s">
        <v>782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902</v>
      </c>
      <c r="P58" s="881" t="s">
        <v>816</v>
      </c>
      <c r="Q58" s="881" t="s">
        <v>816</v>
      </c>
      <c r="R58" s="881" t="s">
        <v>816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2189</v>
      </c>
      <c r="V58" s="769" t="s">
        <v>2189</v>
      </c>
      <c r="W58" s="769" t="s">
        <v>2189</v>
      </c>
      <c r="X58" s="769"/>
      <c r="Y58" s="923"/>
      <c r="Z58" s="772"/>
      <c r="AA58" s="775"/>
      <c r="AB58" s="772"/>
      <c r="AC58" s="772"/>
      <c r="AD58" s="772"/>
    </row>
    <row r="59" spans="1:30" ht="36" customHeight="1">
      <c r="A59" s="771"/>
      <c r="B59" s="823">
        <v>42</v>
      </c>
      <c r="C59" s="769">
        <v>3</v>
      </c>
      <c r="D59" s="891" t="s">
        <v>2177</v>
      </c>
      <c r="E59" s="769" t="s">
        <v>2177</v>
      </c>
      <c r="F59" s="769" t="s">
        <v>2177</v>
      </c>
      <c r="G59" s="769"/>
      <c r="H59" s="815"/>
      <c r="I59" s="927">
        <f t="shared" si="7"/>
        <v>0</v>
      </c>
      <c r="J59" s="927">
        <f t="shared" si="8"/>
        <v>0</v>
      </c>
      <c r="K59" s="927">
        <f t="shared" si="9"/>
        <v>0</v>
      </c>
      <c r="L59" s="770" t="str">
        <f t="shared" si="10"/>
        <v/>
      </c>
      <c r="M59" s="770" t="str">
        <f t="shared" si="11"/>
        <v/>
      </c>
      <c r="N59" s="770" t="str">
        <f t="shared" si="12"/>
        <v/>
      </c>
      <c r="O59" s="881"/>
      <c r="P59" s="881" t="s">
        <v>103</v>
      </c>
      <c r="Q59" s="881" t="s">
        <v>103</v>
      </c>
      <c r="R59" s="881" t="s">
        <v>103</v>
      </c>
      <c r="S59" s="881"/>
      <c r="T59" s="769"/>
      <c r="U59" s="769" t="s">
        <v>2190</v>
      </c>
      <c r="V59" s="769" t="s">
        <v>2191</v>
      </c>
      <c r="W59" s="769" t="s">
        <v>2192</v>
      </c>
      <c r="X59" s="769"/>
      <c r="Y59" s="923"/>
      <c r="Z59" s="772"/>
      <c r="AA59" s="775"/>
      <c r="AB59" s="772"/>
      <c r="AC59" s="772"/>
      <c r="AD59" s="772"/>
    </row>
    <row r="60" spans="1:30" ht="81" customHeight="1">
      <c r="A60" s="771"/>
      <c r="B60" s="823">
        <v>43</v>
      </c>
      <c r="C60" s="769" t="s">
        <v>2193</v>
      </c>
      <c r="D60" s="891" t="s">
        <v>2193</v>
      </c>
      <c r="E60" s="769" t="s">
        <v>2193</v>
      </c>
      <c r="F60" s="769" t="s">
        <v>2193</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96</v>
      </c>
      <c r="P60" s="881" t="s">
        <v>96</v>
      </c>
      <c r="Q60" s="881" t="s">
        <v>96</v>
      </c>
      <c r="R60" s="881" t="s">
        <v>96</v>
      </c>
      <c r="S60" s="881"/>
      <c r="T60" s="769" t="s">
        <v>650</v>
      </c>
      <c r="U60" s="769" t="s">
        <v>650</v>
      </c>
      <c r="V60" s="769" t="s">
        <v>650</v>
      </c>
      <c r="W60" s="769" t="s">
        <v>650</v>
      </c>
      <c r="X60" s="769"/>
      <c r="Y60" s="923"/>
      <c r="Z60" s="772" t="s">
        <v>2194</v>
      </c>
      <c r="AA60" s="775" t="s">
        <v>2195</v>
      </c>
      <c r="AB60" s="772" t="s">
        <v>2196</v>
      </c>
      <c r="AC60" s="772" t="s">
        <v>2195</v>
      </c>
      <c r="AD60" s="772"/>
    </row>
    <row r="61" spans="1:30" ht="9" customHeight="1">
      <c r="A61" s="771"/>
      <c r="B61" s="823">
        <v>44</v>
      </c>
      <c r="C61" s="769"/>
      <c r="D61" s="891" t="s">
        <v>2197</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97</v>
      </c>
      <c r="Q61" s="881"/>
      <c r="R61" s="881"/>
      <c r="S61" s="881"/>
      <c r="T61" s="769"/>
      <c r="U61" s="769" t="s">
        <v>2198</v>
      </c>
      <c r="V61" s="769"/>
      <c r="W61" s="769"/>
      <c r="X61" s="769"/>
      <c r="Y61" s="923"/>
      <c r="Z61" s="772"/>
      <c r="AA61" s="775"/>
      <c r="AB61" s="772"/>
      <c r="AC61" s="772"/>
      <c r="AD61" s="772"/>
    </row>
    <row r="62" spans="1:30" ht="9" customHeight="1">
      <c r="A62" s="771"/>
      <c r="B62" s="823">
        <v>45</v>
      </c>
      <c r="C62" s="769"/>
      <c r="D62" s="891" t="s">
        <v>2199</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115</v>
      </c>
      <c r="Q62" s="881"/>
      <c r="R62" s="881"/>
      <c r="S62" s="881"/>
      <c r="T62" s="769"/>
      <c r="U62" s="769" t="s">
        <v>2200</v>
      </c>
      <c r="V62" s="769"/>
      <c r="W62" s="769"/>
      <c r="X62" s="769"/>
      <c r="Y62" s="923"/>
      <c r="Z62" s="772"/>
      <c r="AA62" s="775"/>
      <c r="AB62" s="772"/>
      <c r="AC62" s="772"/>
      <c r="AD62" s="772"/>
    </row>
    <row r="63" spans="1:30" ht="18" customHeight="1">
      <c r="A63" s="771"/>
      <c r="B63" s="823">
        <v>46</v>
      </c>
      <c r="C63" s="769"/>
      <c r="D63" s="891" t="s">
        <v>2201</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151</v>
      </c>
      <c r="Q63" s="881"/>
      <c r="R63" s="881"/>
      <c r="S63" s="881"/>
      <c r="T63" s="769"/>
      <c r="U63" s="769" t="s">
        <v>2202</v>
      </c>
      <c r="V63" s="769"/>
      <c r="W63" s="769"/>
      <c r="X63" s="769"/>
      <c r="Y63" s="923"/>
      <c r="Z63" s="772"/>
      <c r="AA63" s="775"/>
      <c r="AB63" s="772"/>
      <c r="AC63" s="772"/>
      <c r="AD63" s="772"/>
    </row>
    <row r="64" spans="1:30" ht="18" customHeight="1">
      <c r="A64" s="771"/>
      <c r="B64" s="823">
        <v>47</v>
      </c>
      <c r="C64" s="769"/>
      <c r="D64" s="891" t="s">
        <v>2203</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152</v>
      </c>
      <c r="Q64" s="881"/>
      <c r="R64" s="881"/>
      <c r="S64" s="881"/>
      <c r="T64" s="769"/>
      <c r="U64" s="769" t="s">
        <v>2204</v>
      </c>
      <c r="V64" s="769"/>
      <c r="W64" s="769"/>
      <c r="X64" s="769"/>
      <c r="Y64" s="923"/>
      <c r="Z64" s="772"/>
      <c r="AA64" s="775" t="s">
        <v>2205</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2118</v>
      </c>
      <c r="Q65" s="881"/>
      <c r="R65" s="881"/>
      <c r="S65" s="881"/>
      <c r="T65" s="769"/>
      <c r="U65" s="769" t="s">
        <v>2206</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2122</v>
      </c>
      <c r="Q66" s="881"/>
      <c r="R66" s="881"/>
      <c r="S66" s="881"/>
      <c r="T66" s="769"/>
      <c r="U66" s="769" t="s">
        <v>2207</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2208</v>
      </c>
      <c r="Q67" s="881"/>
      <c r="R67" s="881"/>
      <c r="S67" s="881"/>
      <c r="T67" s="769"/>
      <c r="U67" s="769" t="s">
        <v>2209</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2210</v>
      </c>
      <c r="Q68" s="881"/>
      <c r="R68" s="881"/>
      <c r="S68" s="881"/>
      <c r="T68" s="769"/>
      <c r="U68" s="769" t="s">
        <v>2211</v>
      </c>
      <c r="V68" s="769"/>
      <c r="W68" s="769"/>
      <c r="X68" s="769"/>
      <c r="Y68" s="923"/>
      <c r="Z68" s="772"/>
      <c r="AA68" s="775"/>
      <c r="AB68" s="772"/>
      <c r="AC68" s="772"/>
      <c r="AD68" s="772"/>
    </row>
    <row r="69" spans="1:30" ht="9" customHeight="1">
      <c r="A69" s="771"/>
      <c r="B69" s="823">
        <v>52</v>
      </c>
      <c r="C69" s="769"/>
      <c r="D69" s="891" t="s">
        <v>2212</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2213</v>
      </c>
      <c r="V69" s="769"/>
      <c r="W69" s="769"/>
      <c r="X69" s="769"/>
      <c r="Y69" s="923"/>
      <c r="Z69" s="772"/>
      <c r="AA69" s="775"/>
      <c r="AB69" s="772"/>
      <c r="AC69" s="772"/>
      <c r="AD69" s="772"/>
    </row>
    <row r="70" spans="1:30" ht="27" customHeight="1">
      <c r="A70" s="771"/>
      <c r="B70" s="823">
        <v>53</v>
      </c>
      <c r="C70" s="769"/>
      <c r="D70" s="891"/>
      <c r="E70" s="769" t="s">
        <v>2197</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97</v>
      </c>
      <c r="R70" s="881"/>
      <c r="S70" s="881"/>
      <c r="T70" s="769"/>
      <c r="U70" s="769"/>
      <c r="V70" s="769" t="s">
        <v>2214</v>
      </c>
      <c r="W70" s="769"/>
      <c r="X70" s="769"/>
      <c r="Y70" s="923"/>
      <c r="Z70" s="772"/>
      <c r="AA70" s="775"/>
      <c r="AB70" s="772"/>
      <c r="AC70" s="772"/>
      <c r="AD70" s="772"/>
    </row>
    <row r="71" spans="1:30" ht="36" customHeight="1">
      <c r="A71" s="771"/>
      <c r="B71" s="823">
        <v>54</v>
      </c>
      <c r="C71" s="769"/>
      <c r="D71" s="891"/>
      <c r="E71" s="769" t="s">
        <v>2199</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115</v>
      </c>
      <c r="R71" s="881"/>
      <c r="S71" s="881"/>
      <c r="T71" s="769"/>
      <c r="U71" s="769"/>
      <c r="V71" s="769" t="s">
        <v>2215</v>
      </c>
      <c r="W71" s="769"/>
      <c r="X71" s="769"/>
      <c r="Y71" s="923"/>
      <c r="Z71" s="772"/>
      <c r="AA71" s="775"/>
      <c r="AB71" s="772"/>
      <c r="AC71" s="772"/>
      <c r="AD71" s="772"/>
    </row>
    <row r="72" spans="1:30" ht="27" customHeight="1">
      <c r="A72" s="771"/>
      <c r="B72" s="823">
        <v>55</v>
      </c>
      <c r="C72" s="769"/>
      <c r="D72" s="891"/>
      <c r="E72" s="769" t="s">
        <v>2201</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151</v>
      </c>
      <c r="R72" s="881"/>
      <c r="S72" s="881"/>
      <c r="T72" s="769"/>
      <c r="U72" s="769"/>
      <c r="V72" s="769" t="s">
        <v>2216</v>
      </c>
      <c r="W72" s="769"/>
      <c r="X72" s="769"/>
      <c r="Y72" s="923"/>
      <c r="Z72" s="772"/>
      <c r="AA72" s="775"/>
      <c r="AB72" s="772"/>
      <c r="AC72" s="772"/>
      <c r="AD72" s="772"/>
    </row>
    <row r="73" spans="1:30" ht="36" customHeight="1">
      <c r="A73" s="771"/>
      <c r="B73" s="823">
        <v>56</v>
      </c>
      <c r="C73" s="769"/>
      <c r="D73" s="891"/>
      <c r="E73" s="769" t="s">
        <v>2203</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152</v>
      </c>
      <c r="R73" s="881"/>
      <c r="S73" s="881"/>
      <c r="T73" s="769"/>
      <c r="U73" s="769"/>
      <c r="V73" s="769" t="s">
        <v>2217</v>
      </c>
      <c r="W73" s="769"/>
      <c r="X73" s="769"/>
      <c r="Y73" s="923"/>
      <c r="Z73" s="772"/>
      <c r="AA73" s="775"/>
      <c r="AB73" s="772"/>
      <c r="AC73" s="772"/>
      <c r="AD73" s="772"/>
    </row>
    <row r="74" spans="1:30" ht="18" customHeight="1">
      <c r="A74" s="771"/>
      <c r="B74" s="823">
        <v>57</v>
      </c>
      <c r="C74" s="769"/>
      <c r="D74" s="891"/>
      <c r="E74" s="769" t="s">
        <v>2212</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2218</v>
      </c>
      <c r="W74" s="769"/>
      <c r="X74" s="769"/>
      <c r="Y74" s="923"/>
      <c r="Z74" s="772"/>
      <c r="AA74" s="775"/>
      <c r="AB74" s="772"/>
      <c r="AC74" s="772"/>
      <c r="AD74" s="772"/>
    </row>
    <row r="75" spans="1:30" ht="18" customHeight="1">
      <c r="A75" s="771"/>
      <c r="B75" s="823">
        <v>58</v>
      </c>
      <c r="C75" s="769"/>
      <c r="D75" s="891"/>
      <c r="E75" s="769"/>
      <c r="F75" s="769" t="s">
        <v>2197</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97</v>
      </c>
      <c r="S75" s="881"/>
      <c r="T75" s="769"/>
      <c r="U75" s="769"/>
      <c r="V75" s="769"/>
      <c r="W75" s="769" t="s">
        <v>2219</v>
      </c>
      <c r="X75" s="769"/>
      <c r="Y75" s="923"/>
      <c r="Z75" s="772"/>
      <c r="AA75" s="775"/>
      <c r="AB75" s="772"/>
      <c r="AC75" s="772"/>
      <c r="AD75" s="772"/>
    </row>
    <row r="76" spans="1:30" ht="36" customHeight="1">
      <c r="A76" s="771"/>
      <c r="B76" s="823">
        <v>59</v>
      </c>
      <c r="C76" s="769"/>
      <c r="D76" s="891"/>
      <c r="E76" s="769"/>
      <c r="F76" s="769" t="s">
        <v>2199</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115</v>
      </c>
      <c r="S76" s="881"/>
      <c r="T76" s="769"/>
      <c r="U76" s="769"/>
      <c r="V76" s="769"/>
      <c r="W76" s="769" t="s">
        <v>2220</v>
      </c>
      <c r="X76" s="769"/>
      <c r="Y76" s="923"/>
      <c r="Z76" s="772"/>
      <c r="AA76" s="775"/>
      <c r="AB76" s="772"/>
      <c r="AC76" s="772"/>
      <c r="AD76" s="772"/>
    </row>
    <row r="77" spans="1:30" ht="18" customHeight="1">
      <c r="A77" s="771"/>
      <c r="B77" s="823">
        <v>60</v>
      </c>
      <c r="C77" s="769"/>
      <c r="D77" s="891"/>
      <c r="E77" s="769"/>
      <c r="F77" s="769" t="s">
        <v>2201</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151</v>
      </c>
      <c r="S77" s="881"/>
      <c r="T77" s="769"/>
      <c r="U77" s="769"/>
      <c r="V77" s="769"/>
      <c r="W77" s="769" t="s">
        <v>2221</v>
      </c>
      <c r="X77" s="769"/>
      <c r="Y77" s="923"/>
      <c r="Z77" s="772"/>
      <c r="AA77" s="775"/>
      <c r="AB77" s="772"/>
      <c r="AC77" s="772"/>
      <c r="AD77" s="772"/>
    </row>
    <row r="78" spans="1:30" ht="72" customHeight="1">
      <c r="A78" s="771"/>
      <c r="B78" s="823">
        <v>61</v>
      </c>
      <c r="C78" s="769" t="s">
        <v>2197</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97</v>
      </c>
      <c r="P78" s="881"/>
      <c r="Q78" s="881"/>
      <c r="R78" s="881"/>
      <c r="S78" s="881"/>
      <c r="T78" s="769" t="s">
        <v>655</v>
      </c>
      <c r="U78" s="769"/>
      <c r="V78" s="769"/>
      <c r="W78" s="769"/>
      <c r="X78" s="769"/>
      <c r="Y78" s="923"/>
      <c r="Z78" s="772" t="s">
        <v>2222</v>
      </c>
      <c r="AA78" s="775"/>
      <c r="AB78" s="772"/>
      <c r="AC78" s="772"/>
      <c r="AD78" s="772"/>
    </row>
    <row r="79" spans="1:30" ht="36" customHeight="1">
      <c r="A79" s="771"/>
      <c r="B79" s="823">
        <v>62</v>
      </c>
      <c r="C79" s="769" t="s">
        <v>2199</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115</v>
      </c>
      <c r="P79" s="881"/>
      <c r="Q79" s="881"/>
      <c r="R79" s="881"/>
      <c r="S79" s="881"/>
      <c r="T79" s="769" t="s">
        <v>2223</v>
      </c>
      <c r="U79" s="769"/>
      <c r="V79" s="769"/>
      <c r="W79" s="769"/>
      <c r="X79" s="769"/>
      <c r="Y79" s="923"/>
      <c r="Z79" s="772" t="s">
        <v>2224</v>
      </c>
      <c r="AA79" s="775"/>
      <c r="AB79" s="772"/>
      <c r="AC79" s="772"/>
      <c r="AD79" s="772"/>
    </row>
    <row r="80" spans="1:30" ht="45" customHeight="1">
      <c r="A80" s="771"/>
      <c r="B80" s="823">
        <v>63</v>
      </c>
      <c r="C80" s="769" t="s">
        <v>2201</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151</v>
      </c>
      <c r="P80" s="881"/>
      <c r="Q80" s="881"/>
      <c r="R80" s="881"/>
      <c r="S80" s="881"/>
      <c r="T80" s="769" t="s">
        <v>2225</v>
      </c>
      <c r="U80" s="769"/>
      <c r="V80" s="769"/>
      <c r="W80" s="769"/>
      <c r="X80" s="769"/>
      <c r="Y80" s="923"/>
      <c r="Z80" s="772" t="s">
        <v>2226</v>
      </c>
      <c r="AA80" s="775"/>
      <c r="AB80" s="772"/>
      <c r="AC80" s="772"/>
      <c r="AD80" s="772"/>
    </row>
    <row r="81" spans="1:30" ht="36" customHeight="1">
      <c r="A81" s="771"/>
      <c r="B81" s="823">
        <v>64</v>
      </c>
      <c r="C81" s="769" t="s">
        <v>2203</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2109</v>
      </c>
      <c r="P81" s="881"/>
      <c r="Q81" s="881"/>
      <c r="R81" s="881"/>
      <c r="S81" s="881"/>
      <c r="T81" s="769" t="s">
        <v>2227</v>
      </c>
      <c r="U81" s="769"/>
      <c r="V81" s="769"/>
      <c r="W81" s="769"/>
      <c r="X81" s="769"/>
      <c r="Y81" s="923"/>
      <c r="Z81" s="772" t="s">
        <v>2228</v>
      </c>
      <c r="AA81" s="775"/>
      <c r="AB81" s="772"/>
      <c r="AC81" s="772"/>
      <c r="AD81" s="772"/>
    </row>
    <row r="82" spans="1:30" ht="90" customHeight="1">
      <c r="A82" s="771"/>
      <c r="B82" s="823">
        <v>65</v>
      </c>
      <c r="C82" s="769" t="s">
        <v>2212</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152</v>
      </c>
      <c r="P82" s="881"/>
      <c r="Q82" s="881"/>
      <c r="R82" s="881"/>
      <c r="S82" s="881"/>
      <c r="T82" s="769" t="s">
        <v>2229</v>
      </c>
      <c r="U82" s="769"/>
      <c r="V82" s="769"/>
      <c r="W82" s="769"/>
      <c r="X82" s="769"/>
      <c r="Y82" s="923"/>
      <c r="Z82" s="772" t="s">
        <v>2230</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2118</v>
      </c>
      <c r="P83" s="881"/>
      <c r="Q83" s="881"/>
      <c r="R83" s="881"/>
      <c r="S83" s="881"/>
      <c r="T83" s="769" t="s">
        <v>2231</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2232</v>
      </c>
      <c r="P84" s="881"/>
      <c r="Q84" s="881"/>
      <c r="R84" s="881"/>
      <c r="S84" s="881"/>
      <c r="T84" s="769" t="s">
        <v>2233</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2122</v>
      </c>
      <c r="P85" s="881"/>
      <c r="Q85" s="881"/>
      <c r="R85" s="881"/>
      <c r="S85" s="881"/>
      <c r="T85" s="769" t="s">
        <v>2234</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2235</v>
      </c>
      <c r="P86" s="881"/>
      <c r="Q86" s="881"/>
      <c r="R86" s="881"/>
      <c r="S86" s="881"/>
      <c r="T86" s="769" t="s">
        <v>2236</v>
      </c>
      <c r="U86" s="769"/>
      <c r="V86" s="769"/>
      <c r="W86" s="769"/>
      <c r="X86" s="769"/>
      <c r="Y86" s="923"/>
      <c r="Z86" s="772"/>
      <c r="AA86" s="775"/>
      <c r="AB86" s="772"/>
      <c r="AC86" s="772"/>
      <c r="AD86" s="772"/>
    </row>
    <row r="87" spans="1:30" ht="36" customHeight="1">
      <c r="A87" s="771"/>
      <c r="B87" s="823">
        <v>70</v>
      </c>
      <c r="C87" s="769" t="s">
        <v>2237</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2238</v>
      </c>
      <c r="U87" s="769"/>
      <c r="V87" s="769"/>
      <c r="W87" s="769"/>
      <c r="X87" s="769"/>
      <c r="Y87" s="923"/>
      <c r="Z87" s="772"/>
      <c r="AA87" s="775"/>
      <c r="AB87" s="772"/>
      <c r="AC87" s="772"/>
      <c r="AD87" s="772"/>
    </row>
    <row r="88" spans="1:30" ht="18" customHeight="1">
      <c r="A88" s="771"/>
      <c r="B88" s="823">
        <v>71</v>
      </c>
      <c r="C88" s="769" t="s">
        <v>2239</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154</v>
      </c>
      <c r="P88" s="881"/>
      <c r="Q88" s="881"/>
      <c r="R88" s="881"/>
      <c r="S88" s="881"/>
      <c r="T88" s="769" t="s">
        <v>687</v>
      </c>
      <c r="U88" s="769"/>
      <c r="V88" s="769"/>
      <c r="W88" s="769"/>
      <c r="X88" s="769"/>
      <c r="Y88" s="923"/>
      <c r="Z88" s="772"/>
      <c r="AA88" s="775"/>
      <c r="AB88" s="772"/>
      <c r="AC88" s="772"/>
      <c r="AD88" s="772"/>
    </row>
    <row r="89" spans="1:30" ht="18" customHeight="1">
      <c r="A89" s="771"/>
      <c r="B89" s="823">
        <v>72</v>
      </c>
      <c r="C89" s="769" t="s">
        <v>2240</v>
      </c>
      <c r="D89" s="891" t="s">
        <v>2237</v>
      </c>
      <c r="E89" s="769" t="s">
        <v>2237</v>
      </c>
      <c r="F89" s="769" t="s">
        <v>2203</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155</v>
      </c>
      <c r="P89" s="881" t="s">
        <v>154</v>
      </c>
      <c r="Q89" s="881" t="s">
        <v>154</v>
      </c>
      <c r="R89" s="881" t="s">
        <v>152</v>
      </c>
      <c r="S89" s="881"/>
      <c r="T89" s="769" t="s">
        <v>695</v>
      </c>
      <c r="U89" s="769" t="s">
        <v>695</v>
      </c>
      <c r="V89" s="769" t="s">
        <v>695</v>
      </c>
      <c r="W89" s="769" t="s">
        <v>695</v>
      </c>
      <c r="X89" s="769"/>
      <c r="Y89" s="923"/>
      <c r="Z89" s="772"/>
      <c r="AA89" s="775"/>
      <c r="AB89" s="772"/>
      <c r="AC89" s="772"/>
      <c r="AD89" s="772"/>
    </row>
    <row r="90" spans="1:30" ht="27" customHeight="1">
      <c r="A90" s="771"/>
      <c r="B90" s="823">
        <v>73</v>
      </c>
      <c r="C90" s="769" t="s">
        <v>2241</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156</v>
      </c>
      <c r="P90" s="881"/>
      <c r="Q90" s="881"/>
      <c r="R90" s="881"/>
      <c r="S90" s="881"/>
      <c r="T90" s="769" t="s">
        <v>697</v>
      </c>
      <c r="U90" s="769"/>
      <c r="V90" s="769"/>
      <c r="W90" s="769"/>
      <c r="X90" s="769"/>
      <c r="Y90" s="923"/>
      <c r="Z90" s="772"/>
      <c r="AA90" s="775"/>
      <c r="AB90" s="772"/>
      <c r="AC90" s="772"/>
      <c r="AD90" s="772"/>
    </row>
    <row r="91" spans="1:30" ht="18" customHeight="1">
      <c r="A91" s="771"/>
      <c r="B91" s="823">
        <v>74</v>
      </c>
      <c r="C91" s="769"/>
      <c r="D91" s="891" t="s">
        <v>2239</v>
      </c>
      <c r="E91" s="769" t="s">
        <v>2239</v>
      </c>
      <c r="F91" s="769"/>
      <c r="G91" s="769"/>
      <c r="H91" s="815"/>
      <c r="I91" s="927">
        <f t="shared" si="13"/>
        <v>0</v>
      </c>
      <c r="J91" s="927">
        <f t="shared" si="14"/>
        <v>0</v>
      </c>
      <c r="K91" s="927">
        <f t="shared" si="15"/>
        <v>0</v>
      </c>
      <c r="L91" s="770" t="str">
        <f t="shared" si="16"/>
        <v/>
      </c>
      <c r="M91" s="770" t="str">
        <f t="shared" si="17"/>
        <v/>
      </c>
      <c r="N91" s="770" t="str">
        <f t="shared" si="18"/>
        <v/>
      </c>
      <c r="O91" s="881"/>
      <c r="P91" s="881" t="s">
        <v>155</v>
      </c>
      <c r="Q91" s="881" t="s">
        <v>155</v>
      </c>
      <c r="R91" s="881"/>
      <c r="S91" s="881"/>
      <c r="T91" s="769"/>
      <c r="U91" s="769" t="s">
        <v>2242</v>
      </c>
      <c r="V91" s="769" t="s">
        <v>2242</v>
      </c>
      <c r="W91" s="769"/>
      <c r="X91" s="769"/>
      <c r="Y91" s="923"/>
      <c r="Z91" s="772"/>
      <c r="AA91" s="775"/>
      <c r="AB91" s="772"/>
      <c r="AC91" s="772"/>
      <c r="AD91" s="772"/>
    </row>
    <row r="92" spans="1:30" ht="27" customHeight="1">
      <c r="A92" s="771"/>
      <c r="B92" s="823">
        <v>75</v>
      </c>
      <c r="C92" s="769"/>
      <c r="D92" s="891" t="s">
        <v>2240</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156</v>
      </c>
      <c r="Q92" s="881"/>
      <c r="R92" s="881"/>
      <c r="S92" s="881"/>
      <c r="T92" s="769"/>
      <c r="U92" s="769" t="s">
        <v>2243</v>
      </c>
      <c r="V92" s="769"/>
      <c r="W92" s="769"/>
      <c r="X92" s="769"/>
      <c r="Y92" s="923"/>
      <c r="Z92" s="772"/>
      <c r="AA92" s="775" t="s">
        <v>2244</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2150</v>
      </c>
      <c r="Q93" s="881"/>
      <c r="R93" s="881"/>
      <c r="S93" s="881"/>
      <c r="T93" s="769"/>
      <c r="U93" s="769" t="s">
        <v>2245</v>
      </c>
      <c r="V93" s="769"/>
      <c r="W93" s="769"/>
      <c r="X93" s="769"/>
      <c r="Y93" s="923"/>
      <c r="Z93" s="772"/>
      <c r="AA93" s="775" t="s">
        <v>2246</v>
      </c>
      <c r="AB93" s="772"/>
      <c r="AC93" s="772"/>
      <c r="AD93" s="772"/>
    </row>
    <row r="94" spans="1:30" ht="45" customHeight="1">
      <c r="A94" s="771"/>
      <c r="B94" s="823">
        <v>77</v>
      </c>
      <c r="C94" s="769"/>
      <c r="D94" s="891" t="s">
        <v>2241</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1503</v>
      </c>
      <c r="Q94" s="881"/>
      <c r="R94" s="881"/>
      <c r="S94" s="881"/>
      <c r="T94" s="769"/>
      <c r="U94" s="769" t="s">
        <v>2247</v>
      </c>
      <c r="V94" s="769"/>
      <c r="W94" s="769"/>
      <c r="X94" s="769"/>
      <c r="Y94" s="923"/>
      <c r="Z94" s="772"/>
      <c r="AA94" s="775" t="s">
        <v>2248</v>
      </c>
      <c r="AB94" s="772"/>
      <c r="AC94" s="772"/>
      <c r="AD94" s="772"/>
    </row>
    <row r="95" spans="1:30" ht="99" customHeight="1">
      <c r="A95" s="771"/>
      <c r="B95" s="823">
        <v>78</v>
      </c>
      <c r="C95" s="769" t="s">
        <v>2249</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1503</v>
      </c>
      <c r="P95" s="881"/>
      <c r="Q95" s="881"/>
      <c r="R95" s="881"/>
      <c r="S95" s="881"/>
      <c r="T95" s="769" t="s">
        <v>2250</v>
      </c>
      <c r="U95" s="769"/>
      <c r="V95" s="769"/>
      <c r="W95" s="769"/>
      <c r="X95" s="769"/>
      <c r="Y95" s="923"/>
      <c r="Z95" s="772"/>
      <c r="AA95" s="775"/>
      <c r="AB95" s="772"/>
      <c r="AC95" s="772"/>
      <c r="AD95" s="772"/>
    </row>
    <row r="96" spans="1:30" ht="99" customHeight="1">
      <c r="A96" s="771"/>
      <c r="B96" s="823">
        <v>79</v>
      </c>
      <c r="C96" s="769" t="s">
        <v>1192</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1509</v>
      </c>
      <c r="P96" s="881"/>
      <c r="Q96" s="881"/>
      <c r="R96" s="881"/>
      <c r="S96" s="881"/>
      <c r="T96" s="769" t="s">
        <v>2251</v>
      </c>
      <c r="U96" s="769"/>
      <c r="V96" s="769"/>
      <c r="W96" s="769"/>
      <c r="X96" s="769"/>
      <c r="Y96" s="923"/>
      <c r="Z96" s="772" t="s">
        <v>2252</v>
      </c>
      <c r="AA96" s="775"/>
      <c r="AB96" s="772"/>
      <c r="AC96" s="772"/>
      <c r="AD96" s="772"/>
    </row>
    <row r="97" spans="1:30" ht="63" customHeight="1">
      <c r="A97" s="771"/>
      <c r="B97" s="823">
        <v>80</v>
      </c>
      <c r="C97" s="769" t="s">
        <v>2253</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1521</v>
      </c>
      <c r="P97" s="881"/>
      <c r="Q97" s="881"/>
      <c r="R97" s="881"/>
      <c r="S97" s="881"/>
      <c r="T97" s="769" t="s">
        <v>2254</v>
      </c>
      <c r="U97" s="769"/>
      <c r="V97" s="769"/>
      <c r="W97" s="769"/>
      <c r="X97" s="769"/>
      <c r="Y97" s="923"/>
      <c r="Z97" s="772" t="s">
        <v>2255</v>
      </c>
      <c r="AA97" s="775"/>
      <c r="AB97" s="772"/>
      <c r="AC97" s="772"/>
      <c r="AD97" s="772"/>
    </row>
    <row r="98" spans="1:30" ht="63" customHeight="1">
      <c r="A98" s="771"/>
      <c r="B98" s="823">
        <v>81</v>
      </c>
      <c r="C98" s="769" t="s">
        <v>2256</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1535</v>
      </c>
      <c r="P98" s="881"/>
      <c r="Q98" s="881"/>
      <c r="R98" s="881"/>
      <c r="S98" s="881"/>
      <c r="T98" s="769" t="s">
        <v>2257</v>
      </c>
      <c r="U98" s="769"/>
      <c r="V98" s="769"/>
      <c r="W98" s="769"/>
      <c r="X98" s="769"/>
      <c r="Y98" s="923"/>
      <c r="Z98" s="772" t="s">
        <v>2255</v>
      </c>
      <c r="AA98" s="775"/>
      <c r="AB98" s="772"/>
      <c r="AC98" s="772"/>
      <c r="AD98" s="772"/>
    </row>
    <row r="99" spans="1:30" ht="90" customHeight="1">
      <c r="A99" s="771"/>
      <c r="B99" s="823">
        <v>82</v>
      </c>
      <c r="C99" s="769" t="s">
        <v>2258</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1547</v>
      </c>
      <c r="P99" s="881"/>
      <c r="Q99" s="881"/>
      <c r="R99" s="881"/>
      <c r="S99" s="881"/>
      <c r="T99" s="769" t="s">
        <v>2259</v>
      </c>
      <c r="U99" s="769"/>
      <c r="V99" s="769"/>
      <c r="W99" s="769"/>
      <c r="X99" s="769"/>
      <c r="Y99" s="923"/>
      <c r="Z99" s="772" t="s">
        <v>652</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2260</v>
      </c>
      <c r="P100" s="881"/>
      <c r="Q100" s="881"/>
      <c r="R100" s="881"/>
      <c r="S100" s="881"/>
      <c r="T100" s="769" t="s">
        <v>2261</v>
      </c>
      <c r="U100" s="769"/>
      <c r="V100" s="769"/>
      <c r="W100" s="769"/>
      <c r="X100" s="769"/>
      <c r="Y100" s="923"/>
      <c r="Z100" s="772" t="s">
        <v>652</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2262</v>
      </c>
      <c r="P101" s="881"/>
      <c r="Q101" s="881"/>
      <c r="R101" s="881"/>
      <c r="S101" s="881"/>
      <c r="T101" s="769" t="s">
        <v>2263</v>
      </c>
      <c r="U101" s="769"/>
      <c r="V101" s="769"/>
      <c r="W101" s="769"/>
      <c r="X101" s="769"/>
      <c r="Y101" s="923"/>
      <c r="Z101" s="772" t="s">
        <v>652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1700</v>
      </c>
      <c r="B148" s="771"/>
      <c r="C148" s="769" t="s">
        <v>2264</v>
      </c>
      <c r="D148" s="769" t="s">
        <v>1603</v>
      </c>
      <c r="E148" s="769" t="s">
        <v>1702</v>
      </c>
      <c r="F148" s="769" t="s">
        <v>2265</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2266</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2267</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1704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1707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1712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4139" hidden="1"/>
    <col min="2" max="2" width="11" style="4139" hidden="1" customWidth="1"/>
    <col min="3" max="3" width="10.5703125" style="4139" hidden="1"/>
    <col min="4" max="4" width="11.85546875" style="4139" hidden="1" customWidth="1"/>
    <col min="5" max="5" width="12.28515625" style="4139" hidden="1" customWidth="1"/>
    <col min="6" max="8" width="12.28515625" style="4166" hidden="1" customWidth="1"/>
    <col min="9" max="9" width="3" style="4167" customWidth="1"/>
    <col min="10" max="11" width="3" style="4168" customWidth="1"/>
    <col min="12" max="12" width="12" style="4169" customWidth="1"/>
    <col min="13" max="13" width="31" style="4133" customWidth="1"/>
    <col min="14" max="14" width="1" style="4133" customWidth="1"/>
    <col min="15" max="18" width="24" style="4133" customWidth="1"/>
    <col min="19" max="19" width="11" style="4133" customWidth="1"/>
    <col min="20" max="20" width="3.7109375" style="4133" customWidth="1"/>
    <col min="21" max="21" width="11" style="4133" customWidth="1"/>
    <col min="22" max="22" width="8.5703125" style="4133" customWidth="1"/>
    <col min="23" max="23" width="4" style="4133" customWidth="1"/>
    <col min="24" max="24" width="115" style="4133" customWidth="1"/>
    <col min="25" max="29" width="10" style="4140" customWidth="1"/>
    <col min="30" max="30" width="10.5703125" style="4133"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4689" t="s">
        <v>2268</v>
      </c>
      <c r="M5" s="4689"/>
      <c r="N5" s="4689"/>
      <c r="O5" s="4689"/>
      <c r="P5" s="4689"/>
      <c r="Q5" s="4689"/>
      <c r="R5" s="4689"/>
      <c r="S5" s="4689"/>
      <c r="T5" s="4689"/>
      <c r="U5" s="4689"/>
      <c r="V5" s="1161"/>
      <c r="AD5" s="1073">
        <v>64</v>
      </c>
    </row>
    <row r="6" spans="1:30" ht="14.65" customHeight="1">
      <c r="J6" s="311"/>
      <c r="K6" s="311"/>
      <c r="L6" s="4690" t="str">
        <f>IF(org=0,"Не определено",org)</f>
        <v>АО "Мурманэнергосбыт"</v>
      </c>
      <c r="M6" s="4690"/>
      <c r="N6" s="4690"/>
      <c r="O6" s="4690"/>
      <c r="P6" s="4690"/>
      <c r="Q6" s="4690"/>
      <c r="R6" s="4690"/>
      <c r="S6" s="4690"/>
      <c r="T6" s="4690"/>
      <c r="U6" s="4690"/>
      <c r="V6" s="1161"/>
      <c r="AD6" s="1073">
        <v>14</v>
      </c>
    </row>
    <row r="7" spans="1:30" ht="14.65" customHeight="1">
      <c r="J7" s="311"/>
      <c r="K7" s="311"/>
      <c r="L7" s="1193"/>
      <c r="M7" s="298"/>
      <c r="N7" s="298"/>
      <c r="O7" s="258"/>
      <c r="P7" s="258"/>
      <c r="Q7" s="258"/>
      <c r="R7" s="258"/>
      <c r="S7" s="258"/>
      <c r="T7" s="258"/>
      <c r="U7" s="258"/>
      <c r="V7" s="258"/>
      <c r="W7" s="444"/>
      <c r="AD7" s="1073">
        <v>14</v>
      </c>
    </row>
    <row r="8" spans="1:30" s="4149" customFormat="1" ht="48.2" customHeight="1">
      <c r="A8" s="1286"/>
      <c r="B8" s="1286"/>
      <c r="C8" s="1286"/>
      <c r="D8" s="1286"/>
      <c r="E8" s="1286"/>
      <c r="F8" s="1286"/>
      <c r="G8" s="1286"/>
      <c r="H8" s="1286"/>
      <c r="L8" s="1194"/>
      <c r="M8" s="231" t="s">
        <v>42</v>
      </c>
      <c r="N8" s="240"/>
      <c r="O8" s="4405" t="str">
        <f>IF(TITLE_NAME_OR_PR_CHANGE="",IF(TITLE_NAME_OR_PR="","",TITLE_NAME_OR_PR),TITLE_NAME_OR_PR_CHANGE)</f>
        <v>Комитет по тарифному регулированию Мурманской области</v>
      </c>
      <c r="P8" s="4405"/>
      <c r="Q8" s="4405"/>
      <c r="R8" s="4405"/>
      <c r="S8" s="4405"/>
      <c r="T8" s="4405"/>
      <c r="U8" s="4405"/>
      <c r="V8" s="262"/>
      <c r="W8" s="262"/>
      <c r="X8" s="216"/>
      <c r="Y8" s="303"/>
      <c r="Z8" s="303"/>
      <c r="AA8" s="303"/>
      <c r="AB8" s="303"/>
      <c r="AC8" s="303"/>
      <c r="AD8" s="353">
        <v>46</v>
      </c>
    </row>
    <row r="9" spans="1:30" s="4149" customFormat="1" ht="24" customHeight="1">
      <c r="A9" s="1286"/>
      <c r="B9" s="1286"/>
      <c r="C9" s="1286"/>
      <c r="D9" s="1286"/>
      <c r="E9" s="1286"/>
      <c r="F9" s="1286"/>
      <c r="G9" s="1286"/>
      <c r="H9" s="1286"/>
      <c r="L9" s="1194"/>
      <c r="M9" s="231" t="s">
        <v>441</v>
      </c>
      <c r="N9" s="240"/>
      <c r="O9" s="4405">
        <f>IF(TITLE_DATE_CHANGE_PERIOD="",IF(TITLE_DATE_PR="","",TITLE_DATE_PR),TITLE_DATE_CHANGE_PERIOD)</f>
        <v>45658</v>
      </c>
      <c r="P9" s="4405"/>
      <c r="Q9" s="4405"/>
      <c r="R9" s="4405"/>
      <c r="S9" s="4405"/>
      <c r="T9" s="4405"/>
      <c r="U9" s="4405"/>
      <c r="V9" s="262"/>
      <c r="W9" s="262"/>
      <c r="X9" s="216"/>
      <c r="Y9" s="303"/>
      <c r="Z9" s="303"/>
      <c r="AA9" s="303"/>
      <c r="AB9" s="303"/>
      <c r="AC9" s="303"/>
      <c r="AD9" s="353">
        <v>23</v>
      </c>
    </row>
    <row r="10" spans="1:30" s="4149" customFormat="1" ht="24" customHeight="1">
      <c r="A10" s="1286"/>
      <c r="B10" s="1286"/>
      <c r="C10" s="1286"/>
      <c r="D10" s="1286"/>
      <c r="E10" s="1286"/>
      <c r="F10" s="1286"/>
      <c r="G10" s="1286"/>
      <c r="H10" s="1286"/>
      <c r="L10" s="1168"/>
      <c r="M10" s="231" t="s">
        <v>442</v>
      </c>
      <c r="N10" s="240"/>
      <c r="O10" s="4405" t="str">
        <f>IF(TITLE_NUMBER_PR_CHANGE="",IF(TITLE_NUMBER_PR="","",TITLE_NUMBER_PR),TITLE_NUMBER_PR_CHANGE)</f>
        <v>51/110</v>
      </c>
      <c r="P10" s="4405"/>
      <c r="Q10" s="4405"/>
      <c r="R10" s="4405"/>
      <c r="S10" s="4405"/>
      <c r="T10" s="4405"/>
      <c r="U10" s="4405"/>
      <c r="V10" s="262"/>
      <c r="W10" s="262"/>
      <c r="X10" s="216"/>
      <c r="Y10" s="303"/>
      <c r="Z10" s="303"/>
      <c r="AA10" s="303"/>
      <c r="AB10" s="303"/>
      <c r="AC10" s="303"/>
      <c r="AD10" s="353">
        <v>23</v>
      </c>
    </row>
    <row r="11" spans="1:30" s="4149" customFormat="1" ht="24" customHeight="1">
      <c r="A11" s="1286"/>
      <c r="B11" s="1286"/>
      <c r="C11" s="1286"/>
      <c r="D11" s="1286"/>
      <c r="E11" s="1286"/>
      <c r="F11" s="1286"/>
      <c r="G11" s="1286"/>
      <c r="H11" s="1286"/>
      <c r="L11" s="1168"/>
      <c r="M11" s="231" t="s">
        <v>44</v>
      </c>
      <c r="N11" s="240"/>
      <c r="O11" s="4405" t="str">
        <f>IF(TITLE_IST_PUB_CHANGE="",IF(TITLE_IST_PUB="","",TITLE_IST_PUB),TITLE_IST_PUB_CHANGE)</f>
        <v>https://npa.gov-murman.ru/bitrix/components/b1team/govmurman.element.file/download.php?ID=537820&amp;FID=814582</v>
      </c>
      <c r="P11" s="4405"/>
      <c r="Q11" s="4405"/>
      <c r="R11" s="4405"/>
      <c r="S11" s="4405"/>
      <c r="T11" s="4405"/>
      <c r="U11" s="4405"/>
      <c r="V11" s="262"/>
      <c r="W11" s="262"/>
      <c r="X11" s="216"/>
      <c r="Y11" s="303"/>
      <c r="Z11" s="303"/>
      <c r="AA11" s="303"/>
      <c r="AB11" s="303"/>
      <c r="AC11" s="303"/>
      <c r="AD11" s="353">
        <v>23</v>
      </c>
    </row>
    <row r="12" spans="1:30" s="4149" customFormat="1" ht="11.25" hidden="1" customHeight="1">
      <c r="A12" s="1286"/>
      <c r="B12" s="1286"/>
      <c r="C12" s="1286"/>
      <c r="D12" s="1286"/>
      <c r="E12" s="1286"/>
      <c r="F12" s="1286"/>
      <c r="G12" s="1286"/>
      <c r="H12" s="1286"/>
      <c r="L12" s="4688"/>
      <c r="M12" s="4688"/>
      <c r="N12" s="1205"/>
      <c r="O12" s="262"/>
      <c r="P12" s="262"/>
      <c r="Q12" s="262"/>
      <c r="R12" s="262"/>
      <c r="S12" s="262"/>
      <c r="T12" s="262"/>
      <c r="U12" s="262"/>
      <c r="V12" s="214" t="s">
        <v>445</v>
      </c>
      <c r="Y12" s="303"/>
      <c r="Z12" s="303"/>
      <c r="AA12" s="303"/>
      <c r="AB12" s="303"/>
      <c r="AC12" s="303"/>
      <c r="AD12" s="353">
        <v>0</v>
      </c>
    </row>
    <row r="13" spans="1:30" ht="14.65" customHeight="1">
      <c r="J13" s="311"/>
      <c r="K13" s="311"/>
      <c r="L13" s="1193"/>
      <c r="M13" s="298"/>
      <c r="N13" s="1162"/>
      <c r="O13" s="4424"/>
      <c r="P13" s="4424"/>
      <c r="Q13" s="4424"/>
      <c r="R13" s="4424"/>
      <c r="S13" s="4424"/>
      <c r="T13" s="4424"/>
      <c r="U13" s="4424"/>
      <c r="V13" s="4424"/>
      <c r="AD13" s="1073">
        <v>14</v>
      </c>
    </row>
    <row r="14" spans="1:30" ht="14.65" customHeight="1">
      <c r="J14" s="311"/>
      <c r="K14" s="311"/>
      <c r="L14" s="4274" t="s">
        <v>321</v>
      </c>
      <c r="M14" s="4274"/>
      <c r="N14" s="4274"/>
      <c r="O14" s="4274"/>
      <c r="P14" s="4274"/>
      <c r="Q14" s="4274"/>
      <c r="R14" s="4274"/>
      <c r="S14" s="4274"/>
      <c r="T14" s="4274"/>
      <c r="U14" s="4274"/>
      <c r="V14" s="4274"/>
      <c r="W14" s="4274"/>
      <c r="X14" s="4274" t="s">
        <v>322</v>
      </c>
      <c r="AD14" s="1073">
        <v>14</v>
      </c>
    </row>
    <row r="15" spans="1:30" ht="14.65" customHeight="1">
      <c r="J15" s="311"/>
      <c r="K15" s="311"/>
      <c r="L15" s="4425" t="s">
        <v>92</v>
      </c>
      <c r="M15" s="4373" t="s">
        <v>446</v>
      </c>
      <c r="N15" s="237"/>
      <c r="O15" s="4426" t="s">
        <v>2269</v>
      </c>
      <c r="P15" s="4427"/>
      <c r="Q15" s="4427"/>
      <c r="R15" s="4427"/>
      <c r="S15" s="4427"/>
      <c r="T15" s="4427"/>
      <c r="U15" s="4428"/>
      <c r="V15" s="4429" t="s">
        <v>448</v>
      </c>
      <c r="W15" s="4432" t="s">
        <v>1189</v>
      </c>
      <c r="X15" s="4274"/>
      <c r="AD15" s="1073">
        <v>14</v>
      </c>
    </row>
    <row r="16" spans="1:30" ht="35.65" customHeight="1">
      <c r="J16" s="311"/>
      <c r="K16" s="311"/>
      <c r="L16" s="4425"/>
      <c r="M16" s="4373"/>
      <c r="N16" s="953"/>
      <c r="O16" s="4345" t="s">
        <v>451</v>
      </c>
      <c r="P16" s="4345" t="s">
        <v>452</v>
      </c>
      <c r="Q16" s="4256" t="s">
        <v>453</v>
      </c>
      <c r="R16" s="4255"/>
      <c r="S16" s="4256" t="s">
        <v>466</v>
      </c>
      <c r="T16" s="4261"/>
      <c r="U16" s="4255"/>
      <c r="V16" s="4430"/>
      <c r="W16" s="4433"/>
      <c r="X16" s="4274"/>
      <c r="AD16" s="1073">
        <v>34</v>
      </c>
    </row>
    <row r="17" spans="1:30" ht="35.65" customHeight="1">
      <c r="A17" s="1288" t="s">
        <v>137</v>
      </c>
      <c r="B17" s="1288" t="s">
        <v>138</v>
      </c>
      <c r="C17" s="1288" t="s">
        <v>139</v>
      </c>
      <c r="D17" s="1288" t="s">
        <v>140</v>
      </c>
      <c r="E17" s="1288"/>
      <c r="J17" s="311"/>
      <c r="K17" s="311"/>
      <c r="L17" s="4425"/>
      <c r="M17" s="4373"/>
      <c r="N17" s="238"/>
      <c r="O17" s="4398"/>
      <c r="P17" s="4398"/>
      <c r="Q17" s="1140" t="s">
        <v>462</v>
      </c>
      <c r="R17" s="1140" t="s">
        <v>463</v>
      </c>
      <c r="S17" s="1210" t="s">
        <v>464</v>
      </c>
      <c r="T17" s="4378" t="s">
        <v>465</v>
      </c>
      <c r="U17" s="4392"/>
      <c r="V17" s="4431"/>
      <c r="W17" s="4434"/>
      <c r="X17" s="4274"/>
      <c r="AD17" s="1073">
        <v>34</v>
      </c>
    </row>
    <row r="18" spans="1:30" s="4164" customFormat="1" ht="11.45" customHeight="1">
      <c r="A18" s="1288"/>
      <c r="B18" s="1288"/>
      <c r="C18" s="1288"/>
      <c r="D18" s="1288"/>
      <c r="E18" s="1288"/>
      <c r="F18" s="1280"/>
      <c r="G18" s="1280"/>
      <c r="H18" s="1280"/>
      <c r="I18" s="1164"/>
      <c r="J18" s="1165"/>
      <c r="K18" s="1172">
        <v>1</v>
      </c>
      <c r="L18" s="1195" t="s">
        <v>113</v>
      </c>
      <c r="M18" s="1173" t="s">
        <v>114</v>
      </c>
      <c r="N18" s="1163" t="str">
        <f ca="1">OFFSET(N18,0,-1)</f>
        <v>2</v>
      </c>
      <c r="O18" s="1207">
        <f ca="1">OFFSET(O18,0,-1)+1</f>
        <v>3</v>
      </c>
      <c r="P18" s="1207"/>
      <c r="Q18" s="1207">
        <f ca="1">OFFSET(Q18,0,-1)+1</f>
        <v>1</v>
      </c>
      <c r="R18" s="1207">
        <f ca="1">OFFSET(R18,0,-1)+1</f>
        <v>2</v>
      </c>
      <c r="S18" s="1207">
        <f ca="1">OFFSET(S18,0,-1)+1</f>
        <v>3</v>
      </c>
      <c r="T18" s="4423">
        <f ca="1">OFFSET(T18,0,-1)+1</f>
        <v>4</v>
      </c>
      <c r="U18" s="4423"/>
      <c r="V18" s="1207">
        <f ca="1">OFFSET(V18,0,-2)+1</f>
        <v>5</v>
      </c>
      <c r="W18" s="1163">
        <f ca="1">OFFSET(W18,0,-1)</f>
        <v>5</v>
      </c>
      <c r="X18" s="1207">
        <f ca="1">OFFSET(X18,0,-1)+1</f>
        <v>6</v>
      </c>
      <c r="Y18" s="446"/>
      <c r="Z18" s="446"/>
      <c r="AA18" s="446"/>
      <c r="AB18" s="446"/>
      <c r="AC18" s="446"/>
      <c r="AD18" s="431">
        <v>11</v>
      </c>
    </row>
    <row r="19" spans="1:30" ht="21" customHeight="1">
      <c r="A19" s="1281" t="s">
        <v>191</v>
      </c>
      <c r="B19" s="1281" t="s">
        <v>192</v>
      </c>
      <c r="C19" s="1281" t="s">
        <v>193</v>
      </c>
      <c r="D19" s="1281" t="s">
        <v>194</v>
      </c>
      <c r="E19" s="1281"/>
      <c r="F19" s="1283"/>
      <c r="G19" s="1283"/>
      <c r="H19" s="1283"/>
      <c r="I19" s="296"/>
      <c r="J19" s="295"/>
      <c r="K19" s="290"/>
      <c r="L19" s="1211">
        <f>INDEX(PT_DIFFERENTIATION_NUM_NTAR,MATCH(A19,PT_DIFFERENTIATION_NTAR_ID,0))</f>
        <v>0</v>
      </c>
      <c r="M19" s="234" t="s">
        <v>126</v>
      </c>
      <c r="N19" s="236"/>
      <c r="O19" s="4687" t="str">
        <f>INDEX(PT_DIFFERENTIATION_NTAR,MATCH(A19,PT_DIFFERENTIATION_NTAR_ID,0))</f>
        <v/>
      </c>
      <c r="P19" s="4687"/>
      <c r="Q19" s="4687"/>
      <c r="R19" s="4687"/>
      <c r="S19" s="4687"/>
      <c r="T19" s="4687"/>
      <c r="U19" s="4687"/>
      <c r="V19" s="4687"/>
      <c r="W19" s="4687"/>
      <c r="X19" s="1176" t="s">
        <v>417</v>
      </c>
      <c r="Z19" s="435"/>
      <c r="AA19" s="435" t="str">
        <f t="shared" ref="AA19:AA32" si="0">IF(M19="","",M19)</f>
        <v>Наименование тарифа</v>
      </c>
      <c r="AB19" s="435"/>
      <c r="AC19" s="435"/>
      <c r="AD19" s="1073">
        <v>20</v>
      </c>
    </row>
    <row r="20" spans="1:30" ht="21" customHeight="1">
      <c r="A20" s="1281" t="s">
        <v>191</v>
      </c>
      <c r="B20" s="1281" t="s">
        <v>192</v>
      </c>
      <c r="C20" s="1281" t="s">
        <v>193</v>
      </c>
      <c r="D20" s="1281" t="s">
        <v>194</v>
      </c>
      <c r="E20" s="1281"/>
      <c r="F20" s="1283"/>
      <c r="G20" s="1283"/>
      <c r="H20" s="1283"/>
      <c r="I20" s="1208"/>
      <c r="J20" s="287"/>
      <c r="K20" s="288"/>
      <c r="L20" s="1211" t="str">
        <f>INDEX(PT_DIFFERENTIATION_NUM_TER,MATCH(B19,PT_DIFFERENTIATION_TER_ID,0))</f>
        <v>.</v>
      </c>
      <c r="M20" s="244" t="s">
        <v>418</v>
      </c>
      <c r="N20" s="236"/>
      <c r="O20" s="4687" t="str">
        <f>INDEX(PT_DIFFERENTIATION_TER,MATCH(B19,PT_DIFFERENTIATION_TER_ID,0))</f>
        <v/>
      </c>
      <c r="P20" s="4687"/>
      <c r="Q20" s="4687"/>
      <c r="R20" s="4687"/>
      <c r="S20" s="4687"/>
      <c r="T20" s="4687"/>
      <c r="U20" s="4687"/>
      <c r="V20" s="4687"/>
      <c r="W20" s="4687"/>
      <c r="X20" s="1176" t="s">
        <v>419</v>
      </c>
      <c r="Z20" s="435"/>
      <c r="AA20" s="435" t="str">
        <f t="shared" si="0"/>
        <v>Территория действия тарифа</v>
      </c>
      <c r="AB20" s="435"/>
      <c r="AC20" s="435"/>
      <c r="AD20" s="1073">
        <v>20</v>
      </c>
    </row>
    <row r="21" spans="1:30" ht="24" customHeight="1">
      <c r="A21" s="1281" t="s">
        <v>191</v>
      </c>
      <c r="B21" s="1281" t="s">
        <v>192</v>
      </c>
      <c r="C21" s="1281" t="s">
        <v>193</v>
      </c>
      <c r="D21" s="1281" t="s">
        <v>194</v>
      </c>
      <c r="E21" s="1281"/>
      <c r="F21" s="1283"/>
      <c r="G21" s="1283"/>
      <c r="H21" s="1283"/>
      <c r="I21" s="289"/>
      <c r="J21" s="287"/>
      <c r="K21" s="288"/>
      <c r="L21" s="1211" t="str">
        <f>INDEX(PT_DIFFERENTIATION_NUM_CS,MATCH(C19,PT_DIFFERENTIATION_CS_ID,0))</f>
        <v>..</v>
      </c>
      <c r="M21" s="245" t="s">
        <v>420</v>
      </c>
      <c r="N21" s="236"/>
      <c r="O21" s="4687" t="str">
        <f>INDEX(PT_DIFFERENTIATION_CS,MATCH(C19,PT_DIFFERENTIATION_CS_ID,0))</f>
        <v/>
      </c>
      <c r="P21" s="4687"/>
      <c r="Q21" s="4687"/>
      <c r="R21" s="4687"/>
      <c r="S21" s="4687"/>
      <c r="T21" s="4687"/>
      <c r="U21" s="4687"/>
      <c r="V21" s="4687"/>
      <c r="W21" s="4687"/>
      <c r="X21" s="1176" t="s">
        <v>421</v>
      </c>
      <c r="Z21" s="435"/>
      <c r="AA21" s="435" t="str">
        <f t="shared" si="0"/>
        <v xml:space="preserve">Наименование системы теплоснабжения </v>
      </c>
      <c r="AB21" s="435"/>
      <c r="AC21" s="435"/>
      <c r="AD21" s="1073">
        <v>23</v>
      </c>
    </row>
    <row r="22" spans="1:30" ht="21" customHeight="1">
      <c r="A22" s="1281" t="s">
        <v>191</v>
      </c>
      <c r="B22" s="1281" t="s">
        <v>192</v>
      </c>
      <c r="C22" s="1281" t="s">
        <v>193</v>
      </c>
      <c r="D22" s="1281" t="s">
        <v>194</v>
      </c>
      <c r="E22" s="1281"/>
      <c r="F22" s="1283"/>
      <c r="G22" s="1283"/>
      <c r="H22" s="1283"/>
      <c r="I22" s="289"/>
      <c r="J22" s="287"/>
      <c r="K22" s="288"/>
      <c r="L22" s="1211" t="str">
        <f>INDEX(PT_DIFFERENTIATION_NUM_IST_TE,MATCH(D19,PT_DIFFERENTIATION_IST_TE_ID,0))</f>
        <v>...</v>
      </c>
      <c r="M22" s="246" t="s">
        <v>422</v>
      </c>
      <c r="N22" s="236"/>
      <c r="O22" s="4687" t="str">
        <f>INDEX(PT_DIFFERENTIATION_IST_TE,MATCH(D19,PT_DIFFERENTIATION_IST_TE_ID,0))</f>
        <v/>
      </c>
      <c r="P22" s="4687"/>
      <c r="Q22" s="4687"/>
      <c r="R22" s="4687"/>
      <c r="S22" s="4687"/>
      <c r="T22" s="4687"/>
      <c r="U22" s="4687"/>
      <c r="V22" s="4687"/>
      <c r="W22" s="4687"/>
      <c r="X22" s="1176" t="s">
        <v>423</v>
      </c>
      <c r="Z22" s="435"/>
      <c r="AA22" s="435" t="str">
        <f t="shared" si="0"/>
        <v xml:space="preserve">Источник тепловой энергии  </v>
      </c>
      <c r="AB22" s="435"/>
      <c r="AC22" s="435"/>
      <c r="AD22" s="1073">
        <v>20</v>
      </c>
    </row>
    <row r="23" spans="1:30" ht="96.75" customHeight="1">
      <c r="A23" s="1281" t="s">
        <v>191</v>
      </c>
      <c r="B23" s="1281" t="s">
        <v>192</v>
      </c>
      <c r="C23" s="1281" t="s">
        <v>193</v>
      </c>
      <c r="D23" s="1281" t="s">
        <v>194</v>
      </c>
      <c r="E23" s="1281"/>
      <c r="F23" s="4390" t="str">
        <f>L22&amp;".1"</f>
        <v>....1</v>
      </c>
      <c r="I23" s="4416">
        <v>1</v>
      </c>
      <c r="J23" s="1209"/>
      <c r="K23" s="291"/>
      <c r="L23" s="1211" t="str">
        <f>$F$23</f>
        <v>....1</v>
      </c>
      <c r="M23" s="221" t="s">
        <v>425</v>
      </c>
      <c r="N23" s="236"/>
      <c r="O23" s="4446"/>
      <c r="P23" s="4446"/>
      <c r="Q23" s="4446"/>
      <c r="R23" s="4446"/>
      <c r="S23" s="4446"/>
      <c r="T23" s="4446"/>
      <c r="U23" s="4446"/>
      <c r="V23" s="4446"/>
      <c r="W23" s="4446"/>
      <c r="X23" s="1176" t="s">
        <v>426</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191</v>
      </c>
      <c r="B24" s="1281" t="s">
        <v>192</v>
      </c>
      <c r="C24" s="1281" t="s">
        <v>193</v>
      </c>
      <c r="D24" s="1281" t="s">
        <v>194</v>
      </c>
      <c r="E24" s="1281"/>
      <c r="F24" s="4390"/>
      <c r="G24" s="4390" t="str">
        <f>F23&amp;".1"</f>
        <v>....1.1</v>
      </c>
      <c r="I24" s="4416"/>
      <c r="J24" s="4416">
        <v>1</v>
      </c>
      <c r="K24" s="292"/>
      <c r="L24" s="1211" t="str">
        <f>$G$24</f>
        <v>....1.1</v>
      </c>
      <c r="M24" s="222" t="s">
        <v>428</v>
      </c>
      <c r="N24" s="236"/>
      <c r="O24" s="4400"/>
      <c r="P24" s="4401"/>
      <c r="Q24" s="4401"/>
      <c r="R24" s="4401"/>
      <c r="S24" s="4401"/>
      <c r="T24" s="4401"/>
      <c r="U24" s="4401"/>
      <c r="V24" s="4401"/>
      <c r="W24" s="4402"/>
      <c r="X24" s="1176" t="s">
        <v>429</v>
      </c>
      <c r="Z24" s="435"/>
      <c r="AA24" s="435" t="str">
        <f t="shared" si="0"/>
        <v>Группа потребителей</v>
      </c>
      <c r="AB24" s="435"/>
      <c r="AC24" s="435"/>
      <c r="AD24" s="1073">
        <v>82</v>
      </c>
    </row>
    <row r="25" spans="1:30" ht="11.45" customHeight="1">
      <c r="A25" s="1281" t="s">
        <v>191</v>
      </c>
      <c r="B25" s="1281" t="s">
        <v>192</v>
      </c>
      <c r="C25" s="1281" t="s">
        <v>193</v>
      </c>
      <c r="D25" s="1281" t="s">
        <v>194</v>
      </c>
      <c r="E25" s="1281"/>
      <c r="F25" s="4390"/>
      <c r="G25" s="4390"/>
      <c r="H25" s="4390" t="str">
        <f>G24&amp;".1"</f>
        <v>....1.1.1</v>
      </c>
      <c r="I25" s="4416"/>
      <c r="J25" s="4416"/>
      <c r="K25" s="292">
        <v>1</v>
      </c>
      <c r="L25" s="1211" t="str">
        <f>$H$25</f>
        <v>....1.1.1</v>
      </c>
      <c r="M25" s="1265"/>
      <c r="N25" s="236"/>
      <c r="O25" s="686"/>
      <c r="P25" s="261"/>
      <c r="Q25" s="686"/>
      <c r="R25" s="1175"/>
      <c r="S25" s="4417"/>
      <c r="T25" s="4284" t="s">
        <v>65</v>
      </c>
      <c r="U25" s="4417"/>
      <c r="V25" s="4284" t="s">
        <v>19</v>
      </c>
      <c r="W25" s="261"/>
      <c r="X25" s="4435" t="s">
        <v>431</v>
      </c>
      <c r="Y25" s="446" t="e">
        <f ca="1">STRCHECKDATE(O26:W26)</f>
        <v>#NAME?</v>
      </c>
      <c r="Z25" s="435"/>
      <c r="AA25" s="435" t="str">
        <f t="shared" si="0"/>
        <v/>
      </c>
      <c r="AB25" s="435"/>
      <c r="AC25" s="435"/>
      <c r="AD25" s="1073">
        <v>11</v>
      </c>
    </row>
    <row r="26" spans="1:30" ht="11.45" customHeight="1">
      <c r="A26" s="1281" t="s">
        <v>191</v>
      </c>
      <c r="B26" s="1281" t="s">
        <v>192</v>
      </c>
      <c r="C26" s="1281" t="s">
        <v>193</v>
      </c>
      <c r="D26" s="1281" t="s">
        <v>194</v>
      </c>
      <c r="E26" s="1281"/>
      <c r="F26" s="4390"/>
      <c r="G26" s="4390"/>
      <c r="H26" s="4390"/>
      <c r="I26" s="4416"/>
      <c r="J26" s="4416"/>
      <c r="K26" s="292"/>
      <c r="L26" s="1212"/>
      <c r="M26" s="236"/>
      <c r="N26" s="236"/>
      <c r="O26" s="261"/>
      <c r="P26" s="261"/>
      <c r="Q26" s="261"/>
      <c r="R26" s="264" t="str">
        <f>S25&amp;"-"&amp;U25</f>
        <v>-</v>
      </c>
      <c r="S26" s="4418"/>
      <c r="T26" s="4284"/>
      <c r="U26" s="4418"/>
      <c r="V26" s="4284"/>
      <c r="W26" s="261"/>
      <c r="X26" s="4436"/>
      <c r="Z26" s="435"/>
      <c r="AA26" s="435" t="str">
        <f t="shared" si="0"/>
        <v/>
      </c>
      <c r="AB26" s="435"/>
      <c r="AC26" s="435"/>
      <c r="AD26" s="1073">
        <v>11</v>
      </c>
    </row>
    <row r="27" spans="1:30" ht="15.75" customHeight="1">
      <c r="A27" s="1281" t="s">
        <v>191</v>
      </c>
      <c r="B27" s="1281" t="s">
        <v>192</v>
      </c>
      <c r="C27" s="1281" t="s">
        <v>193</v>
      </c>
      <c r="D27" s="1281" t="s">
        <v>194</v>
      </c>
      <c r="E27" s="1281"/>
      <c r="F27" s="4390"/>
      <c r="G27" s="4390"/>
      <c r="I27" s="4416"/>
      <c r="J27" s="4416"/>
      <c r="K27" s="291"/>
      <c r="L27" s="1196"/>
      <c r="M27" s="224" t="s">
        <v>432</v>
      </c>
      <c r="N27" s="302"/>
      <c r="O27" s="302"/>
      <c r="P27" s="302"/>
      <c r="Q27" s="302"/>
      <c r="R27" s="302"/>
      <c r="S27" s="302"/>
      <c r="T27" s="302"/>
      <c r="U27" s="302"/>
      <c r="V27" s="302"/>
      <c r="W27" s="260"/>
      <c r="X27" s="4437"/>
      <c r="Z27" s="435"/>
      <c r="AA27" s="435" t="str">
        <f t="shared" si="0"/>
        <v>Добавить вид теплоносителя (параметры теплоносителя)</v>
      </c>
      <c r="AB27" s="435"/>
      <c r="AC27" s="435"/>
      <c r="AD27" s="1073">
        <v>15</v>
      </c>
    </row>
    <row r="28" spans="1:30" ht="15.75" customHeight="1">
      <c r="A28" s="1281" t="s">
        <v>191</v>
      </c>
      <c r="B28" s="1281" t="s">
        <v>192</v>
      </c>
      <c r="C28" s="1281" t="s">
        <v>193</v>
      </c>
      <c r="D28" s="1281" t="s">
        <v>194</v>
      </c>
      <c r="E28" s="1281"/>
      <c r="F28" s="4390"/>
      <c r="I28" s="4416"/>
      <c r="J28" s="1209"/>
      <c r="K28" s="291"/>
      <c r="L28" s="1196"/>
      <c r="M28" s="223" t="s">
        <v>433</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191</v>
      </c>
      <c r="B29" s="1281" t="s">
        <v>192</v>
      </c>
      <c r="C29" s="1281" t="s">
        <v>193</v>
      </c>
      <c r="D29" s="1281" t="s">
        <v>194</v>
      </c>
      <c r="E29" s="1281"/>
      <c r="F29" s="1283"/>
      <c r="G29" s="1283"/>
      <c r="H29" s="472"/>
      <c r="I29" s="295"/>
      <c r="J29" s="310"/>
      <c r="K29" s="290"/>
      <c r="L29" s="1196"/>
      <c r="M29" s="300" t="s">
        <v>434</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191</v>
      </c>
      <c r="B30" s="1281" t="s">
        <v>192</v>
      </c>
      <c r="C30" s="1281" t="s">
        <v>193</v>
      </c>
      <c r="D30" s="1281"/>
      <c r="E30" s="1281" t="s">
        <v>607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191</v>
      </c>
      <c r="B31" s="1281" t="s">
        <v>192</v>
      </c>
      <c r="C31" s="1281"/>
      <c r="D31" s="1281"/>
      <c r="E31" s="1281" t="s">
        <v>2270</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2271</v>
      </c>
      <c r="B32" s="1281"/>
      <c r="C32" s="1281"/>
      <c r="D32" s="1281"/>
      <c r="E32" s="1281" t="s">
        <v>108</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4143" customFormat="1" ht="11.45" customHeight="1">
      <c r="A33" s="1281"/>
      <c r="B33" s="1281"/>
      <c r="C33" s="1281"/>
      <c r="D33" s="1281"/>
      <c r="E33" s="1281" t="s">
        <v>188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824</v>
      </c>
      <c r="M35" s="4411" t="s">
        <v>2272</v>
      </c>
      <c r="N35" s="4411"/>
      <c r="O35" s="4411"/>
      <c r="P35" s="4411"/>
      <c r="Q35" s="4411"/>
      <c r="R35" s="4411"/>
      <c r="S35" s="4411"/>
      <c r="T35" s="4411"/>
      <c r="U35" s="4411"/>
      <c r="V35" s="4411"/>
      <c r="W35" s="4411"/>
      <c r="X35" s="4411"/>
      <c r="AD35" s="1073">
        <v>27</v>
      </c>
    </row>
    <row r="36" spans="1:30" ht="109.15" customHeight="1">
      <c r="H36" s="472"/>
      <c r="I36" s="1221"/>
      <c r="M36" s="4411" t="s">
        <v>2273</v>
      </c>
      <c r="N36" s="4411"/>
      <c r="O36" s="4411"/>
      <c r="P36" s="4411"/>
      <c r="Q36" s="4411"/>
      <c r="R36" s="4411"/>
      <c r="S36" s="4411"/>
      <c r="T36" s="4411"/>
      <c r="U36" s="4411"/>
      <c r="V36" s="4411"/>
      <c r="W36" s="4411"/>
      <c r="X36" s="4411"/>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86</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4160" hidden="1" customWidth="1"/>
    <col min="2" max="2" width="15" style="4158" hidden="1" customWidth="1"/>
    <col min="3" max="3" width="3" style="4161" customWidth="1"/>
    <col min="4" max="4" width="6" style="4162" customWidth="1"/>
    <col min="5" max="5" width="52" style="4161" customWidth="1"/>
    <col min="6" max="6" width="48" style="4161" customWidth="1"/>
    <col min="7" max="7" width="121" style="4161" customWidth="1"/>
    <col min="8" max="8" width="8" style="4161" customWidth="1"/>
    <col min="9" max="9" width="64" style="4161" customWidth="1"/>
    <col min="10" max="10" width="9.140625" style="4161" hidden="1"/>
  </cols>
  <sheetData>
    <row r="1" spans="1:10" ht="11.25" hidden="1" customHeight="1">
      <c r="A1" s="1604" t="s">
        <v>320</v>
      </c>
      <c r="J1" s="390" t="s">
        <v>14</v>
      </c>
    </row>
    <row r="2" spans="1:10" ht="11.25" hidden="1" customHeight="1">
      <c r="J2" s="390">
        <v>0</v>
      </c>
    </row>
    <row r="3" spans="1:10" s="4157" customFormat="1" ht="11.45" customHeight="1">
      <c r="A3" s="1604"/>
      <c r="B3" s="436"/>
      <c r="D3" s="413"/>
      <c r="J3" s="412">
        <v>11</v>
      </c>
    </row>
    <row r="4" spans="1:10" ht="27.4" customHeight="1">
      <c r="D4" s="432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327"/>
      <c r="F4" s="4328"/>
      <c r="I4" s="650"/>
      <c r="J4" s="390">
        <v>26</v>
      </c>
    </row>
    <row r="5" spans="1:10" ht="18" customHeight="1">
      <c r="D5" s="4365" t="str">
        <f>IF(org=0,"Не определено",org)</f>
        <v>АО "Мурманэнергосбыт"</v>
      </c>
      <c r="E5" s="4365"/>
      <c r="F5" s="4365"/>
      <c r="I5" s="650"/>
      <c r="J5" s="390">
        <v>17</v>
      </c>
    </row>
    <row r="6" spans="1:10" s="4157" customFormat="1" ht="11.45" customHeight="1">
      <c r="A6" s="1604"/>
      <c r="B6" s="436"/>
      <c r="D6" s="649"/>
      <c r="E6" s="649"/>
      <c r="F6" s="687"/>
      <c r="G6" s="649"/>
      <c r="J6" s="412">
        <v>11</v>
      </c>
    </row>
    <row r="7" spans="1:10" ht="11.25" hidden="1" customHeight="1">
      <c r="A7" s="392"/>
      <c r="B7" s="437"/>
      <c r="C7" s="392"/>
      <c r="D7" s="398"/>
      <c r="E7" s="4371"/>
      <c r="F7" s="4371"/>
      <c r="J7" s="390">
        <v>0</v>
      </c>
    </row>
    <row r="8" spans="1:10" ht="11.45" customHeight="1">
      <c r="A8" s="392"/>
      <c r="B8" s="437"/>
      <c r="C8" s="392"/>
      <c r="D8" s="4368" t="s">
        <v>321</v>
      </c>
      <c r="E8" s="4369"/>
      <c r="F8" s="4369"/>
      <c r="G8" s="4372" t="s">
        <v>322</v>
      </c>
      <c r="J8" s="390">
        <v>11</v>
      </c>
    </row>
    <row r="9" spans="1:10" ht="11.45" customHeight="1">
      <c r="A9" s="392"/>
      <c r="B9" s="437"/>
      <c r="C9" s="392"/>
      <c r="D9" s="407" t="s">
        <v>92</v>
      </c>
      <c r="E9" s="381" t="s">
        <v>323</v>
      </c>
      <c r="F9" s="381" t="s">
        <v>324</v>
      </c>
      <c r="G9" s="4373"/>
      <c r="J9" s="390">
        <v>11</v>
      </c>
    </row>
    <row r="10" spans="1:10" ht="12" hidden="1" customHeight="1">
      <c r="A10" s="392"/>
      <c r="B10" s="437"/>
      <c r="C10" s="392"/>
      <c r="D10" s="399"/>
      <c r="E10" s="399"/>
      <c r="F10" s="399"/>
      <c r="G10" s="399"/>
      <c r="J10" s="390">
        <v>0</v>
      </c>
    </row>
    <row r="11" spans="1:10" ht="22.5" hidden="1" customHeight="1">
      <c r="A11" s="392"/>
      <c r="B11" s="437"/>
      <c r="C11" s="392"/>
      <c r="D11" s="931" t="s">
        <v>113</v>
      </c>
      <c r="E11" s="934" t="s">
        <v>325</v>
      </c>
      <c r="F11" s="933" t="str">
        <f>IF(region_name="","",region_name)</f>
        <v>Мурманская область</v>
      </c>
      <c r="G11" s="934" t="s">
        <v>326</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327</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328</v>
      </c>
      <c r="E14" s="932" t="s">
        <v>329</v>
      </c>
      <c r="F14" s="933" t="str">
        <f>IF(inn="","",inn)</f>
        <v>5190907139</v>
      </c>
      <c r="G14" s="934" t="s">
        <v>330</v>
      </c>
      <c r="H14" s="410"/>
      <c r="J14" s="390">
        <v>0</v>
      </c>
    </row>
    <row r="15" spans="1:10" ht="22.5" hidden="1" customHeight="1">
      <c r="A15" s="392"/>
      <c r="B15" s="437"/>
      <c r="C15" s="392"/>
      <c r="D15" s="931" t="s">
        <v>331</v>
      </c>
      <c r="E15" s="932" t="s">
        <v>332</v>
      </c>
      <c r="F15" s="933" t="str">
        <f>IF(kpp="","",kpp)</f>
        <v>519001001</v>
      </c>
      <c r="G15" s="934" t="s">
        <v>333</v>
      </c>
      <c r="H15" s="410"/>
      <c r="J15" s="390">
        <v>0</v>
      </c>
    </row>
    <row r="16" spans="1:10" ht="39" customHeight="1">
      <c r="A16" s="392"/>
      <c r="B16" s="437"/>
      <c r="C16" s="392"/>
      <c r="D16" s="380" t="s">
        <v>114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94</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95</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4366" t="s">
        <v>334</v>
      </c>
      <c r="B19" s="437"/>
      <c r="C19" s="4377"/>
      <c r="D19" s="380" t="str">
        <f>A19</f>
        <v>5.1</v>
      </c>
      <c r="E19" s="377" t="s">
        <v>335</v>
      </c>
      <c r="F19" s="378" t="s">
        <v>327</v>
      </c>
      <c r="G19" s="379" t="s">
        <v>336</v>
      </c>
      <c r="H19" s="410"/>
      <c r="I19" s="777"/>
      <c r="J19" s="390">
        <v>0</v>
      </c>
    </row>
    <row r="20" spans="1:10" ht="24" hidden="1" customHeight="1">
      <c r="A20" s="4366"/>
      <c r="B20" s="437"/>
      <c r="C20" s="4377"/>
      <c r="D20" s="375" t="str">
        <f>D19&amp;".1"</f>
        <v>5.1.1</v>
      </c>
      <c r="E20" s="374" t="s">
        <v>337</v>
      </c>
      <c r="F20" s="805" t="s">
        <v>28</v>
      </c>
      <c r="G20" s="409"/>
      <c r="H20" s="410"/>
      <c r="I20" s="777"/>
      <c r="J20" s="390">
        <v>0</v>
      </c>
    </row>
    <row r="21" spans="1:10" ht="22.5" hidden="1" customHeight="1">
      <c r="A21" s="4366"/>
      <c r="B21" s="437"/>
      <c r="C21" s="4377"/>
      <c r="D21" s="375" t="str">
        <f>D19&amp;".2"</f>
        <v>5.1.2</v>
      </c>
      <c r="E21" s="374" t="s">
        <v>338</v>
      </c>
      <c r="F21" s="1650" t="s">
        <v>28</v>
      </c>
      <c r="G21" s="379" t="s">
        <v>339</v>
      </c>
      <c r="H21" s="410"/>
      <c r="I21" s="777"/>
      <c r="J21" s="390">
        <v>0</v>
      </c>
    </row>
    <row r="22" spans="1:10" ht="22.5" hidden="1" customHeight="1">
      <c r="A22" s="4366"/>
      <c r="B22" s="437"/>
      <c r="C22" s="4377"/>
      <c r="D22" s="375" t="str">
        <f>D19&amp;".3"</f>
        <v>5.1.3</v>
      </c>
      <c r="E22" s="374" t="s">
        <v>340</v>
      </c>
      <c r="F22" s="805" t="s">
        <v>28</v>
      </c>
      <c r="G22" s="409"/>
      <c r="H22" s="410"/>
      <c r="I22" s="777"/>
      <c r="J22" s="390">
        <v>0</v>
      </c>
    </row>
    <row r="23" spans="1:10" ht="22.5" hidden="1" customHeight="1">
      <c r="A23" s="4366"/>
      <c r="B23" s="437"/>
      <c r="C23" s="4377"/>
      <c r="D23" s="375" t="str">
        <f>D19&amp;".4"</f>
        <v>5.1.4</v>
      </c>
      <c r="E23" s="374" t="s">
        <v>341</v>
      </c>
      <c r="F23" s="805" t="s">
        <v>28</v>
      </c>
      <c r="G23" s="379" t="s">
        <v>342</v>
      </c>
      <c r="H23" s="410"/>
      <c r="I23" s="777"/>
      <c r="J23" s="390">
        <v>0</v>
      </c>
    </row>
    <row r="24" spans="1:10" ht="22.5" hidden="1" customHeight="1">
      <c r="A24" s="1890"/>
      <c r="B24" s="437"/>
      <c r="C24" s="427"/>
      <c r="D24" s="402"/>
      <c r="E24" s="1086" t="s">
        <v>343</v>
      </c>
      <c r="F24" s="403"/>
      <c r="G24" s="404"/>
      <c r="H24" s="410"/>
      <c r="I24" s="777"/>
      <c r="J24" s="390">
        <v>0</v>
      </c>
    </row>
    <row r="25" spans="1:10" s="4158" customFormat="1" ht="24.75" hidden="1" customHeight="1">
      <c r="A25" s="392"/>
      <c r="B25" s="437"/>
      <c r="C25" s="437"/>
      <c r="D25" s="928" t="s">
        <v>94</v>
      </c>
      <c r="E25" s="930" t="s">
        <v>344</v>
      </c>
      <c r="F25" s="935" t="s">
        <v>327</v>
      </c>
      <c r="G25" s="930"/>
      <c r="J25" s="436">
        <v>0</v>
      </c>
    </row>
    <row r="26" spans="1:10" s="4158" customFormat="1" ht="11.25" hidden="1" customHeight="1">
      <c r="A26" s="392"/>
      <c r="B26" s="437"/>
      <c r="C26" s="437"/>
      <c r="D26" s="928" t="s">
        <v>345</v>
      </c>
      <c r="E26" s="929" t="s">
        <v>346</v>
      </c>
      <c r="F26" s="935" t="s">
        <v>327</v>
      </c>
      <c r="G26" s="930"/>
      <c r="J26" s="436">
        <v>0</v>
      </c>
    </row>
    <row r="27" spans="1:10" s="4158" customFormat="1" ht="11.25" hidden="1" customHeight="1">
      <c r="A27" s="392"/>
      <c r="B27" s="437"/>
      <c r="C27" s="437"/>
      <c r="D27" s="928" t="s">
        <v>347</v>
      </c>
      <c r="E27" s="936" t="s">
        <v>348</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158" customFormat="1" ht="11.25" hidden="1" customHeight="1">
      <c r="A28" s="392"/>
      <c r="B28" s="437"/>
      <c r="C28" s="437"/>
      <c r="D28" s="928" t="s">
        <v>349</v>
      </c>
      <c r="E28" s="936" t="s">
        <v>350</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158" customFormat="1" ht="11.25" hidden="1" customHeight="1">
      <c r="A29" s="392"/>
      <c r="B29" s="437"/>
      <c r="C29" s="437"/>
      <c r="D29" s="928" t="s">
        <v>351</v>
      </c>
      <c r="E29" s="936" t="s">
        <v>352</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158" customFormat="1" ht="11.25" hidden="1" customHeight="1">
      <c r="A30" s="392"/>
      <c r="B30" s="437"/>
      <c r="C30" s="437"/>
      <c r="D30" s="928" t="s">
        <v>353</v>
      </c>
      <c r="E30" s="929" t="s">
        <v>354</v>
      </c>
      <c r="F30" s="937"/>
      <c r="G30" s="930"/>
      <c r="J30" s="436">
        <v>0</v>
      </c>
    </row>
    <row r="31" spans="1:10" s="4158" customFormat="1" ht="11.25" hidden="1" customHeight="1">
      <c r="A31" s="392"/>
      <c r="B31" s="437"/>
      <c r="C31" s="437"/>
      <c r="D31" s="928" t="s">
        <v>355</v>
      </c>
      <c r="E31" s="929" t="s">
        <v>356</v>
      </c>
      <c r="F31" s="937"/>
      <c r="G31" s="930"/>
      <c r="J31" s="436">
        <v>0</v>
      </c>
    </row>
    <row r="32" spans="1:10" s="4158" customFormat="1" ht="11.25" hidden="1" customHeight="1">
      <c r="A32" s="392"/>
      <c r="B32" s="437"/>
      <c r="C32" s="437"/>
      <c r="D32" s="928" t="s">
        <v>357</v>
      </c>
      <c r="E32" s="929" t="s">
        <v>358</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327</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359</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359</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327</v>
      </c>
      <c r="G39" s="43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4375"/>
      <c r="H40" s="410"/>
      <c r="J40" s="390">
        <v>0</v>
      </c>
    </row>
    <row r="41" spans="1:10" ht="23.25" customHeight="1">
      <c r="A41" s="392"/>
      <c r="B41" s="392"/>
      <c r="C41" s="1606"/>
      <c r="D41" s="375" t="str">
        <f>D39&amp;".1"</f>
        <v>9.1</v>
      </c>
      <c r="E41" s="785"/>
      <c r="F41" s="786"/>
      <c r="G41" s="4375"/>
      <c r="H41" s="410"/>
      <c r="J41" s="390">
        <v>22</v>
      </c>
    </row>
    <row r="42" spans="1:10" ht="15.75" customHeight="1">
      <c r="A42" s="392"/>
      <c r="B42" s="437"/>
      <c r="C42" s="392"/>
      <c r="D42" s="402"/>
      <c r="E42" s="350" t="s">
        <v>360</v>
      </c>
      <c r="F42" s="404"/>
      <c r="G42" s="437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361</v>
      </c>
      <c r="H44" s="410"/>
      <c r="J44" s="390">
        <v>22</v>
      </c>
    </row>
    <row r="45" spans="1:10" ht="23.25" customHeight="1">
      <c r="A45" s="392"/>
      <c r="B45" s="437"/>
      <c r="C45" s="392"/>
      <c r="D45" s="375">
        <f>D44+1</f>
        <v>12</v>
      </c>
      <c r="E45" s="373" t="s">
        <v>362</v>
      </c>
      <c r="F45" s="378" t="s">
        <v>327</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363</v>
      </c>
      <c r="H46" s="410"/>
      <c r="J46" s="390">
        <v>23</v>
      </c>
    </row>
    <row r="47" spans="1:10" ht="24" customHeight="1">
      <c r="A47" s="4366"/>
      <c r="B47" s="437"/>
      <c r="C47" s="427"/>
      <c r="D47" s="375" t="str">
        <f>D45&amp;".2"</f>
        <v>12.2</v>
      </c>
      <c r="E47" s="377" t="s">
        <v>364</v>
      </c>
      <c r="F47" s="425"/>
      <c r="G47" s="372" t="s">
        <v>365</v>
      </c>
      <c r="H47" s="410"/>
      <c r="J47" s="390">
        <v>23</v>
      </c>
    </row>
    <row r="48" spans="1:10" ht="24" customHeight="1">
      <c r="A48" s="4366"/>
      <c r="B48" s="437"/>
      <c r="C48" s="427"/>
      <c r="D48" s="375" t="str">
        <f>D45&amp;".3"</f>
        <v>12.3</v>
      </c>
      <c r="E48" s="377" t="s">
        <v>366</v>
      </c>
      <c r="F48" s="425"/>
      <c r="G48" s="372" t="s">
        <v>367</v>
      </c>
      <c r="H48" s="410"/>
      <c r="J48" s="390">
        <v>23</v>
      </c>
    </row>
    <row r="49" spans="1:10" ht="24" customHeight="1">
      <c r="A49" s="4366"/>
      <c r="B49" s="437"/>
      <c r="C49" s="427"/>
      <c r="D49" s="375" t="str">
        <f>IF(TEMPLATE_SPHERE="TKO",D45&amp;".0",D45&amp;".4")</f>
        <v>12.4</v>
      </c>
      <c r="E49" s="371" t="s">
        <v>368</v>
      </c>
      <c r="F49" s="1603"/>
      <c r="G49" s="1679" t="s">
        <v>369</v>
      </c>
      <c r="H49" s="410"/>
      <c r="J49" s="390">
        <v>23</v>
      </c>
    </row>
    <row r="50" spans="1:10" ht="24" customHeight="1">
      <c r="A50" s="392"/>
      <c r="B50" s="437"/>
      <c r="C50" s="392"/>
      <c r="D50" s="402"/>
      <c r="E50" s="350" t="s">
        <v>370</v>
      </c>
      <c r="F50" s="403"/>
      <c r="G50" s="1679" t="s">
        <v>371</v>
      </c>
      <c r="H50" s="411"/>
      <c r="J50" s="390">
        <v>23</v>
      </c>
    </row>
    <row r="51" spans="1:10" ht="24" customHeight="1">
      <c r="A51" s="783"/>
      <c r="B51" s="437"/>
      <c r="C51" s="427"/>
      <c r="D51" s="375">
        <f>D45+1</f>
        <v>13</v>
      </c>
      <c r="E51" s="463" t="s">
        <v>372</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4159" customFormat="1" ht="31.5" customHeight="1">
      <c r="A53" s="1605"/>
      <c r="B53" s="438"/>
      <c r="C53" s="4367"/>
      <c r="D53" s="43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4370"/>
      <c r="F53" s="4370"/>
      <c r="G53" s="4370"/>
      <c r="H53" s="389"/>
      <c r="I53" s="389"/>
      <c r="J53" s="395">
        <v>30</v>
      </c>
    </row>
    <row r="54" spans="1:10" s="4159" customFormat="1" ht="42" customHeight="1">
      <c r="A54" s="392"/>
      <c r="B54" s="437"/>
      <c r="C54" s="4367"/>
      <c r="D54" s="437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4370"/>
      <c r="F54" s="4370"/>
      <c r="G54" s="437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86</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234" customWidth="1"/>
    <col min="2" max="2" width="8.7109375" style="4234" customWidth="1"/>
    <col min="3" max="3" width="18.140625" style="4234" customWidth="1"/>
    <col min="4" max="4" width="12.5703125" style="4234" customWidth="1"/>
  </cols>
  <sheetData>
    <row r="1" spans="1:5" ht="11.25" customHeight="1">
      <c r="A1" s="1990" t="s">
        <v>2274</v>
      </c>
      <c r="B1" s="1991" t="s">
        <v>2275</v>
      </c>
      <c r="C1" s="4691" t="s">
        <v>2276</v>
      </c>
      <c r="D1" s="4692"/>
      <c r="E1" s="765" t="s">
        <v>2277</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1700</v>
      </c>
      <c r="C4" s="688"/>
      <c r="D4" s="697"/>
      <c r="E4" s="765"/>
    </row>
    <row r="5" spans="1:5" ht="11.25" customHeight="1">
      <c r="A5" s="1996"/>
      <c r="B5" s="699" t="s">
        <v>1694</v>
      </c>
      <c r="C5" s="1997" t="s">
        <v>2041</v>
      </c>
      <c r="D5" s="1998" t="s">
        <v>2278</v>
      </c>
      <c r="E5" s="765"/>
    </row>
    <row r="6" spans="1:5" s="4143" customFormat="1" ht="11.25" customHeight="1">
      <c r="A6" s="1999"/>
      <c r="B6" s="699" t="s">
        <v>1704</v>
      </c>
      <c r="C6" s="688"/>
      <c r="D6" s="697"/>
      <c r="E6" s="765"/>
    </row>
    <row r="7" spans="1:5" ht="11.25" customHeight="1">
      <c r="A7" s="2000"/>
      <c r="B7" s="699" t="s">
        <v>1712</v>
      </c>
      <c r="C7" s="688"/>
      <c r="D7" s="697"/>
      <c r="E7" s="765"/>
    </row>
    <row r="8" spans="1:5" ht="11.25" customHeight="1">
      <c r="A8" s="690"/>
      <c r="B8" s="699" t="s">
        <v>1707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3"/>
  <sheetViews>
    <sheetView showGridLines="0" workbookViewId="0"/>
  </sheetViews>
  <sheetFormatPr defaultColWidth="9.140625" defaultRowHeight="11.25" customHeight="1"/>
  <cols>
    <col min="1" max="2" width="9.140625" style="4143"/>
    <col min="3" max="3" width="20.7109375" style="4143" customWidth="1"/>
    <col min="4" max="4" width="25.140625" style="4143" customWidth="1"/>
    <col min="5" max="9" width="9.140625" style="4143"/>
  </cols>
  <sheetData>
    <row r="1" spans="1:9" ht="11.25" customHeight="1">
      <c r="A1" s="8" t="s">
        <v>2279</v>
      </c>
      <c r="B1" s="8" t="s">
        <v>2280</v>
      </c>
      <c r="C1" s="8" t="s">
        <v>2281</v>
      </c>
      <c r="D1" s="8" t="s">
        <v>2282</v>
      </c>
      <c r="E1" s="8" t="s">
        <v>2283</v>
      </c>
      <c r="F1" s="8" t="s">
        <v>2284</v>
      </c>
      <c r="G1" s="8" t="s">
        <v>2285</v>
      </c>
      <c r="H1" s="8" t="s">
        <v>2286</v>
      </c>
      <c r="I1" s="8" t="s">
        <v>2287</v>
      </c>
    </row>
    <row r="2" spans="1:9" ht="11.25" customHeight="1">
      <c r="A2" s="4125" t="s">
        <v>2288</v>
      </c>
      <c r="B2" s="4125" t="s">
        <v>16</v>
      </c>
      <c r="C2" s="4125" t="s">
        <v>2289</v>
      </c>
      <c r="D2" s="4125" t="s">
        <v>2290</v>
      </c>
      <c r="E2" s="4125" t="s">
        <v>2291</v>
      </c>
      <c r="F2" s="4125" t="s">
        <v>2292</v>
      </c>
      <c r="G2" s="4125" t="s">
        <v>2293</v>
      </c>
      <c r="H2" s="4125" t="s">
        <v>28</v>
      </c>
      <c r="I2" s="4125" t="s">
        <v>828</v>
      </c>
    </row>
    <row r="3" spans="1:9" ht="11.25" customHeight="1">
      <c r="A3" s="4125" t="s">
        <v>2288</v>
      </c>
      <c r="B3" s="4125" t="s">
        <v>16</v>
      </c>
      <c r="C3" s="4125" t="s">
        <v>2294</v>
      </c>
      <c r="D3" s="4125" t="s">
        <v>2290</v>
      </c>
      <c r="E3" s="4125" t="s">
        <v>2291</v>
      </c>
      <c r="F3" s="4125" t="s">
        <v>2295</v>
      </c>
      <c r="G3" s="4125" t="s">
        <v>2296</v>
      </c>
      <c r="H3" s="4125" t="s">
        <v>28</v>
      </c>
      <c r="I3" s="4125" t="s">
        <v>828</v>
      </c>
    </row>
    <row r="4" spans="1:9" ht="11.25" customHeight="1">
      <c r="A4" s="4125" t="s">
        <v>2288</v>
      </c>
      <c r="B4" s="4125" t="s">
        <v>16</v>
      </c>
      <c r="C4" s="4125" t="s">
        <v>2297</v>
      </c>
      <c r="D4" s="4125" t="s">
        <v>2298</v>
      </c>
      <c r="E4" s="4125" t="s">
        <v>2299</v>
      </c>
      <c r="F4" s="4125" t="s">
        <v>2300</v>
      </c>
      <c r="G4" s="4125" t="s">
        <v>28</v>
      </c>
      <c r="H4" s="4125" t="s">
        <v>28</v>
      </c>
      <c r="I4" s="4125" t="s">
        <v>828</v>
      </c>
    </row>
    <row r="5" spans="1:9" ht="11.25" customHeight="1">
      <c r="A5" s="4125" t="s">
        <v>2288</v>
      </c>
      <c r="B5" s="4125" t="s">
        <v>16</v>
      </c>
      <c r="C5" s="4125" t="s">
        <v>2301</v>
      </c>
      <c r="D5" s="4125" t="s">
        <v>2302</v>
      </c>
      <c r="E5" s="4125" t="s">
        <v>2303</v>
      </c>
      <c r="F5" s="4125" t="s">
        <v>55</v>
      </c>
      <c r="G5" s="4125" t="s">
        <v>2304</v>
      </c>
      <c r="H5" s="4125" t="s">
        <v>28</v>
      </c>
      <c r="I5" s="4125" t="s">
        <v>828</v>
      </c>
    </row>
    <row r="6" spans="1:9" ht="11.25" customHeight="1">
      <c r="A6" s="4125" t="s">
        <v>2288</v>
      </c>
      <c r="B6" s="4125" t="s">
        <v>16</v>
      </c>
      <c r="C6" s="4125" t="s">
        <v>2305</v>
      </c>
      <c r="D6" s="4125" t="s">
        <v>2306</v>
      </c>
      <c r="E6" s="4125" t="s">
        <v>2307</v>
      </c>
      <c r="F6" s="4125" t="s">
        <v>2308</v>
      </c>
      <c r="G6" s="4125" t="s">
        <v>28</v>
      </c>
      <c r="H6" s="4125" t="s">
        <v>28</v>
      </c>
      <c r="I6" s="4125" t="s">
        <v>828</v>
      </c>
    </row>
    <row r="7" spans="1:9" ht="11.25" customHeight="1">
      <c r="A7" s="4125" t="s">
        <v>2288</v>
      </c>
      <c r="B7" s="4125" t="s">
        <v>16</v>
      </c>
      <c r="C7" s="4125" t="s">
        <v>2309</v>
      </c>
      <c r="D7" s="4125" t="s">
        <v>2310</v>
      </c>
      <c r="E7" s="4125" t="s">
        <v>2311</v>
      </c>
      <c r="F7" s="4125" t="s">
        <v>2308</v>
      </c>
      <c r="G7" s="4125" t="s">
        <v>2312</v>
      </c>
      <c r="H7" s="4125" t="s">
        <v>28</v>
      </c>
      <c r="I7" s="4125" t="s">
        <v>828</v>
      </c>
    </row>
    <row r="8" spans="1:9" ht="11.25" customHeight="1">
      <c r="A8" s="4125" t="s">
        <v>2288</v>
      </c>
      <c r="B8" s="4125" t="s">
        <v>16</v>
      </c>
      <c r="C8" s="4125" t="s">
        <v>2313</v>
      </c>
      <c r="D8" s="4125" t="s">
        <v>2314</v>
      </c>
      <c r="E8" s="4125" t="s">
        <v>2315</v>
      </c>
      <c r="F8" s="4125" t="s">
        <v>2316</v>
      </c>
      <c r="G8" s="4125" t="s">
        <v>28</v>
      </c>
      <c r="H8" s="4125" t="s">
        <v>28</v>
      </c>
      <c r="I8" s="4125" t="s">
        <v>828</v>
      </c>
    </row>
    <row r="9" spans="1:9" ht="11.25" customHeight="1">
      <c r="A9" s="4125" t="s">
        <v>2288</v>
      </c>
      <c r="B9" s="4125" t="s">
        <v>16</v>
      </c>
      <c r="C9" s="4125" t="s">
        <v>2317</v>
      </c>
      <c r="D9" s="4125" t="s">
        <v>2318</v>
      </c>
      <c r="E9" s="4125" t="s">
        <v>2319</v>
      </c>
      <c r="F9" s="4125" t="s">
        <v>55</v>
      </c>
      <c r="G9" s="4125" t="s">
        <v>28</v>
      </c>
      <c r="H9" s="4125" t="s">
        <v>28</v>
      </c>
      <c r="I9" s="4125" t="s">
        <v>828</v>
      </c>
    </row>
    <row r="10" spans="1:9" ht="11.25" customHeight="1">
      <c r="A10" s="4125" t="s">
        <v>2288</v>
      </c>
      <c r="B10" s="4125" t="s">
        <v>16</v>
      </c>
      <c r="C10" s="4125" t="s">
        <v>2320</v>
      </c>
      <c r="D10" s="4125" t="s">
        <v>2321</v>
      </c>
      <c r="E10" s="4125" t="s">
        <v>2322</v>
      </c>
      <c r="F10" s="4125" t="s">
        <v>55</v>
      </c>
      <c r="G10" s="4125" t="s">
        <v>2323</v>
      </c>
      <c r="H10" s="4125" t="s">
        <v>28</v>
      </c>
      <c r="I10" s="4125" t="s">
        <v>828</v>
      </c>
    </row>
    <row r="11" spans="1:9" ht="11.25" customHeight="1">
      <c r="A11" s="4125" t="s">
        <v>2288</v>
      </c>
      <c r="B11" s="4125" t="s">
        <v>16</v>
      </c>
      <c r="C11" s="4125" t="s">
        <v>13</v>
      </c>
      <c r="D11" s="4125" t="s">
        <v>50</v>
      </c>
      <c r="E11" s="4125" t="s">
        <v>53</v>
      </c>
      <c r="F11" s="4125" t="s">
        <v>55</v>
      </c>
      <c r="G11" s="4125" t="s">
        <v>28</v>
      </c>
      <c r="H11" s="4125" t="s">
        <v>28</v>
      </c>
      <c r="I11" s="4125" t="s">
        <v>828</v>
      </c>
    </row>
    <row r="12" spans="1:9" ht="11.25" customHeight="1">
      <c r="A12" s="4125" t="s">
        <v>2288</v>
      </c>
      <c r="B12" s="4125" t="s">
        <v>16</v>
      </c>
      <c r="C12" s="4125" t="s">
        <v>2324</v>
      </c>
      <c r="D12" s="4125" t="s">
        <v>2325</v>
      </c>
      <c r="E12" s="4125" t="s">
        <v>2326</v>
      </c>
      <c r="F12" s="4125" t="s">
        <v>2327</v>
      </c>
      <c r="G12" s="4125" t="s">
        <v>28</v>
      </c>
      <c r="H12" s="4125" t="s">
        <v>28</v>
      </c>
      <c r="I12" s="4125" t="s">
        <v>828</v>
      </c>
    </row>
    <row r="13" spans="1:9" ht="11.25" customHeight="1">
      <c r="A13" s="4125" t="s">
        <v>2288</v>
      </c>
      <c r="B13" s="4125" t="s">
        <v>16</v>
      </c>
      <c r="C13" s="4125" t="s">
        <v>2328</v>
      </c>
      <c r="D13" s="4125" t="s">
        <v>2329</v>
      </c>
      <c r="E13" s="4125" t="s">
        <v>2330</v>
      </c>
      <c r="F13" s="4125" t="s">
        <v>2331</v>
      </c>
      <c r="G13" s="4125" t="s">
        <v>2332</v>
      </c>
      <c r="H13" s="4125" t="s">
        <v>28</v>
      </c>
      <c r="I13" s="4125" t="s">
        <v>828</v>
      </c>
    </row>
    <row r="14" spans="1:9" ht="11.25" customHeight="1">
      <c r="A14" s="4125" t="s">
        <v>2288</v>
      </c>
      <c r="B14" s="4125" t="s">
        <v>16</v>
      </c>
      <c r="C14" s="4125" t="s">
        <v>2333</v>
      </c>
      <c r="D14" s="4125" t="s">
        <v>2334</v>
      </c>
      <c r="E14" s="4125" t="s">
        <v>2335</v>
      </c>
      <c r="F14" s="4125" t="s">
        <v>2336</v>
      </c>
      <c r="G14" s="4125" t="s">
        <v>28</v>
      </c>
      <c r="H14" s="4125" t="s">
        <v>28</v>
      </c>
      <c r="I14" s="4125" t="s">
        <v>828</v>
      </c>
    </row>
    <row r="15" spans="1:9" ht="11.25" customHeight="1">
      <c r="A15" s="4125" t="s">
        <v>2288</v>
      </c>
      <c r="B15" s="4125" t="s">
        <v>16</v>
      </c>
      <c r="C15" s="4125" t="s">
        <v>2337</v>
      </c>
      <c r="D15" s="4125" t="s">
        <v>2338</v>
      </c>
      <c r="E15" s="4125" t="s">
        <v>2339</v>
      </c>
      <c r="F15" s="4125" t="s">
        <v>2340</v>
      </c>
      <c r="G15" s="4125" t="s">
        <v>2341</v>
      </c>
      <c r="H15" s="4125" t="s">
        <v>28</v>
      </c>
      <c r="I15" s="4125" t="s">
        <v>828</v>
      </c>
    </row>
    <row r="16" spans="1:9" ht="11.25" customHeight="1">
      <c r="A16" s="4125" t="s">
        <v>2288</v>
      </c>
      <c r="B16" s="4125" t="s">
        <v>16</v>
      </c>
      <c r="C16" s="4125" t="s">
        <v>2342</v>
      </c>
      <c r="D16" s="4125" t="s">
        <v>2343</v>
      </c>
      <c r="E16" s="4125" t="s">
        <v>2344</v>
      </c>
      <c r="F16" s="4125" t="s">
        <v>2345</v>
      </c>
      <c r="G16" s="4125" t="s">
        <v>28</v>
      </c>
      <c r="H16" s="4125" t="s">
        <v>28</v>
      </c>
      <c r="I16" s="4125" t="s">
        <v>828</v>
      </c>
    </row>
    <row r="17" spans="1:9" ht="11.25" customHeight="1">
      <c r="A17" s="4125" t="s">
        <v>2288</v>
      </c>
      <c r="B17" s="4125" t="s">
        <v>16</v>
      </c>
      <c r="C17" s="4125" t="s">
        <v>2346</v>
      </c>
      <c r="D17" s="4125" t="s">
        <v>2347</v>
      </c>
      <c r="E17" s="4125" t="s">
        <v>2348</v>
      </c>
      <c r="F17" s="4125" t="s">
        <v>55</v>
      </c>
      <c r="G17" s="4125" t="s">
        <v>2349</v>
      </c>
      <c r="H17" s="4125" t="s">
        <v>28</v>
      </c>
      <c r="I17" s="4125" t="s">
        <v>828</v>
      </c>
    </row>
    <row r="18" spans="1:9" ht="11.25" customHeight="1">
      <c r="A18" s="4125" t="s">
        <v>2288</v>
      </c>
      <c r="B18" s="4125" t="s">
        <v>16</v>
      </c>
      <c r="C18" s="4125" t="s">
        <v>2350</v>
      </c>
      <c r="D18" s="4125" t="s">
        <v>2351</v>
      </c>
      <c r="E18" s="4125" t="s">
        <v>2352</v>
      </c>
      <c r="F18" s="4125" t="s">
        <v>2353</v>
      </c>
      <c r="G18" s="4125" t="s">
        <v>28</v>
      </c>
      <c r="H18" s="4125" t="s">
        <v>28</v>
      </c>
      <c r="I18" s="4125" t="s">
        <v>828</v>
      </c>
    </row>
    <row r="19" spans="1:9" ht="11.25" customHeight="1">
      <c r="A19" s="4125" t="s">
        <v>2288</v>
      </c>
      <c r="B19" s="4125" t="s">
        <v>16</v>
      </c>
      <c r="C19" s="4125" t="s">
        <v>2354</v>
      </c>
      <c r="D19" s="4125" t="s">
        <v>2355</v>
      </c>
      <c r="E19" s="4125" t="s">
        <v>2356</v>
      </c>
      <c r="F19" s="4125" t="s">
        <v>55</v>
      </c>
      <c r="G19" s="4125" t="s">
        <v>28</v>
      </c>
      <c r="H19" s="4125" t="s">
        <v>28</v>
      </c>
      <c r="I19" s="4125" t="s">
        <v>828</v>
      </c>
    </row>
    <row r="20" spans="1:9" ht="11.25" customHeight="1">
      <c r="A20" s="4125" t="s">
        <v>2288</v>
      </c>
      <c r="B20" s="4125" t="s">
        <v>16</v>
      </c>
      <c r="C20" s="4125" t="s">
        <v>2357</v>
      </c>
      <c r="D20" s="4125" t="s">
        <v>2358</v>
      </c>
      <c r="E20" s="4125" t="s">
        <v>2359</v>
      </c>
      <c r="F20" s="4125" t="s">
        <v>55</v>
      </c>
      <c r="G20" s="4125" t="s">
        <v>2360</v>
      </c>
      <c r="H20" s="4125" t="s">
        <v>28</v>
      </c>
      <c r="I20" s="4125" t="s">
        <v>828</v>
      </c>
    </row>
    <row r="21" spans="1:9" ht="11.25" customHeight="1">
      <c r="A21" s="4125" t="s">
        <v>2288</v>
      </c>
      <c r="B21" s="4125" t="s">
        <v>16</v>
      </c>
      <c r="C21" s="4125" t="s">
        <v>2361</v>
      </c>
      <c r="D21" s="4125" t="s">
        <v>2362</v>
      </c>
      <c r="E21" s="4125" t="s">
        <v>2363</v>
      </c>
      <c r="F21" s="4125" t="s">
        <v>2327</v>
      </c>
      <c r="G21" s="4125" t="s">
        <v>28</v>
      </c>
      <c r="H21" s="4125" t="s">
        <v>2364</v>
      </c>
      <c r="I21" s="4125" t="s">
        <v>828</v>
      </c>
    </row>
    <row r="22" spans="1:9" ht="11.25" customHeight="1">
      <c r="A22" s="4125" t="s">
        <v>2288</v>
      </c>
      <c r="B22" s="4125" t="s">
        <v>16</v>
      </c>
      <c r="C22" s="4125" t="s">
        <v>2365</v>
      </c>
      <c r="D22" s="4125" t="s">
        <v>2366</v>
      </c>
      <c r="E22" s="4125" t="s">
        <v>2367</v>
      </c>
      <c r="F22" s="4125" t="s">
        <v>2368</v>
      </c>
      <c r="G22" s="4125" t="s">
        <v>28</v>
      </c>
      <c r="H22" s="4125" t="s">
        <v>28</v>
      </c>
      <c r="I22" s="4125" t="s">
        <v>828</v>
      </c>
    </row>
    <row r="23" spans="1:9" ht="11.25" customHeight="1">
      <c r="A23" s="4125" t="s">
        <v>2288</v>
      </c>
      <c r="B23" s="4125" t="s">
        <v>16</v>
      </c>
      <c r="C23" s="4125" t="s">
        <v>2369</v>
      </c>
      <c r="D23" s="4125" t="s">
        <v>2370</v>
      </c>
      <c r="E23" s="4125" t="s">
        <v>2371</v>
      </c>
      <c r="F23" s="4125" t="s">
        <v>2372</v>
      </c>
      <c r="G23" s="4125" t="s">
        <v>2373</v>
      </c>
      <c r="H23" s="4125" t="s">
        <v>2374</v>
      </c>
      <c r="I23" s="4125" t="s">
        <v>828</v>
      </c>
    </row>
    <row r="24" spans="1:9" ht="11.25" customHeight="1">
      <c r="A24" s="4125" t="s">
        <v>2288</v>
      </c>
      <c r="B24" s="4125" t="s">
        <v>16</v>
      </c>
      <c r="C24" s="4125" t="s">
        <v>28</v>
      </c>
      <c r="D24" s="4125" t="s">
        <v>2375</v>
      </c>
      <c r="E24" s="4125" t="s">
        <v>2376</v>
      </c>
      <c r="F24" s="4125" t="s">
        <v>55</v>
      </c>
      <c r="G24" s="4125" t="s">
        <v>28</v>
      </c>
      <c r="H24" s="4125" t="s">
        <v>28</v>
      </c>
      <c r="I24" s="4125" t="s">
        <v>828</v>
      </c>
    </row>
    <row r="25" spans="1:9" ht="11.25" customHeight="1">
      <c r="A25" s="4125" t="s">
        <v>2288</v>
      </c>
      <c r="B25" s="4125" t="s">
        <v>16</v>
      </c>
      <c r="C25" s="4125" t="s">
        <v>2377</v>
      </c>
      <c r="D25" s="4125" t="s">
        <v>2378</v>
      </c>
      <c r="E25" s="4125" t="s">
        <v>2379</v>
      </c>
      <c r="F25" s="4125" t="s">
        <v>2300</v>
      </c>
      <c r="G25" s="4125" t="s">
        <v>28</v>
      </c>
      <c r="H25" s="4125" t="s">
        <v>2380</v>
      </c>
      <c r="I25" s="4125" t="s">
        <v>828</v>
      </c>
    </row>
    <row r="26" spans="1:9" ht="11.25" customHeight="1">
      <c r="A26" s="4125" t="s">
        <v>2288</v>
      </c>
      <c r="B26" s="4125" t="s">
        <v>16</v>
      </c>
      <c r="C26" s="4125" t="s">
        <v>2381</v>
      </c>
      <c r="D26" s="4125" t="s">
        <v>2382</v>
      </c>
      <c r="E26" s="4125" t="s">
        <v>2383</v>
      </c>
      <c r="F26" s="4125" t="s">
        <v>2384</v>
      </c>
      <c r="G26" s="4125" t="s">
        <v>28</v>
      </c>
      <c r="H26" s="4125" t="s">
        <v>28</v>
      </c>
      <c r="I26" s="4125" t="s">
        <v>828</v>
      </c>
    </row>
    <row r="27" spans="1:9" ht="11.25" customHeight="1">
      <c r="A27" s="4125" t="s">
        <v>2288</v>
      </c>
      <c r="B27" s="4125" t="s">
        <v>16</v>
      </c>
      <c r="C27" s="4125" t="s">
        <v>2385</v>
      </c>
      <c r="D27" s="4125" t="s">
        <v>2386</v>
      </c>
      <c r="E27" s="4125" t="s">
        <v>2387</v>
      </c>
      <c r="F27" s="4125" t="s">
        <v>2300</v>
      </c>
      <c r="G27" s="4125" t="s">
        <v>28</v>
      </c>
      <c r="H27" s="4125" t="s">
        <v>28</v>
      </c>
      <c r="I27" s="4125" t="s">
        <v>828</v>
      </c>
    </row>
    <row r="28" spans="1:9" ht="11.25" customHeight="1">
      <c r="A28" s="4125" t="s">
        <v>2288</v>
      </c>
      <c r="B28" s="4125" t="s">
        <v>16</v>
      </c>
      <c r="C28" s="4125" t="s">
        <v>2388</v>
      </c>
      <c r="D28" s="4125" t="s">
        <v>2389</v>
      </c>
      <c r="E28" s="4125" t="s">
        <v>2390</v>
      </c>
      <c r="F28" s="4125" t="s">
        <v>2384</v>
      </c>
      <c r="G28" s="4125" t="s">
        <v>2391</v>
      </c>
      <c r="H28" s="4125" t="s">
        <v>28</v>
      </c>
      <c r="I28" s="4125" t="s">
        <v>828</v>
      </c>
    </row>
    <row r="29" spans="1:9" ht="11.25" customHeight="1">
      <c r="A29" s="4125" t="s">
        <v>2288</v>
      </c>
      <c r="B29" s="4125" t="s">
        <v>16</v>
      </c>
      <c r="C29" s="4125" t="s">
        <v>2392</v>
      </c>
      <c r="D29" s="4125" t="s">
        <v>2393</v>
      </c>
      <c r="E29" s="4125" t="s">
        <v>2394</v>
      </c>
      <c r="F29" s="4125" t="s">
        <v>2384</v>
      </c>
      <c r="G29" s="4125" t="s">
        <v>2395</v>
      </c>
      <c r="H29" s="4125" t="s">
        <v>28</v>
      </c>
      <c r="I29" s="4125" t="s">
        <v>828</v>
      </c>
    </row>
    <row r="30" spans="1:9" ht="11.25" customHeight="1">
      <c r="A30" s="4125" t="s">
        <v>2288</v>
      </c>
      <c r="B30" s="4125" t="s">
        <v>16</v>
      </c>
      <c r="C30" s="4125" t="s">
        <v>2396</v>
      </c>
      <c r="D30" s="4125" t="s">
        <v>2397</v>
      </c>
      <c r="E30" s="4125" t="s">
        <v>2398</v>
      </c>
      <c r="F30" s="4125" t="s">
        <v>2372</v>
      </c>
      <c r="G30" s="4125" t="s">
        <v>2399</v>
      </c>
      <c r="H30" s="4125" t="s">
        <v>28</v>
      </c>
      <c r="I30" s="4125" t="s">
        <v>828</v>
      </c>
    </row>
    <row r="31" spans="1:9" ht="11.25" customHeight="1">
      <c r="A31" s="4125" t="s">
        <v>2288</v>
      </c>
      <c r="B31" s="4125" t="s">
        <v>16</v>
      </c>
      <c r="C31" s="4125" t="s">
        <v>2400</v>
      </c>
      <c r="D31" s="4125" t="s">
        <v>2401</v>
      </c>
      <c r="E31" s="4125" t="s">
        <v>2402</v>
      </c>
      <c r="F31" s="4125" t="s">
        <v>2403</v>
      </c>
      <c r="G31" s="4125" t="s">
        <v>28</v>
      </c>
      <c r="H31" s="4125" t="s">
        <v>28</v>
      </c>
      <c r="I31" s="4125" t="s">
        <v>828</v>
      </c>
    </row>
    <row r="32" spans="1:9" ht="11.25" customHeight="1">
      <c r="A32" s="4125" t="s">
        <v>2288</v>
      </c>
      <c r="B32" s="4125" t="s">
        <v>16</v>
      </c>
      <c r="C32" s="4125" t="s">
        <v>2404</v>
      </c>
      <c r="D32" s="4125" t="s">
        <v>2405</v>
      </c>
      <c r="E32" s="4125" t="s">
        <v>2406</v>
      </c>
      <c r="F32" s="4125" t="s">
        <v>2331</v>
      </c>
      <c r="G32" s="4125" t="s">
        <v>28</v>
      </c>
      <c r="H32" s="4125" t="s">
        <v>28</v>
      </c>
      <c r="I32" s="4125" t="s">
        <v>828</v>
      </c>
    </row>
    <row r="33" spans="1:9" ht="11.25" customHeight="1">
      <c r="A33" s="4125" t="s">
        <v>2288</v>
      </c>
      <c r="B33" s="4125" t="s">
        <v>16</v>
      </c>
      <c r="C33" s="4125" t="s">
        <v>2407</v>
      </c>
      <c r="D33" s="4125" t="s">
        <v>2408</v>
      </c>
      <c r="E33" s="4125" t="s">
        <v>2409</v>
      </c>
      <c r="F33" s="4125" t="s">
        <v>2410</v>
      </c>
      <c r="G33" s="4125" t="s">
        <v>28</v>
      </c>
      <c r="H33" s="4125" t="s">
        <v>28</v>
      </c>
      <c r="I33" s="4125" t="s">
        <v>828</v>
      </c>
    </row>
    <row r="34" spans="1:9" ht="11.25" customHeight="1">
      <c r="A34" s="4125" t="s">
        <v>2288</v>
      </c>
      <c r="B34" s="4125" t="s">
        <v>16</v>
      </c>
      <c r="C34" s="4125" t="s">
        <v>2411</v>
      </c>
      <c r="D34" s="4125" t="s">
        <v>2412</v>
      </c>
      <c r="E34" s="4125" t="s">
        <v>2413</v>
      </c>
      <c r="F34" s="4125" t="s">
        <v>2414</v>
      </c>
      <c r="G34" s="4125" t="s">
        <v>28</v>
      </c>
      <c r="H34" s="4125" t="s">
        <v>28</v>
      </c>
      <c r="I34" s="4125" t="s">
        <v>828</v>
      </c>
    </row>
    <row r="35" spans="1:9" ht="11.25" customHeight="1">
      <c r="A35" s="4125" t="s">
        <v>2288</v>
      </c>
      <c r="B35" s="4125" t="s">
        <v>16</v>
      </c>
      <c r="C35" s="4125" t="s">
        <v>2415</v>
      </c>
      <c r="D35" s="4125" t="s">
        <v>2416</v>
      </c>
      <c r="E35" s="4125" t="s">
        <v>2417</v>
      </c>
      <c r="F35" s="4125" t="s">
        <v>2300</v>
      </c>
      <c r="G35" s="4125" t="s">
        <v>28</v>
      </c>
      <c r="H35" s="4125" t="s">
        <v>2418</v>
      </c>
      <c r="I35" s="4125" t="s">
        <v>828</v>
      </c>
    </row>
    <row r="36" spans="1:9" ht="11.25" customHeight="1">
      <c r="A36" s="4125" t="s">
        <v>2288</v>
      </c>
      <c r="B36" s="4125" t="s">
        <v>16</v>
      </c>
      <c r="C36" s="4125" t="s">
        <v>2419</v>
      </c>
      <c r="D36" s="4125" t="s">
        <v>2420</v>
      </c>
      <c r="E36" s="4125" t="s">
        <v>2421</v>
      </c>
      <c r="F36" s="4125" t="s">
        <v>2300</v>
      </c>
      <c r="G36" s="4125" t="s">
        <v>28</v>
      </c>
      <c r="H36" s="4125" t="s">
        <v>28</v>
      </c>
      <c r="I36" s="4125" t="s">
        <v>828</v>
      </c>
    </row>
    <row r="37" spans="1:9" ht="11.25" customHeight="1">
      <c r="A37" s="4125" t="s">
        <v>2288</v>
      </c>
      <c r="B37" s="4125" t="s">
        <v>16</v>
      </c>
      <c r="C37" s="4125" t="s">
        <v>2422</v>
      </c>
      <c r="D37" s="4125" t="s">
        <v>2423</v>
      </c>
      <c r="E37" s="4125" t="s">
        <v>2424</v>
      </c>
      <c r="F37" s="4125" t="s">
        <v>2340</v>
      </c>
      <c r="G37" s="4125" t="s">
        <v>28</v>
      </c>
      <c r="H37" s="4125" t="s">
        <v>2425</v>
      </c>
      <c r="I37" s="4125" t="s">
        <v>828</v>
      </c>
    </row>
    <row r="38" spans="1:9" ht="11.25" customHeight="1">
      <c r="A38" s="4125" t="s">
        <v>2288</v>
      </c>
      <c r="B38" s="4125" t="s">
        <v>16</v>
      </c>
      <c r="C38" s="4125" t="s">
        <v>2426</v>
      </c>
      <c r="D38" s="4125" t="s">
        <v>2427</v>
      </c>
      <c r="E38" s="4125" t="s">
        <v>2428</v>
      </c>
      <c r="F38" s="4125" t="s">
        <v>2300</v>
      </c>
      <c r="G38" s="4125" t="s">
        <v>2429</v>
      </c>
      <c r="H38" s="4125" t="s">
        <v>2430</v>
      </c>
      <c r="I38" s="4125" t="s">
        <v>828</v>
      </c>
    </row>
    <row r="39" spans="1:9" ht="11.25" customHeight="1">
      <c r="A39" s="4125" t="s">
        <v>2288</v>
      </c>
      <c r="B39" s="4125" t="s">
        <v>16</v>
      </c>
      <c r="C39" s="4125" t="s">
        <v>2431</v>
      </c>
      <c r="D39" s="4125" t="s">
        <v>2432</v>
      </c>
      <c r="E39" s="4125" t="s">
        <v>2433</v>
      </c>
      <c r="F39" s="4125" t="s">
        <v>2300</v>
      </c>
      <c r="G39" s="4125" t="s">
        <v>28</v>
      </c>
      <c r="H39" s="4125" t="s">
        <v>2434</v>
      </c>
      <c r="I39" s="4125" t="s">
        <v>828</v>
      </c>
    </row>
    <row r="40" spans="1:9" ht="11.25" customHeight="1">
      <c r="A40" s="4125" t="s">
        <v>2288</v>
      </c>
      <c r="B40" s="4125" t="s">
        <v>16</v>
      </c>
      <c r="C40" s="4125" t="s">
        <v>2435</v>
      </c>
      <c r="D40" s="4125" t="s">
        <v>2436</v>
      </c>
      <c r="E40" s="4125" t="s">
        <v>2437</v>
      </c>
      <c r="F40" s="4125" t="s">
        <v>55</v>
      </c>
      <c r="G40" s="4125" t="s">
        <v>28</v>
      </c>
      <c r="H40" s="4125" t="s">
        <v>28</v>
      </c>
      <c r="I40" s="4125" t="s">
        <v>828</v>
      </c>
    </row>
    <row r="41" spans="1:9" ht="11.25" customHeight="1">
      <c r="A41" s="4125" t="s">
        <v>2288</v>
      </c>
      <c r="B41" s="4125" t="s">
        <v>16</v>
      </c>
      <c r="C41" s="4125" t="s">
        <v>2438</v>
      </c>
      <c r="D41" s="4125" t="s">
        <v>2439</v>
      </c>
      <c r="E41" s="4125" t="s">
        <v>2440</v>
      </c>
      <c r="F41" s="4125" t="s">
        <v>2300</v>
      </c>
      <c r="G41" s="4125" t="s">
        <v>2441</v>
      </c>
      <c r="H41" s="4125" t="s">
        <v>2442</v>
      </c>
      <c r="I41" s="4125" t="s">
        <v>828</v>
      </c>
    </row>
    <row r="42" spans="1:9" ht="11.25" customHeight="1">
      <c r="A42" s="4125" t="s">
        <v>2288</v>
      </c>
      <c r="B42" s="4125" t="s">
        <v>16</v>
      </c>
      <c r="C42" s="4125" t="s">
        <v>2443</v>
      </c>
      <c r="D42" s="4125" t="s">
        <v>2444</v>
      </c>
      <c r="E42" s="4125" t="s">
        <v>2445</v>
      </c>
      <c r="F42" s="4125" t="s">
        <v>2372</v>
      </c>
      <c r="G42" s="4125" t="s">
        <v>28</v>
      </c>
      <c r="H42" s="4125" t="s">
        <v>28</v>
      </c>
      <c r="I42" s="4125" t="s">
        <v>828</v>
      </c>
    </row>
    <row r="43" spans="1:9" ht="11.25" customHeight="1">
      <c r="A43" s="4125" t="s">
        <v>2288</v>
      </c>
      <c r="B43" s="4125" t="s">
        <v>16</v>
      </c>
      <c r="C43" s="4125" t="s">
        <v>2446</v>
      </c>
      <c r="D43" s="4125" t="s">
        <v>2447</v>
      </c>
      <c r="E43" s="4125" t="s">
        <v>2448</v>
      </c>
      <c r="F43" s="4125" t="s">
        <v>2331</v>
      </c>
      <c r="G43" s="4125" t="s">
        <v>28</v>
      </c>
      <c r="H43" s="4125" t="s">
        <v>2449</v>
      </c>
      <c r="I43" s="4125" t="s">
        <v>828</v>
      </c>
    </row>
    <row r="44" spans="1:9" ht="11.25" customHeight="1">
      <c r="A44" s="4125" t="s">
        <v>2288</v>
      </c>
      <c r="B44" s="4125" t="s">
        <v>16</v>
      </c>
      <c r="C44" s="4125" t="s">
        <v>2450</v>
      </c>
      <c r="D44" s="4125" t="s">
        <v>2451</v>
      </c>
      <c r="E44" s="4125" t="s">
        <v>2452</v>
      </c>
      <c r="F44" s="4125" t="s">
        <v>2372</v>
      </c>
      <c r="G44" s="4125" t="s">
        <v>2453</v>
      </c>
      <c r="H44" s="4125" t="s">
        <v>28</v>
      </c>
      <c r="I44" s="4125" t="s">
        <v>828</v>
      </c>
    </row>
    <row r="45" spans="1:9" ht="11.25" customHeight="1">
      <c r="A45" s="4125" t="s">
        <v>2288</v>
      </c>
      <c r="B45" s="4125" t="s">
        <v>16</v>
      </c>
      <c r="C45" s="4125" t="s">
        <v>2454</v>
      </c>
      <c r="D45" s="4125" t="s">
        <v>2455</v>
      </c>
      <c r="E45" s="4125" t="s">
        <v>2456</v>
      </c>
      <c r="F45" s="4125" t="s">
        <v>2457</v>
      </c>
      <c r="G45" s="4125" t="s">
        <v>28</v>
      </c>
      <c r="H45" s="4125" t="s">
        <v>28</v>
      </c>
      <c r="I45" s="4125" t="s">
        <v>828</v>
      </c>
    </row>
    <row r="46" spans="1:9" ht="11.25" customHeight="1">
      <c r="A46" s="4125" t="s">
        <v>2288</v>
      </c>
      <c r="B46" s="4125" t="s">
        <v>16</v>
      </c>
      <c r="C46" s="4125" t="s">
        <v>2458</v>
      </c>
      <c r="D46" s="4125" t="s">
        <v>2459</v>
      </c>
      <c r="E46" s="4125" t="s">
        <v>2460</v>
      </c>
      <c r="F46" s="4125" t="s">
        <v>2300</v>
      </c>
      <c r="G46" s="4125" t="s">
        <v>28</v>
      </c>
      <c r="H46" s="4125" t="s">
        <v>2461</v>
      </c>
      <c r="I46" s="4125" t="s">
        <v>828</v>
      </c>
    </row>
    <row r="47" spans="1:9" ht="11.25" customHeight="1">
      <c r="A47" s="4125" t="s">
        <v>2288</v>
      </c>
      <c r="B47" s="4125" t="s">
        <v>16</v>
      </c>
      <c r="C47" s="4125" t="s">
        <v>2462</v>
      </c>
      <c r="D47" s="4125" t="s">
        <v>2463</v>
      </c>
      <c r="E47" s="4125" t="s">
        <v>2464</v>
      </c>
      <c r="F47" s="4125" t="s">
        <v>2300</v>
      </c>
      <c r="G47" s="4125" t="s">
        <v>28</v>
      </c>
      <c r="H47" s="4125" t="s">
        <v>2465</v>
      </c>
      <c r="I47" s="4125" t="s">
        <v>828</v>
      </c>
    </row>
    <row r="48" spans="1:9" ht="11.25" customHeight="1">
      <c r="A48" s="4125" t="s">
        <v>2288</v>
      </c>
      <c r="B48" s="4125" t="s">
        <v>16</v>
      </c>
      <c r="C48" s="4125" t="s">
        <v>2466</v>
      </c>
      <c r="D48" s="4125" t="s">
        <v>2467</v>
      </c>
      <c r="E48" s="4125" t="s">
        <v>2468</v>
      </c>
      <c r="F48" s="4125" t="s">
        <v>2384</v>
      </c>
      <c r="G48" s="4125" t="s">
        <v>28</v>
      </c>
      <c r="H48" s="4125" t="s">
        <v>28</v>
      </c>
      <c r="I48" s="4125" t="s">
        <v>828</v>
      </c>
    </row>
    <row r="49" spans="1:9" ht="11.25" customHeight="1">
      <c r="A49" s="4125" t="s">
        <v>2288</v>
      </c>
      <c r="B49" s="4125" t="s">
        <v>16</v>
      </c>
      <c r="C49" s="4125" t="s">
        <v>2469</v>
      </c>
      <c r="D49" s="4125" t="s">
        <v>2470</v>
      </c>
      <c r="E49" s="4125" t="s">
        <v>2471</v>
      </c>
      <c r="F49" s="4125" t="s">
        <v>2300</v>
      </c>
      <c r="G49" s="4125" t="s">
        <v>28</v>
      </c>
      <c r="H49" s="4125" t="s">
        <v>28</v>
      </c>
      <c r="I49" s="4125" t="s">
        <v>828</v>
      </c>
    </row>
    <row r="50" spans="1:9" ht="11.25" customHeight="1">
      <c r="A50" s="4125" t="s">
        <v>2288</v>
      </c>
      <c r="B50" s="4125" t="s">
        <v>16</v>
      </c>
      <c r="C50" s="4125" t="s">
        <v>2472</v>
      </c>
      <c r="D50" s="4125" t="s">
        <v>2473</v>
      </c>
      <c r="E50" s="4125" t="s">
        <v>2474</v>
      </c>
      <c r="F50" s="4125" t="s">
        <v>2372</v>
      </c>
      <c r="G50" s="4125" t="s">
        <v>28</v>
      </c>
      <c r="H50" s="4125" t="s">
        <v>2475</v>
      </c>
      <c r="I50" s="4125" t="s">
        <v>828</v>
      </c>
    </row>
    <row r="51" spans="1:9" ht="11.25" customHeight="1">
      <c r="A51" s="4125" t="s">
        <v>2288</v>
      </c>
      <c r="B51" s="4125" t="s">
        <v>16</v>
      </c>
      <c r="C51" s="4125" t="s">
        <v>2476</v>
      </c>
      <c r="D51" s="4125" t="s">
        <v>2477</v>
      </c>
      <c r="E51" s="4125" t="s">
        <v>2478</v>
      </c>
      <c r="F51" s="4125" t="s">
        <v>2340</v>
      </c>
      <c r="G51" s="4125" t="s">
        <v>28</v>
      </c>
      <c r="H51" s="4125" t="s">
        <v>28</v>
      </c>
      <c r="I51" s="4125" t="s">
        <v>828</v>
      </c>
    </row>
    <row r="52" spans="1:9" ht="11.25" customHeight="1">
      <c r="A52" s="4125" t="s">
        <v>2288</v>
      </c>
      <c r="B52" s="4125" t="s">
        <v>16</v>
      </c>
      <c r="C52" s="4125" t="s">
        <v>2479</v>
      </c>
      <c r="D52" s="4125" t="s">
        <v>2480</v>
      </c>
      <c r="E52" s="4125" t="s">
        <v>2481</v>
      </c>
      <c r="F52" s="4125" t="s">
        <v>2482</v>
      </c>
      <c r="G52" s="4125" t="s">
        <v>28</v>
      </c>
      <c r="H52" s="4125" t="s">
        <v>28</v>
      </c>
      <c r="I52" s="4125" t="s">
        <v>828</v>
      </c>
    </row>
    <row r="53" spans="1:9" ht="11.25" customHeight="1">
      <c r="A53" s="4125" t="s">
        <v>2288</v>
      </c>
      <c r="B53" s="4125" t="s">
        <v>16</v>
      </c>
      <c r="C53" s="4125" t="s">
        <v>2483</v>
      </c>
      <c r="D53" s="4125" t="s">
        <v>2484</v>
      </c>
      <c r="E53" s="4125" t="s">
        <v>2485</v>
      </c>
      <c r="F53" s="4125" t="s">
        <v>2384</v>
      </c>
      <c r="G53" s="4125" t="s">
        <v>28</v>
      </c>
      <c r="H53" s="4125" t="s">
        <v>2486</v>
      </c>
      <c r="I53" s="4125" t="s">
        <v>828</v>
      </c>
    </row>
    <row r="54" spans="1:9" ht="11.25" customHeight="1">
      <c r="A54" s="4125" t="s">
        <v>2288</v>
      </c>
      <c r="B54" s="4125" t="s">
        <v>16</v>
      </c>
      <c r="C54" s="4125" t="s">
        <v>2487</v>
      </c>
      <c r="D54" s="4125" t="s">
        <v>2488</v>
      </c>
      <c r="E54" s="4125" t="s">
        <v>2489</v>
      </c>
      <c r="F54" s="4125" t="s">
        <v>2300</v>
      </c>
      <c r="G54" s="4125" t="s">
        <v>2490</v>
      </c>
      <c r="H54" s="4125" t="s">
        <v>28</v>
      </c>
      <c r="I54" s="4125" t="s">
        <v>828</v>
      </c>
    </row>
    <row r="55" spans="1:9" ht="11.25" customHeight="1">
      <c r="A55" s="4125" t="s">
        <v>2288</v>
      </c>
      <c r="B55" s="4125" t="s">
        <v>16</v>
      </c>
      <c r="C55" s="4125" t="s">
        <v>2491</v>
      </c>
      <c r="D55" s="4125" t="s">
        <v>2492</v>
      </c>
      <c r="E55" s="4125" t="s">
        <v>2493</v>
      </c>
      <c r="F55" s="4125" t="s">
        <v>2372</v>
      </c>
      <c r="G55" s="4125" t="s">
        <v>2494</v>
      </c>
      <c r="H55" s="4125" t="s">
        <v>28</v>
      </c>
      <c r="I55" s="4125" t="s">
        <v>828</v>
      </c>
    </row>
    <row r="56" spans="1:9" ht="11.25" customHeight="1">
      <c r="A56" s="4125" t="s">
        <v>2288</v>
      </c>
      <c r="B56" s="4125" t="s">
        <v>16</v>
      </c>
      <c r="C56" s="4125" t="s">
        <v>2495</v>
      </c>
      <c r="D56" s="4125" t="s">
        <v>2496</v>
      </c>
      <c r="E56" s="4125" t="s">
        <v>2497</v>
      </c>
      <c r="F56" s="4125" t="s">
        <v>2372</v>
      </c>
      <c r="G56" s="4125" t="s">
        <v>28</v>
      </c>
      <c r="H56" s="4125" t="s">
        <v>2498</v>
      </c>
      <c r="I56" s="4125" t="s">
        <v>828</v>
      </c>
    </row>
    <row r="57" spans="1:9" ht="11.25" customHeight="1">
      <c r="A57" s="4125" t="s">
        <v>2288</v>
      </c>
      <c r="B57" s="4125" t="s">
        <v>16</v>
      </c>
      <c r="C57" s="4125" t="s">
        <v>2499</v>
      </c>
      <c r="D57" s="4125" t="s">
        <v>2500</v>
      </c>
      <c r="E57" s="4125" t="s">
        <v>2501</v>
      </c>
      <c r="F57" s="4125" t="s">
        <v>2372</v>
      </c>
      <c r="G57" s="4125" t="s">
        <v>28</v>
      </c>
      <c r="H57" s="4125" t="s">
        <v>2502</v>
      </c>
      <c r="I57" s="4125" t="s">
        <v>828</v>
      </c>
    </row>
    <row r="58" spans="1:9" ht="11.25" customHeight="1">
      <c r="A58" s="4125" t="s">
        <v>2288</v>
      </c>
      <c r="B58" s="4125" t="s">
        <v>16</v>
      </c>
      <c r="C58" s="4125" t="s">
        <v>2503</v>
      </c>
      <c r="D58" s="4125" t="s">
        <v>2504</v>
      </c>
      <c r="E58" s="4125" t="s">
        <v>2505</v>
      </c>
      <c r="F58" s="4125" t="s">
        <v>2331</v>
      </c>
      <c r="G58" s="4125" t="s">
        <v>28</v>
      </c>
      <c r="H58" s="4125" t="s">
        <v>2506</v>
      </c>
      <c r="I58" s="4125" t="s">
        <v>828</v>
      </c>
    </row>
    <row r="59" spans="1:9" ht="11.25" customHeight="1">
      <c r="A59" s="4125" t="s">
        <v>2288</v>
      </c>
      <c r="B59" s="4125" t="s">
        <v>16</v>
      </c>
      <c r="C59" s="4125" t="s">
        <v>2507</v>
      </c>
      <c r="D59" s="4125" t="s">
        <v>2508</v>
      </c>
      <c r="E59" s="4125" t="s">
        <v>2509</v>
      </c>
      <c r="F59" s="4125" t="s">
        <v>2457</v>
      </c>
      <c r="G59" s="4125" t="s">
        <v>28</v>
      </c>
      <c r="H59" s="4125" t="s">
        <v>2510</v>
      </c>
      <c r="I59" s="4125" t="s">
        <v>828</v>
      </c>
    </row>
    <row r="60" spans="1:9" ht="11.25" customHeight="1">
      <c r="A60" s="4125" t="s">
        <v>2288</v>
      </c>
      <c r="B60" s="4125" t="s">
        <v>16</v>
      </c>
      <c r="C60" s="4125" t="s">
        <v>2511</v>
      </c>
      <c r="D60" s="4125" t="s">
        <v>2512</v>
      </c>
      <c r="E60" s="4125" t="s">
        <v>2513</v>
      </c>
      <c r="F60" s="4125" t="s">
        <v>2300</v>
      </c>
      <c r="G60" s="4125" t="s">
        <v>28</v>
      </c>
      <c r="H60" s="4125" t="s">
        <v>28</v>
      </c>
      <c r="I60" s="4125" t="s">
        <v>828</v>
      </c>
    </row>
    <row r="61" spans="1:9" ht="11.25" customHeight="1">
      <c r="A61" s="4125" t="s">
        <v>2288</v>
      </c>
      <c r="B61" s="4125" t="s">
        <v>16</v>
      </c>
      <c r="C61" s="4125" t="s">
        <v>2514</v>
      </c>
      <c r="D61" s="4125" t="s">
        <v>2515</v>
      </c>
      <c r="E61" s="4125" t="s">
        <v>2516</v>
      </c>
      <c r="F61" s="4125" t="s">
        <v>2482</v>
      </c>
      <c r="G61" s="4125" t="s">
        <v>2517</v>
      </c>
      <c r="H61" s="4125" t="s">
        <v>2518</v>
      </c>
      <c r="I61" s="4125" t="s">
        <v>828</v>
      </c>
    </row>
    <row r="62" spans="1:9" ht="11.25" customHeight="1">
      <c r="A62" s="4125" t="s">
        <v>2288</v>
      </c>
      <c r="B62" s="4125" t="s">
        <v>16</v>
      </c>
      <c r="C62" s="4125" t="s">
        <v>2519</v>
      </c>
      <c r="D62" s="4125" t="s">
        <v>2520</v>
      </c>
      <c r="E62" s="4125" t="s">
        <v>2521</v>
      </c>
      <c r="F62" s="4125" t="s">
        <v>2300</v>
      </c>
      <c r="G62" s="4125" t="s">
        <v>28</v>
      </c>
      <c r="H62" s="4125" t="s">
        <v>2522</v>
      </c>
      <c r="I62" s="4125" t="s">
        <v>828</v>
      </c>
    </row>
    <row r="63" spans="1:9" ht="11.25" customHeight="1">
      <c r="A63" s="4125" t="s">
        <v>2288</v>
      </c>
      <c r="B63" s="4125" t="s">
        <v>16</v>
      </c>
      <c r="C63" s="4125" t="s">
        <v>2523</v>
      </c>
      <c r="D63" s="4125" t="s">
        <v>2524</v>
      </c>
      <c r="E63" s="4125" t="s">
        <v>2525</v>
      </c>
      <c r="F63" s="4125" t="s">
        <v>2526</v>
      </c>
      <c r="G63" s="4125" t="s">
        <v>2527</v>
      </c>
      <c r="H63" s="4125" t="s">
        <v>28</v>
      </c>
      <c r="I63" s="4125" t="s">
        <v>828</v>
      </c>
    </row>
    <row r="64" spans="1:9" ht="11.25" customHeight="1">
      <c r="A64" s="4125" t="s">
        <v>2288</v>
      </c>
      <c r="B64" s="4125" t="s">
        <v>16</v>
      </c>
      <c r="C64" s="4125" t="s">
        <v>2528</v>
      </c>
      <c r="D64" s="4125" t="s">
        <v>2529</v>
      </c>
      <c r="E64" s="4125" t="s">
        <v>2530</v>
      </c>
      <c r="F64" s="4125" t="s">
        <v>55</v>
      </c>
      <c r="G64" s="4125" t="s">
        <v>28</v>
      </c>
      <c r="H64" s="4125" t="s">
        <v>2531</v>
      </c>
      <c r="I64" s="4125" t="s">
        <v>828</v>
      </c>
    </row>
    <row r="65" spans="1:9" ht="11.25" customHeight="1">
      <c r="A65" s="4125" t="s">
        <v>2288</v>
      </c>
      <c r="B65" s="4125" t="s">
        <v>16</v>
      </c>
      <c r="C65" s="4125" t="s">
        <v>2532</v>
      </c>
      <c r="D65" s="4125" t="s">
        <v>2533</v>
      </c>
      <c r="E65" s="4125" t="s">
        <v>2534</v>
      </c>
      <c r="F65" s="4125" t="s">
        <v>2535</v>
      </c>
      <c r="G65" s="4125" t="s">
        <v>2536</v>
      </c>
      <c r="H65" s="4125" t="s">
        <v>28</v>
      </c>
      <c r="I65" s="4125" t="s">
        <v>828</v>
      </c>
    </row>
    <row r="66" spans="1:9" ht="11.25" customHeight="1">
      <c r="A66" s="4125" t="s">
        <v>2288</v>
      </c>
      <c r="B66" s="4125" t="s">
        <v>16</v>
      </c>
      <c r="C66" s="4125" t="s">
        <v>2537</v>
      </c>
      <c r="D66" s="4125" t="s">
        <v>2538</v>
      </c>
      <c r="E66" s="4125" t="s">
        <v>2539</v>
      </c>
      <c r="F66" s="4125" t="s">
        <v>2540</v>
      </c>
      <c r="G66" s="4125" t="s">
        <v>28</v>
      </c>
      <c r="H66" s="4125" t="s">
        <v>28</v>
      </c>
      <c r="I66" s="4125" t="s">
        <v>828</v>
      </c>
    </row>
    <row r="67" spans="1:9" ht="11.25" customHeight="1">
      <c r="A67" s="4125" t="s">
        <v>2288</v>
      </c>
      <c r="B67" s="4125" t="s">
        <v>16</v>
      </c>
      <c r="C67" s="4125" t="s">
        <v>2541</v>
      </c>
      <c r="D67" s="4125" t="s">
        <v>2542</v>
      </c>
      <c r="E67" s="4125" t="s">
        <v>2543</v>
      </c>
      <c r="F67" s="4125" t="s">
        <v>2300</v>
      </c>
      <c r="G67" s="4125" t="s">
        <v>28</v>
      </c>
      <c r="H67" s="4125" t="s">
        <v>28</v>
      </c>
      <c r="I67" s="4125" t="s">
        <v>828</v>
      </c>
    </row>
    <row r="68" spans="1:9" ht="11.25" customHeight="1">
      <c r="A68" s="4125" t="s">
        <v>2288</v>
      </c>
      <c r="B68" s="4125" t="s">
        <v>16</v>
      </c>
      <c r="C68" s="4125" t="s">
        <v>2544</v>
      </c>
      <c r="D68" s="4125" t="s">
        <v>2545</v>
      </c>
      <c r="E68" s="4125" t="s">
        <v>2546</v>
      </c>
      <c r="F68" s="4125" t="s">
        <v>2414</v>
      </c>
      <c r="G68" s="4125" t="s">
        <v>28</v>
      </c>
      <c r="H68" s="4125" t="s">
        <v>2547</v>
      </c>
      <c r="I68" s="4125" t="s">
        <v>828</v>
      </c>
    </row>
    <row r="69" spans="1:9" ht="11.25" customHeight="1">
      <c r="A69" s="4125" t="s">
        <v>2288</v>
      </c>
      <c r="B69" s="4125" t="s">
        <v>16</v>
      </c>
      <c r="C69" s="4125" t="s">
        <v>2548</v>
      </c>
      <c r="D69" s="4125" t="s">
        <v>2549</v>
      </c>
      <c r="E69" s="4125" t="s">
        <v>2550</v>
      </c>
      <c r="F69" s="4125" t="s">
        <v>2300</v>
      </c>
      <c r="G69" s="4125" t="s">
        <v>2551</v>
      </c>
      <c r="H69" s="4125" t="s">
        <v>2552</v>
      </c>
      <c r="I69" s="4125" t="s">
        <v>828</v>
      </c>
    </row>
    <row r="70" spans="1:9" ht="11.25" customHeight="1">
      <c r="A70" s="4125" t="s">
        <v>2288</v>
      </c>
      <c r="B70" s="4125" t="s">
        <v>16</v>
      </c>
      <c r="C70" s="4125" t="s">
        <v>2553</v>
      </c>
      <c r="D70" s="4125" t="s">
        <v>2554</v>
      </c>
      <c r="E70" s="4125" t="s">
        <v>2555</v>
      </c>
      <c r="F70" s="4125" t="s">
        <v>2372</v>
      </c>
      <c r="G70" s="4125" t="s">
        <v>28</v>
      </c>
      <c r="H70" s="4125" t="s">
        <v>2556</v>
      </c>
      <c r="I70" s="4125" t="s">
        <v>828</v>
      </c>
    </row>
    <row r="71" spans="1:9" ht="11.25" customHeight="1">
      <c r="A71" s="4125" t="s">
        <v>2288</v>
      </c>
      <c r="B71" s="4125" t="s">
        <v>16</v>
      </c>
      <c r="C71" s="4125" t="s">
        <v>2557</v>
      </c>
      <c r="D71" s="4125" t="s">
        <v>2558</v>
      </c>
      <c r="E71" s="4125" t="s">
        <v>2559</v>
      </c>
      <c r="F71" s="4125" t="s">
        <v>2300</v>
      </c>
      <c r="G71" s="4125" t="s">
        <v>28</v>
      </c>
      <c r="H71" s="4125" t="s">
        <v>28</v>
      </c>
      <c r="I71" s="4125" t="s">
        <v>828</v>
      </c>
    </row>
    <row r="72" spans="1:9" ht="11.25" customHeight="1">
      <c r="A72" s="4125" t="s">
        <v>2288</v>
      </c>
      <c r="B72" s="4125" t="s">
        <v>16</v>
      </c>
      <c r="C72" s="4125" t="s">
        <v>2560</v>
      </c>
      <c r="D72" s="4125" t="s">
        <v>2561</v>
      </c>
      <c r="E72" s="4125" t="s">
        <v>2562</v>
      </c>
      <c r="F72" s="4125" t="s">
        <v>2372</v>
      </c>
      <c r="G72" s="4125" t="s">
        <v>28</v>
      </c>
      <c r="H72" s="4125" t="s">
        <v>2498</v>
      </c>
      <c r="I72" s="4125" t="s">
        <v>828</v>
      </c>
    </row>
    <row r="73" spans="1:9" ht="11.25" customHeight="1">
      <c r="A73" s="4125" t="s">
        <v>2288</v>
      </c>
      <c r="B73" s="4125" t="s">
        <v>16</v>
      </c>
      <c r="C73" s="4125" t="s">
        <v>2563</v>
      </c>
      <c r="D73" s="4125" t="s">
        <v>2564</v>
      </c>
      <c r="E73" s="4125" t="s">
        <v>2565</v>
      </c>
      <c r="F73" s="4125" t="s">
        <v>55</v>
      </c>
      <c r="G73" s="4125" t="s">
        <v>28</v>
      </c>
      <c r="H73" s="4125" t="s">
        <v>2566</v>
      </c>
      <c r="I73" s="4125" t="s">
        <v>828</v>
      </c>
    </row>
    <row r="74" spans="1:9" ht="11.25" customHeight="1">
      <c r="A74" s="4125" t="s">
        <v>2288</v>
      </c>
      <c r="B74" s="4125" t="s">
        <v>16</v>
      </c>
      <c r="C74" s="4125" t="s">
        <v>2567</v>
      </c>
      <c r="D74" s="4125" t="s">
        <v>2568</v>
      </c>
      <c r="E74" s="4125" t="s">
        <v>2569</v>
      </c>
      <c r="F74" s="4125" t="s">
        <v>2570</v>
      </c>
      <c r="G74" s="4125" t="s">
        <v>2571</v>
      </c>
      <c r="H74" s="4125" t="s">
        <v>28</v>
      </c>
      <c r="I74" s="4125" t="s">
        <v>828</v>
      </c>
    </row>
    <row r="75" spans="1:9" ht="11.25" customHeight="1">
      <c r="A75" s="4125" t="s">
        <v>2288</v>
      </c>
      <c r="B75" s="4125" t="s">
        <v>16</v>
      </c>
      <c r="C75" s="4125" t="s">
        <v>2572</v>
      </c>
      <c r="D75" s="4125" t="s">
        <v>2573</v>
      </c>
      <c r="E75" s="4125" t="s">
        <v>2574</v>
      </c>
      <c r="F75" s="4125" t="s">
        <v>2372</v>
      </c>
      <c r="G75" s="4125" t="s">
        <v>2575</v>
      </c>
      <c r="H75" s="4125" t="s">
        <v>2576</v>
      </c>
      <c r="I75" s="4125" t="s">
        <v>828</v>
      </c>
    </row>
    <row r="76" spans="1:9" ht="11.25" customHeight="1">
      <c r="A76" s="4125" t="s">
        <v>2288</v>
      </c>
      <c r="B76" s="4125" t="s">
        <v>16</v>
      </c>
      <c r="C76" s="4125" t="s">
        <v>2577</v>
      </c>
      <c r="D76" s="4125" t="s">
        <v>2578</v>
      </c>
      <c r="E76" s="4125" t="s">
        <v>2579</v>
      </c>
      <c r="F76" s="4125" t="s">
        <v>55</v>
      </c>
      <c r="G76" s="4125" t="s">
        <v>28</v>
      </c>
      <c r="H76" s="4125" t="s">
        <v>2580</v>
      </c>
      <c r="I76" s="4125" t="s">
        <v>828</v>
      </c>
    </row>
    <row r="77" spans="1:9" ht="11.25" customHeight="1">
      <c r="A77" s="4125" t="s">
        <v>2288</v>
      </c>
      <c r="B77" s="4125" t="s">
        <v>16</v>
      </c>
      <c r="C77" s="4125" t="s">
        <v>2581</v>
      </c>
      <c r="D77" s="4125" t="s">
        <v>2582</v>
      </c>
      <c r="E77" s="4125" t="s">
        <v>2583</v>
      </c>
      <c r="F77" s="4125" t="s">
        <v>2372</v>
      </c>
      <c r="G77" s="4125" t="s">
        <v>28</v>
      </c>
      <c r="H77" s="4125" t="s">
        <v>28</v>
      </c>
      <c r="I77" s="4125" t="s">
        <v>828</v>
      </c>
    </row>
    <row r="78" spans="1:9" ht="11.25" customHeight="1">
      <c r="A78" s="4125" t="s">
        <v>2288</v>
      </c>
      <c r="B78" s="4125" t="s">
        <v>16</v>
      </c>
      <c r="C78" s="4125" t="s">
        <v>2584</v>
      </c>
      <c r="D78" s="4125" t="s">
        <v>2585</v>
      </c>
      <c r="E78" s="4125" t="s">
        <v>2586</v>
      </c>
      <c r="F78" s="4125" t="s">
        <v>2403</v>
      </c>
      <c r="G78" s="4125" t="s">
        <v>28</v>
      </c>
      <c r="H78" s="4125" t="s">
        <v>28</v>
      </c>
      <c r="I78" s="4125" t="s">
        <v>828</v>
      </c>
    </row>
    <row r="79" spans="1:9" ht="11.25" customHeight="1">
      <c r="A79" s="4125" t="s">
        <v>2288</v>
      </c>
      <c r="B79" s="4125" t="s">
        <v>16</v>
      </c>
      <c r="C79" s="4125" t="s">
        <v>2587</v>
      </c>
      <c r="D79" s="4125" t="s">
        <v>2588</v>
      </c>
      <c r="E79" s="4125" t="s">
        <v>2589</v>
      </c>
      <c r="F79" s="4125" t="s">
        <v>2482</v>
      </c>
      <c r="G79" s="4125" t="s">
        <v>28</v>
      </c>
      <c r="H79" s="4125" t="s">
        <v>2590</v>
      </c>
      <c r="I79" s="4125" t="s">
        <v>828</v>
      </c>
    </row>
    <row r="80" spans="1:9" ht="11.25" customHeight="1">
      <c r="A80" s="4125" t="s">
        <v>2288</v>
      </c>
      <c r="B80" s="4125" t="s">
        <v>16</v>
      </c>
      <c r="C80" s="4125" t="s">
        <v>2591</v>
      </c>
      <c r="D80" s="4125" t="s">
        <v>2592</v>
      </c>
      <c r="E80" s="4125" t="s">
        <v>2593</v>
      </c>
      <c r="F80" s="4125" t="s">
        <v>2372</v>
      </c>
      <c r="G80" s="4125" t="s">
        <v>2594</v>
      </c>
      <c r="H80" s="4125" t="s">
        <v>28</v>
      </c>
      <c r="I80" s="4125" t="s">
        <v>828</v>
      </c>
    </row>
    <row r="81" spans="1:9" ht="11.25" customHeight="1">
      <c r="A81" s="4125" t="s">
        <v>2288</v>
      </c>
      <c r="B81" s="4125" t="s">
        <v>16</v>
      </c>
      <c r="C81" s="4125" t="s">
        <v>2595</v>
      </c>
      <c r="D81" s="4125" t="s">
        <v>2596</v>
      </c>
      <c r="E81" s="4125" t="s">
        <v>2597</v>
      </c>
      <c r="F81" s="4125" t="s">
        <v>2372</v>
      </c>
      <c r="G81" s="4125" t="s">
        <v>2598</v>
      </c>
      <c r="H81" s="4125" t="s">
        <v>2599</v>
      </c>
      <c r="I81" s="4125" t="s">
        <v>828</v>
      </c>
    </row>
    <row r="82" spans="1:9" ht="11.25" customHeight="1">
      <c r="A82" s="4125" t="s">
        <v>2288</v>
      </c>
      <c r="B82" s="4125" t="s">
        <v>16</v>
      </c>
      <c r="C82" s="4125" t="s">
        <v>2600</v>
      </c>
      <c r="D82" s="4125" t="s">
        <v>2601</v>
      </c>
      <c r="E82" s="4125" t="s">
        <v>2602</v>
      </c>
      <c r="F82" s="4125" t="s">
        <v>2414</v>
      </c>
      <c r="G82" s="4125" t="s">
        <v>2603</v>
      </c>
      <c r="H82" s="4125" t="s">
        <v>28</v>
      </c>
      <c r="I82" s="4125" t="s">
        <v>828</v>
      </c>
    </row>
    <row r="83" spans="1:9" ht="11.25" customHeight="1">
      <c r="A83" s="4125" t="s">
        <v>2288</v>
      </c>
      <c r="B83" s="4125" t="s">
        <v>16</v>
      </c>
      <c r="C83" s="4125" t="s">
        <v>2604</v>
      </c>
      <c r="D83" s="4125" t="s">
        <v>2605</v>
      </c>
      <c r="E83" s="4125" t="s">
        <v>2606</v>
      </c>
      <c r="F83" s="4125" t="s">
        <v>2570</v>
      </c>
      <c r="G83" s="4125" t="s">
        <v>28</v>
      </c>
      <c r="H83" s="4125" t="s">
        <v>28</v>
      </c>
      <c r="I83" s="4125" t="s">
        <v>828</v>
      </c>
    </row>
    <row r="84" spans="1:9" ht="11.25" customHeight="1">
      <c r="A84" s="4125" t="s">
        <v>2288</v>
      </c>
      <c r="B84" s="4125" t="s">
        <v>16</v>
      </c>
      <c r="C84" s="4125" t="s">
        <v>2607</v>
      </c>
      <c r="D84" s="4125" t="s">
        <v>2608</v>
      </c>
      <c r="E84" s="4125" t="s">
        <v>2609</v>
      </c>
      <c r="F84" s="4125" t="s">
        <v>2610</v>
      </c>
      <c r="G84" s="4125" t="s">
        <v>2611</v>
      </c>
      <c r="H84" s="4125" t="s">
        <v>28</v>
      </c>
      <c r="I84" s="4125" t="s">
        <v>828</v>
      </c>
    </row>
    <row r="85" spans="1:9" ht="11.25" customHeight="1">
      <c r="A85" s="4125" t="s">
        <v>2288</v>
      </c>
      <c r="B85" s="4125" t="s">
        <v>16</v>
      </c>
      <c r="C85" s="4125" t="s">
        <v>2612</v>
      </c>
      <c r="D85" s="4125" t="s">
        <v>2613</v>
      </c>
      <c r="E85" s="4125" t="s">
        <v>2614</v>
      </c>
      <c r="F85" s="4125" t="s">
        <v>2403</v>
      </c>
      <c r="G85" s="4125" t="s">
        <v>28</v>
      </c>
      <c r="H85" s="4125" t="s">
        <v>2615</v>
      </c>
      <c r="I85" s="4125" t="s">
        <v>828</v>
      </c>
    </row>
    <row r="86" spans="1:9" ht="11.25" customHeight="1">
      <c r="A86" s="4125" t="s">
        <v>2288</v>
      </c>
      <c r="B86" s="4125" t="s">
        <v>16</v>
      </c>
      <c r="C86" s="4125" t="s">
        <v>2616</v>
      </c>
      <c r="D86" s="4125" t="s">
        <v>2617</v>
      </c>
      <c r="E86" s="4125" t="s">
        <v>2618</v>
      </c>
      <c r="F86" s="4125" t="s">
        <v>2619</v>
      </c>
      <c r="G86" s="4125" t="s">
        <v>28</v>
      </c>
      <c r="H86" s="4125" t="s">
        <v>28</v>
      </c>
      <c r="I86" s="4125" t="s">
        <v>828</v>
      </c>
    </row>
    <row r="87" spans="1:9" ht="11.25" customHeight="1">
      <c r="A87" s="4125" t="s">
        <v>2288</v>
      </c>
      <c r="B87" s="4125" t="s">
        <v>16</v>
      </c>
      <c r="C87" s="4125" t="s">
        <v>2620</v>
      </c>
      <c r="D87" s="4125" t="s">
        <v>2621</v>
      </c>
      <c r="E87" s="4125" t="s">
        <v>2622</v>
      </c>
      <c r="F87" s="4125" t="s">
        <v>2372</v>
      </c>
      <c r="G87" s="4125" t="s">
        <v>2623</v>
      </c>
      <c r="H87" s="4125" t="s">
        <v>2624</v>
      </c>
      <c r="I87" s="4125" t="s">
        <v>828</v>
      </c>
    </row>
    <row r="88" spans="1:9" ht="11.25" customHeight="1">
      <c r="A88" s="4125" t="s">
        <v>2288</v>
      </c>
      <c r="B88" s="4125" t="s">
        <v>16</v>
      </c>
      <c r="C88" s="4125" t="s">
        <v>2625</v>
      </c>
      <c r="D88" s="4125" t="s">
        <v>2626</v>
      </c>
      <c r="E88" s="4125" t="s">
        <v>2627</v>
      </c>
      <c r="F88" s="4125" t="s">
        <v>2300</v>
      </c>
      <c r="G88" s="4125" t="s">
        <v>28</v>
      </c>
      <c r="H88" s="4125" t="s">
        <v>2628</v>
      </c>
      <c r="I88" s="4125" t="s">
        <v>828</v>
      </c>
    </row>
    <row r="89" spans="1:9" ht="11.25" customHeight="1">
      <c r="A89" s="4125" t="s">
        <v>2288</v>
      </c>
      <c r="B89" s="4125" t="s">
        <v>16</v>
      </c>
      <c r="C89" s="4125" t="s">
        <v>2629</v>
      </c>
      <c r="D89" s="4125" t="s">
        <v>2630</v>
      </c>
      <c r="E89" s="4125" t="s">
        <v>2631</v>
      </c>
      <c r="F89" s="4125" t="s">
        <v>2316</v>
      </c>
      <c r="G89" s="4125" t="s">
        <v>28</v>
      </c>
      <c r="H89" s="4125" t="s">
        <v>2632</v>
      </c>
      <c r="I89" s="4125" t="s">
        <v>828</v>
      </c>
    </row>
    <row r="90" spans="1:9" ht="11.25" customHeight="1">
      <c r="A90" s="4125" t="s">
        <v>2288</v>
      </c>
      <c r="B90" s="4125" t="s">
        <v>16</v>
      </c>
      <c r="C90" s="4125" t="s">
        <v>2633</v>
      </c>
      <c r="D90" s="4125" t="s">
        <v>2634</v>
      </c>
      <c r="E90" s="4125" t="s">
        <v>2635</v>
      </c>
      <c r="F90" s="4125" t="s">
        <v>2331</v>
      </c>
      <c r="G90" s="4125" t="s">
        <v>28</v>
      </c>
      <c r="H90" s="4125" t="s">
        <v>28</v>
      </c>
      <c r="I90" s="4125" t="s">
        <v>828</v>
      </c>
    </row>
    <row r="91" spans="1:9" ht="11.25" customHeight="1">
      <c r="A91" s="4125" t="s">
        <v>2288</v>
      </c>
      <c r="B91" s="4125" t="s">
        <v>16</v>
      </c>
      <c r="C91" s="4125" t="s">
        <v>2636</v>
      </c>
      <c r="D91" s="4125" t="s">
        <v>2637</v>
      </c>
      <c r="E91" s="4125" t="s">
        <v>2638</v>
      </c>
      <c r="F91" s="4125" t="s">
        <v>55</v>
      </c>
      <c r="G91" s="4125" t="s">
        <v>28</v>
      </c>
      <c r="H91" s="4125" t="s">
        <v>28</v>
      </c>
      <c r="I91" s="4125" t="s">
        <v>828</v>
      </c>
    </row>
    <row r="92" spans="1:9" ht="11.25" customHeight="1">
      <c r="A92" s="4125" t="s">
        <v>2288</v>
      </c>
      <c r="B92" s="4125" t="s">
        <v>16</v>
      </c>
      <c r="C92" s="4125" t="s">
        <v>2639</v>
      </c>
      <c r="D92" s="4125" t="s">
        <v>2640</v>
      </c>
      <c r="E92" s="4125" t="s">
        <v>2641</v>
      </c>
      <c r="F92" s="4125" t="s">
        <v>2300</v>
      </c>
      <c r="G92" s="4125" t="s">
        <v>2642</v>
      </c>
      <c r="H92" s="4125" t="s">
        <v>2643</v>
      </c>
      <c r="I92" s="4125" t="s">
        <v>828</v>
      </c>
    </row>
    <row r="93" spans="1:9" ht="11.25" customHeight="1">
      <c r="A93" s="4125" t="s">
        <v>2288</v>
      </c>
      <c r="B93" s="4125" t="s">
        <v>16</v>
      </c>
      <c r="C93" s="4125" t="s">
        <v>2644</v>
      </c>
      <c r="D93" s="4125" t="s">
        <v>2645</v>
      </c>
      <c r="E93" s="4125" t="s">
        <v>2646</v>
      </c>
      <c r="F93" s="4125" t="s">
        <v>2647</v>
      </c>
      <c r="G93" s="4125" t="s">
        <v>2648</v>
      </c>
      <c r="H93" s="4125" t="s">
        <v>28</v>
      </c>
      <c r="I93" s="4125" t="s">
        <v>828</v>
      </c>
    </row>
    <row r="94" spans="1:9" ht="11.25" customHeight="1">
      <c r="A94" s="4125" t="s">
        <v>2288</v>
      </c>
      <c r="B94" s="4125" t="s">
        <v>16</v>
      </c>
      <c r="C94" s="4125" t="s">
        <v>2649</v>
      </c>
      <c r="D94" s="4125" t="s">
        <v>2650</v>
      </c>
      <c r="E94" s="4125" t="s">
        <v>2534</v>
      </c>
      <c r="F94" s="4125" t="s">
        <v>2651</v>
      </c>
      <c r="G94" s="4125" t="s">
        <v>28</v>
      </c>
      <c r="H94" s="4125" t="s">
        <v>28</v>
      </c>
      <c r="I94" s="4125" t="s">
        <v>828</v>
      </c>
    </row>
    <row r="95" spans="1:9" ht="11.25" customHeight="1">
      <c r="A95" s="4125" t="s">
        <v>2288</v>
      </c>
      <c r="B95" s="4125" t="s">
        <v>16</v>
      </c>
      <c r="C95" s="4125" t="s">
        <v>2652</v>
      </c>
      <c r="D95" s="4125" t="s">
        <v>2653</v>
      </c>
      <c r="E95" s="4125" t="s">
        <v>2654</v>
      </c>
      <c r="F95" s="4125" t="s">
        <v>55</v>
      </c>
      <c r="G95" s="4125" t="s">
        <v>28</v>
      </c>
      <c r="H95" s="4125" t="s">
        <v>28</v>
      </c>
      <c r="I95" s="4125" t="s">
        <v>828</v>
      </c>
    </row>
    <row r="96" spans="1:9" ht="11.25" customHeight="1">
      <c r="A96" s="4125" t="s">
        <v>2288</v>
      </c>
      <c r="B96" s="4125" t="s">
        <v>16</v>
      </c>
      <c r="C96" s="4125" t="s">
        <v>2655</v>
      </c>
      <c r="D96" s="4125" t="s">
        <v>2656</v>
      </c>
      <c r="E96" s="4125" t="s">
        <v>2646</v>
      </c>
      <c r="F96" s="4125" t="s">
        <v>2657</v>
      </c>
      <c r="G96" s="4125" t="s">
        <v>2658</v>
      </c>
      <c r="H96" s="4125" t="s">
        <v>28</v>
      </c>
      <c r="I96" s="4125" t="s">
        <v>828</v>
      </c>
    </row>
    <row r="97" spans="1:9" ht="11.25" customHeight="1">
      <c r="A97" s="4125" t="s">
        <v>2288</v>
      </c>
      <c r="B97" s="4125" t="s">
        <v>16</v>
      </c>
      <c r="C97" s="4125" t="s">
        <v>2659</v>
      </c>
      <c r="D97" s="4125" t="s">
        <v>2660</v>
      </c>
      <c r="E97" s="4125" t="s">
        <v>2661</v>
      </c>
      <c r="F97" s="4125" t="s">
        <v>2300</v>
      </c>
      <c r="G97" s="4125" t="s">
        <v>2662</v>
      </c>
      <c r="H97" s="4125" t="s">
        <v>2663</v>
      </c>
      <c r="I97" s="4125" t="s">
        <v>828</v>
      </c>
    </row>
    <row r="98" spans="1:9" ht="11.25" customHeight="1">
      <c r="A98" s="4125" t="s">
        <v>2288</v>
      </c>
      <c r="B98" s="4125" t="s">
        <v>16</v>
      </c>
      <c r="C98" s="4125" t="s">
        <v>2664</v>
      </c>
      <c r="D98" s="4125" t="s">
        <v>2665</v>
      </c>
      <c r="E98" s="4125" t="s">
        <v>2666</v>
      </c>
      <c r="F98" s="4125" t="s">
        <v>2667</v>
      </c>
      <c r="G98" s="4125" t="s">
        <v>28</v>
      </c>
      <c r="H98" s="4125" t="s">
        <v>28</v>
      </c>
      <c r="I98" s="4125" t="s">
        <v>828</v>
      </c>
    </row>
    <row r="99" spans="1:9" ht="11.25" customHeight="1">
      <c r="A99" s="4125" t="s">
        <v>2288</v>
      </c>
      <c r="B99" s="4125" t="s">
        <v>16</v>
      </c>
      <c r="C99" s="4125" t="s">
        <v>2668</v>
      </c>
      <c r="D99" s="4125" t="s">
        <v>2669</v>
      </c>
      <c r="E99" s="4125" t="s">
        <v>2670</v>
      </c>
      <c r="F99" s="4125" t="s">
        <v>2671</v>
      </c>
      <c r="G99" s="4125" t="s">
        <v>28</v>
      </c>
      <c r="H99" s="4125" t="s">
        <v>2672</v>
      </c>
      <c r="I99" s="4125" t="s">
        <v>828</v>
      </c>
    </row>
    <row r="100" spans="1:9" ht="11.25" customHeight="1">
      <c r="A100" s="4125" t="s">
        <v>2288</v>
      </c>
      <c r="B100" s="4125" t="s">
        <v>16</v>
      </c>
      <c r="C100" s="4125" t="s">
        <v>2673</v>
      </c>
      <c r="D100" s="4125" t="s">
        <v>2674</v>
      </c>
      <c r="E100" s="4125" t="s">
        <v>2675</v>
      </c>
      <c r="F100" s="4125" t="s">
        <v>2676</v>
      </c>
      <c r="G100" s="4125" t="s">
        <v>2677</v>
      </c>
      <c r="H100" s="4125" t="s">
        <v>28</v>
      </c>
      <c r="I100" s="4125" t="s">
        <v>828</v>
      </c>
    </row>
    <row r="101" spans="1:9" ht="11.25" customHeight="1">
      <c r="A101" s="4125" t="s">
        <v>2288</v>
      </c>
      <c r="B101" s="4125" t="s">
        <v>16</v>
      </c>
      <c r="C101" s="4125" t="s">
        <v>2678</v>
      </c>
      <c r="D101" s="4125" t="s">
        <v>2679</v>
      </c>
      <c r="E101" s="4125" t="s">
        <v>2680</v>
      </c>
      <c r="F101" s="4125" t="s">
        <v>2300</v>
      </c>
      <c r="G101" s="4125" t="s">
        <v>28</v>
      </c>
      <c r="H101" s="4125" t="s">
        <v>28</v>
      </c>
      <c r="I101" s="4125" t="s">
        <v>828</v>
      </c>
    </row>
    <row r="102" spans="1:9" ht="11.25" customHeight="1">
      <c r="A102" s="4125" t="s">
        <v>2288</v>
      </c>
      <c r="B102" s="4125" t="s">
        <v>16</v>
      </c>
      <c r="C102" s="4125" t="s">
        <v>2681</v>
      </c>
      <c r="D102" s="4125" t="s">
        <v>2682</v>
      </c>
      <c r="E102" s="4125" t="s">
        <v>2683</v>
      </c>
      <c r="F102" s="4125" t="s">
        <v>2540</v>
      </c>
      <c r="G102" s="4125" t="s">
        <v>28</v>
      </c>
      <c r="H102" s="4125" t="s">
        <v>28</v>
      </c>
      <c r="I102" s="4125" t="s">
        <v>828</v>
      </c>
    </row>
    <row r="103" spans="1:9" ht="11.25" customHeight="1">
      <c r="A103" s="4125" t="s">
        <v>2288</v>
      </c>
      <c r="B103" s="4125" t="s">
        <v>16</v>
      </c>
      <c r="C103" s="4125" t="s">
        <v>2684</v>
      </c>
      <c r="D103" s="4125" t="s">
        <v>2685</v>
      </c>
      <c r="E103" s="4125" t="s">
        <v>2335</v>
      </c>
      <c r="F103" s="4125" t="s">
        <v>2686</v>
      </c>
      <c r="G103" s="4125" t="s">
        <v>2687</v>
      </c>
      <c r="H103" s="4125" t="s">
        <v>2688</v>
      </c>
      <c r="I103" s="4125" t="s">
        <v>828</v>
      </c>
    </row>
    <row r="104" spans="1:9" ht="11.25" customHeight="1">
      <c r="A104" s="4125" t="s">
        <v>2288</v>
      </c>
      <c r="B104" s="4125" t="s">
        <v>16</v>
      </c>
      <c r="C104" s="4125" t="s">
        <v>2289</v>
      </c>
      <c r="D104" s="4125" t="s">
        <v>2290</v>
      </c>
      <c r="E104" s="4125" t="s">
        <v>2291</v>
      </c>
      <c r="F104" s="4125" t="s">
        <v>2292</v>
      </c>
      <c r="G104" s="4125" t="s">
        <v>2293</v>
      </c>
      <c r="H104" s="4125" t="s">
        <v>28</v>
      </c>
      <c r="I104" s="4125" t="s">
        <v>914</v>
      </c>
    </row>
    <row r="105" spans="1:9" ht="11.25" customHeight="1">
      <c r="A105" s="4125" t="s">
        <v>2288</v>
      </c>
      <c r="B105" s="4125" t="s">
        <v>16</v>
      </c>
      <c r="C105" s="4125" t="s">
        <v>2294</v>
      </c>
      <c r="D105" s="4125" t="s">
        <v>2290</v>
      </c>
      <c r="E105" s="4125" t="s">
        <v>2291</v>
      </c>
      <c r="F105" s="4125" t="s">
        <v>2295</v>
      </c>
      <c r="G105" s="4125" t="s">
        <v>2296</v>
      </c>
      <c r="H105" s="4125" t="s">
        <v>28</v>
      </c>
      <c r="I105" s="4125" t="s">
        <v>914</v>
      </c>
    </row>
    <row r="106" spans="1:9" ht="11.25" customHeight="1">
      <c r="A106" s="4125" t="s">
        <v>2288</v>
      </c>
      <c r="B106" s="4125" t="s">
        <v>16</v>
      </c>
      <c r="C106" s="4125" t="s">
        <v>2305</v>
      </c>
      <c r="D106" s="4125" t="s">
        <v>2306</v>
      </c>
      <c r="E106" s="4125" t="s">
        <v>2307</v>
      </c>
      <c r="F106" s="4125" t="s">
        <v>2308</v>
      </c>
      <c r="G106" s="4125" t="s">
        <v>28</v>
      </c>
      <c r="H106" s="4125" t="s">
        <v>28</v>
      </c>
      <c r="I106" s="4125" t="s">
        <v>914</v>
      </c>
    </row>
    <row r="107" spans="1:9" ht="11.25" customHeight="1">
      <c r="A107" s="4125" t="s">
        <v>2288</v>
      </c>
      <c r="B107" s="4125" t="s">
        <v>16</v>
      </c>
      <c r="C107" s="4125" t="s">
        <v>2309</v>
      </c>
      <c r="D107" s="4125" t="s">
        <v>2310</v>
      </c>
      <c r="E107" s="4125" t="s">
        <v>2311</v>
      </c>
      <c r="F107" s="4125" t="s">
        <v>2308</v>
      </c>
      <c r="G107" s="4125" t="s">
        <v>2312</v>
      </c>
      <c r="H107" s="4125" t="s">
        <v>28</v>
      </c>
      <c r="I107" s="4125" t="s">
        <v>914</v>
      </c>
    </row>
    <row r="108" spans="1:9" ht="11.25" customHeight="1">
      <c r="A108" s="4125" t="s">
        <v>2288</v>
      </c>
      <c r="B108" s="4125" t="s">
        <v>16</v>
      </c>
      <c r="C108" s="4125" t="s">
        <v>2313</v>
      </c>
      <c r="D108" s="4125" t="s">
        <v>2314</v>
      </c>
      <c r="E108" s="4125" t="s">
        <v>2315</v>
      </c>
      <c r="F108" s="4125" t="s">
        <v>2316</v>
      </c>
      <c r="G108" s="4125" t="s">
        <v>28</v>
      </c>
      <c r="H108" s="4125" t="s">
        <v>28</v>
      </c>
      <c r="I108" s="4125" t="s">
        <v>914</v>
      </c>
    </row>
    <row r="109" spans="1:9" ht="11.25" customHeight="1">
      <c r="A109" s="4125" t="s">
        <v>2288</v>
      </c>
      <c r="B109" s="4125" t="s">
        <v>16</v>
      </c>
      <c r="C109" s="4125" t="s">
        <v>2317</v>
      </c>
      <c r="D109" s="4125" t="s">
        <v>2318</v>
      </c>
      <c r="E109" s="4125" t="s">
        <v>2319</v>
      </c>
      <c r="F109" s="4125" t="s">
        <v>55</v>
      </c>
      <c r="G109" s="4125" t="s">
        <v>28</v>
      </c>
      <c r="H109" s="4125" t="s">
        <v>28</v>
      </c>
      <c r="I109" s="4125" t="s">
        <v>914</v>
      </c>
    </row>
    <row r="110" spans="1:9" ht="11.25" customHeight="1">
      <c r="A110" s="4125" t="s">
        <v>2288</v>
      </c>
      <c r="B110" s="4125" t="s">
        <v>16</v>
      </c>
      <c r="C110" s="4125" t="s">
        <v>13</v>
      </c>
      <c r="D110" s="4125" t="s">
        <v>50</v>
      </c>
      <c r="E110" s="4125" t="s">
        <v>53</v>
      </c>
      <c r="F110" s="4125" t="s">
        <v>55</v>
      </c>
      <c r="G110" s="4125" t="s">
        <v>28</v>
      </c>
      <c r="H110" s="4125" t="s">
        <v>28</v>
      </c>
      <c r="I110" s="4125" t="s">
        <v>914</v>
      </c>
    </row>
    <row r="111" spans="1:9" ht="11.25" customHeight="1">
      <c r="A111" s="4125" t="s">
        <v>2288</v>
      </c>
      <c r="B111" s="4125" t="s">
        <v>16</v>
      </c>
      <c r="C111" s="4125" t="s">
        <v>2328</v>
      </c>
      <c r="D111" s="4125" t="s">
        <v>2329</v>
      </c>
      <c r="E111" s="4125" t="s">
        <v>2330</v>
      </c>
      <c r="F111" s="4125" t="s">
        <v>2331</v>
      </c>
      <c r="G111" s="4125" t="s">
        <v>2332</v>
      </c>
      <c r="H111" s="4125" t="s">
        <v>28</v>
      </c>
      <c r="I111" s="4125" t="s">
        <v>914</v>
      </c>
    </row>
    <row r="112" spans="1:9" ht="11.25" customHeight="1">
      <c r="A112" s="4125" t="s">
        <v>2288</v>
      </c>
      <c r="B112" s="4125" t="s">
        <v>16</v>
      </c>
      <c r="C112" s="4125" t="s">
        <v>2333</v>
      </c>
      <c r="D112" s="4125" t="s">
        <v>2334</v>
      </c>
      <c r="E112" s="4125" t="s">
        <v>2335</v>
      </c>
      <c r="F112" s="4125" t="s">
        <v>2336</v>
      </c>
      <c r="G112" s="4125" t="s">
        <v>28</v>
      </c>
      <c r="H112" s="4125" t="s">
        <v>28</v>
      </c>
      <c r="I112" s="4125" t="s">
        <v>914</v>
      </c>
    </row>
    <row r="113" spans="1:9" ht="11.25" customHeight="1">
      <c r="A113" s="4125" t="s">
        <v>2288</v>
      </c>
      <c r="B113" s="4125" t="s">
        <v>16</v>
      </c>
      <c r="C113" s="4125" t="s">
        <v>2346</v>
      </c>
      <c r="D113" s="4125" t="s">
        <v>2347</v>
      </c>
      <c r="E113" s="4125" t="s">
        <v>2348</v>
      </c>
      <c r="F113" s="4125" t="s">
        <v>55</v>
      </c>
      <c r="G113" s="4125" t="s">
        <v>2349</v>
      </c>
      <c r="H113" s="4125" t="s">
        <v>28</v>
      </c>
      <c r="I113" s="4125" t="s">
        <v>914</v>
      </c>
    </row>
    <row r="114" spans="1:9" ht="11.25" customHeight="1">
      <c r="A114" s="4125" t="s">
        <v>2288</v>
      </c>
      <c r="B114" s="4125" t="s">
        <v>16</v>
      </c>
      <c r="C114" s="4125" t="s">
        <v>2357</v>
      </c>
      <c r="D114" s="4125" t="s">
        <v>2358</v>
      </c>
      <c r="E114" s="4125" t="s">
        <v>2359</v>
      </c>
      <c r="F114" s="4125" t="s">
        <v>55</v>
      </c>
      <c r="G114" s="4125" t="s">
        <v>2360</v>
      </c>
      <c r="H114" s="4125" t="s">
        <v>28</v>
      </c>
      <c r="I114" s="4125" t="s">
        <v>914</v>
      </c>
    </row>
    <row r="115" spans="1:9" ht="11.25" customHeight="1">
      <c r="A115" s="4125" t="s">
        <v>2288</v>
      </c>
      <c r="B115" s="4125" t="s">
        <v>16</v>
      </c>
      <c r="C115" s="4125" t="s">
        <v>2365</v>
      </c>
      <c r="D115" s="4125" t="s">
        <v>2366</v>
      </c>
      <c r="E115" s="4125" t="s">
        <v>2367</v>
      </c>
      <c r="F115" s="4125" t="s">
        <v>2368</v>
      </c>
      <c r="G115" s="4125" t="s">
        <v>28</v>
      </c>
      <c r="H115" s="4125" t="s">
        <v>28</v>
      </c>
      <c r="I115" s="4125" t="s">
        <v>914</v>
      </c>
    </row>
    <row r="116" spans="1:9" ht="11.25" customHeight="1">
      <c r="A116" s="4125" t="s">
        <v>2288</v>
      </c>
      <c r="B116" s="4125" t="s">
        <v>16</v>
      </c>
      <c r="C116" s="4125" t="s">
        <v>28</v>
      </c>
      <c r="D116" s="4125" t="s">
        <v>2375</v>
      </c>
      <c r="E116" s="4125" t="s">
        <v>2376</v>
      </c>
      <c r="F116" s="4125" t="s">
        <v>55</v>
      </c>
      <c r="G116" s="4125" t="s">
        <v>28</v>
      </c>
      <c r="H116" s="4125" t="s">
        <v>28</v>
      </c>
      <c r="I116" s="4125" t="s">
        <v>914</v>
      </c>
    </row>
    <row r="117" spans="1:9" ht="11.25" customHeight="1">
      <c r="A117" s="4125" t="s">
        <v>2288</v>
      </c>
      <c r="B117" s="4125" t="s">
        <v>16</v>
      </c>
      <c r="C117" s="4125" t="s">
        <v>2377</v>
      </c>
      <c r="D117" s="4125" t="s">
        <v>2378</v>
      </c>
      <c r="E117" s="4125" t="s">
        <v>2379</v>
      </c>
      <c r="F117" s="4125" t="s">
        <v>2300</v>
      </c>
      <c r="G117" s="4125" t="s">
        <v>28</v>
      </c>
      <c r="H117" s="4125" t="s">
        <v>2380</v>
      </c>
      <c r="I117" s="4125" t="s">
        <v>914</v>
      </c>
    </row>
    <row r="118" spans="1:9" ht="11.25" customHeight="1">
      <c r="A118" s="4125" t="s">
        <v>2288</v>
      </c>
      <c r="B118" s="4125" t="s">
        <v>16</v>
      </c>
      <c r="C118" s="4125" t="s">
        <v>2381</v>
      </c>
      <c r="D118" s="4125" t="s">
        <v>2382</v>
      </c>
      <c r="E118" s="4125" t="s">
        <v>2383</v>
      </c>
      <c r="F118" s="4125" t="s">
        <v>2384</v>
      </c>
      <c r="G118" s="4125" t="s">
        <v>28</v>
      </c>
      <c r="H118" s="4125" t="s">
        <v>28</v>
      </c>
      <c r="I118" s="4125" t="s">
        <v>914</v>
      </c>
    </row>
    <row r="119" spans="1:9" ht="11.25" customHeight="1">
      <c r="A119" s="4125" t="s">
        <v>2288</v>
      </c>
      <c r="B119" s="4125" t="s">
        <v>16</v>
      </c>
      <c r="C119" s="4125" t="s">
        <v>2689</v>
      </c>
      <c r="D119" s="4125" t="s">
        <v>2690</v>
      </c>
      <c r="E119" s="4125" t="s">
        <v>2691</v>
      </c>
      <c r="F119" s="4125" t="s">
        <v>2300</v>
      </c>
      <c r="G119" s="4125" t="s">
        <v>2692</v>
      </c>
      <c r="H119" s="4125" t="s">
        <v>2693</v>
      </c>
      <c r="I119" s="4125" t="s">
        <v>914</v>
      </c>
    </row>
    <row r="120" spans="1:9" ht="11.25" customHeight="1">
      <c r="A120" s="4125" t="s">
        <v>2288</v>
      </c>
      <c r="B120" s="4125" t="s">
        <v>16</v>
      </c>
      <c r="C120" s="4125" t="s">
        <v>2400</v>
      </c>
      <c r="D120" s="4125" t="s">
        <v>2401</v>
      </c>
      <c r="E120" s="4125" t="s">
        <v>2402</v>
      </c>
      <c r="F120" s="4125" t="s">
        <v>2403</v>
      </c>
      <c r="G120" s="4125" t="s">
        <v>28</v>
      </c>
      <c r="H120" s="4125" t="s">
        <v>28</v>
      </c>
      <c r="I120" s="4125" t="s">
        <v>914</v>
      </c>
    </row>
    <row r="121" spans="1:9" ht="11.25" customHeight="1">
      <c r="A121" s="4125" t="s">
        <v>2288</v>
      </c>
      <c r="B121" s="4125" t="s">
        <v>16</v>
      </c>
      <c r="C121" s="4125" t="s">
        <v>2407</v>
      </c>
      <c r="D121" s="4125" t="s">
        <v>2408</v>
      </c>
      <c r="E121" s="4125" t="s">
        <v>2409</v>
      </c>
      <c r="F121" s="4125" t="s">
        <v>2410</v>
      </c>
      <c r="G121" s="4125" t="s">
        <v>28</v>
      </c>
      <c r="H121" s="4125" t="s">
        <v>28</v>
      </c>
      <c r="I121" s="4125" t="s">
        <v>914</v>
      </c>
    </row>
    <row r="122" spans="1:9" ht="11.25" customHeight="1">
      <c r="A122" s="4125" t="s">
        <v>2288</v>
      </c>
      <c r="B122" s="4125" t="s">
        <v>16</v>
      </c>
      <c r="C122" s="4125" t="s">
        <v>2411</v>
      </c>
      <c r="D122" s="4125" t="s">
        <v>2412</v>
      </c>
      <c r="E122" s="4125" t="s">
        <v>2413</v>
      </c>
      <c r="F122" s="4125" t="s">
        <v>2414</v>
      </c>
      <c r="G122" s="4125" t="s">
        <v>28</v>
      </c>
      <c r="H122" s="4125" t="s">
        <v>28</v>
      </c>
      <c r="I122" s="4125" t="s">
        <v>914</v>
      </c>
    </row>
    <row r="123" spans="1:9" ht="11.25" customHeight="1">
      <c r="A123" s="4125" t="s">
        <v>2288</v>
      </c>
      <c r="B123" s="4125" t="s">
        <v>16</v>
      </c>
      <c r="C123" s="4125" t="s">
        <v>2419</v>
      </c>
      <c r="D123" s="4125" t="s">
        <v>2420</v>
      </c>
      <c r="E123" s="4125" t="s">
        <v>2421</v>
      </c>
      <c r="F123" s="4125" t="s">
        <v>2300</v>
      </c>
      <c r="G123" s="4125" t="s">
        <v>28</v>
      </c>
      <c r="H123" s="4125" t="s">
        <v>28</v>
      </c>
      <c r="I123" s="4125" t="s">
        <v>914</v>
      </c>
    </row>
    <row r="124" spans="1:9" ht="11.25" customHeight="1">
      <c r="A124" s="4125" t="s">
        <v>2288</v>
      </c>
      <c r="B124" s="4125" t="s">
        <v>16</v>
      </c>
      <c r="C124" s="4125" t="s">
        <v>2422</v>
      </c>
      <c r="D124" s="4125" t="s">
        <v>2423</v>
      </c>
      <c r="E124" s="4125" t="s">
        <v>2424</v>
      </c>
      <c r="F124" s="4125" t="s">
        <v>2340</v>
      </c>
      <c r="G124" s="4125" t="s">
        <v>28</v>
      </c>
      <c r="H124" s="4125" t="s">
        <v>2425</v>
      </c>
      <c r="I124" s="4125" t="s">
        <v>914</v>
      </c>
    </row>
    <row r="125" spans="1:9" ht="11.25" customHeight="1">
      <c r="A125" s="4125" t="s">
        <v>2288</v>
      </c>
      <c r="B125" s="4125" t="s">
        <v>16</v>
      </c>
      <c r="C125" s="4125" t="s">
        <v>2431</v>
      </c>
      <c r="D125" s="4125" t="s">
        <v>2432</v>
      </c>
      <c r="E125" s="4125" t="s">
        <v>2433</v>
      </c>
      <c r="F125" s="4125" t="s">
        <v>2300</v>
      </c>
      <c r="G125" s="4125" t="s">
        <v>28</v>
      </c>
      <c r="H125" s="4125" t="s">
        <v>2434</v>
      </c>
      <c r="I125" s="4125" t="s">
        <v>914</v>
      </c>
    </row>
    <row r="126" spans="1:9" ht="11.25" customHeight="1">
      <c r="A126" s="4125" t="s">
        <v>2288</v>
      </c>
      <c r="B126" s="4125" t="s">
        <v>16</v>
      </c>
      <c r="C126" s="4125" t="s">
        <v>2435</v>
      </c>
      <c r="D126" s="4125" t="s">
        <v>2436</v>
      </c>
      <c r="E126" s="4125" t="s">
        <v>2437</v>
      </c>
      <c r="F126" s="4125" t="s">
        <v>55</v>
      </c>
      <c r="G126" s="4125" t="s">
        <v>28</v>
      </c>
      <c r="H126" s="4125" t="s">
        <v>28</v>
      </c>
      <c r="I126" s="4125" t="s">
        <v>914</v>
      </c>
    </row>
    <row r="127" spans="1:9" ht="11.25" customHeight="1">
      <c r="A127" s="4125" t="s">
        <v>2288</v>
      </c>
      <c r="B127" s="4125" t="s">
        <v>16</v>
      </c>
      <c r="C127" s="4125" t="s">
        <v>2446</v>
      </c>
      <c r="D127" s="4125" t="s">
        <v>2447</v>
      </c>
      <c r="E127" s="4125" t="s">
        <v>2448</v>
      </c>
      <c r="F127" s="4125" t="s">
        <v>2331</v>
      </c>
      <c r="G127" s="4125" t="s">
        <v>28</v>
      </c>
      <c r="H127" s="4125" t="s">
        <v>2449</v>
      </c>
      <c r="I127" s="4125" t="s">
        <v>914</v>
      </c>
    </row>
    <row r="128" spans="1:9" ht="11.25" customHeight="1">
      <c r="A128" s="4125" t="s">
        <v>2288</v>
      </c>
      <c r="B128" s="4125" t="s">
        <v>16</v>
      </c>
      <c r="C128" s="4125" t="s">
        <v>2462</v>
      </c>
      <c r="D128" s="4125" t="s">
        <v>2463</v>
      </c>
      <c r="E128" s="4125" t="s">
        <v>2464</v>
      </c>
      <c r="F128" s="4125" t="s">
        <v>2300</v>
      </c>
      <c r="G128" s="4125" t="s">
        <v>28</v>
      </c>
      <c r="H128" s="4125" t="s">
        <v>2465</v>
      </c>
      <c r="I128" s="4125" t="s">
        <v>914</v>
      </c>
    </row>
    <row r="129" spans="1:9" ht="11.25" customHeight="1">
      <c r="A129" s="4125" t="s">
        <v>2288</v>
      </c>
      <c r="B129" s="4125" t="s">
        <v>16</v>
      </c>
      <c r="C129" s="4125" t="s">
        <v>2466</v>
      </c>
      <c r="D129" s="4125" t="s">
        <v>2467</v>
      </c>
      <c r="E129" s="4125" t="s">
        <v>2468</v>
      </c>
      <c r="F129" s="4125" t="s">
        <v>2384</v>
      </c>
      <c r="G129" s="4125" t="s">
        <v>28</v>
      </c>
      <c r="H129" s="4125" t="s">
        <v>28</v>
      </c>
      <c r="I129" s="4125" t="s">
        <v>914</v>
      </c>
    </row>
    <row r="130" spans="1:9" ht="11.25" customHeight="1">
      <c r="A130" s="4125" t="s">
        <v>2288</v>
      </c>
      <c r="B130" s="4125" t="s">
        <v>16</v>
      </c>
      <c r="C130" s="4125" t="s">
        <v>2469</v>
      </c>
      <c r="D130" s="4125" t="s">
        <v>2470</v>
      </c>
      <c r="E130" s="4125" t="s">
        <v>2471</v>
      </c>
      <c r="F130" s="4125" t="s">
        <v>2300</v>
      </c>
      <c r="G130" s="4125" t="s">
        <v>28</v>
      </c>
      <c r="H130" s="4125" t="s">
        <v>28</v>
      </c>
      <c r="I130" s="4125" t="s">
        <v>914</v>
      </c>
    </row>
    <row r="131" spans="1:9" ht="11.25" customHeight="1">
      <c r="A131" s="4125" t="s">
        <v>2288</v>
      </c>
      <c r="B131" s="4125" t="s">
        <v>16</v>
      </c>
      <c r="C131" s="4125" t="s">
        <v>2476</v>
      </c>
      <c r="D131" s="4125" t="s">
        <v>2477</v>
      </c>
      <c r="E131" s="4125" t="s">
        <v>2478</v>
      </c>
      <c r="F131" s="4125" t="s">
        <v>2340</v>
      </c>
      <c r="G131" s="4125" t="s">
        <v>28</v>
      </c>
      <c r="H131" s="4125" t="s">
        <v>28</v>
      </c>
      <c r="I131" s="4125" t="s">
        <v>914</v>
      </c>
    </row>
    <row r="132" spans="1:9" ht="11.25" customHeight="1">
      <c r="A132" s="4125" t="s">
        <v>2288</v>
      </c>
      <c r="B132" s="4125" t="s">
        <v>16</v>
      </c>
      <c r="C132" s="4125" t="s">
        <v>2479</v>
      </c>
      <c r="D132" s="4125" t="s">
        <v>2480</v>
      </c>
      <c r="E132" s="4125" t="s">
        <v>2481</v>
      </c>
      <c r="F132" s="4125" t="s">
        <v>2482</v>
      </c>
      <c r="G132" s="4125" t="s">
        <v>28</v>
      </c>
      <c r="H132" s="4125" t="s">
        <v>28</v>
      </c>
      <c r="I132" s="4125" t="s">
        <v>914</v>
      </c>
    </row>
    <row r="133" spans="1:9" ht="11.25" customHeight="1">
      <c r="A133" s="4125" t="s">
        <v>2288</v>
      </c>
      <c r="B133" s="4125" t="s">
        <v>16</v>
      </c>
      <c r="C133" s="4125" t="s">
        <v>2507</v>
      </c>
      <c r="D133" s="4125" t="s">
        <v>2508</v>
      </c>
      <c r="E133" s="4125" t="s">
        <v>2509</v>
      </c>
      <c r="F133" s="4125" t="s">
        <v>2457</v>
      </c>
      <c r="G133" s="4125" t="s">
        <v>28</v>
      </c>
      <c r="H133" s="4125" t="s">
        <v>2510</v>
      </c>
      <c r="I133" s="4125" t="s">
        <v>914</v>
      </c>
    </row>
    <row r="134" spans="1:9" ht="11.25" customHeight="1">
      <c r="A134" s="4125" t="s">
        <v>2288</v>
      </c>
      <c r="B134" s="4125" t="s">
        <v>16</v>
      </c>
      <c r="C134" s="4125" t="s">
        <v>2511</v>
      </c>
      <c r="D134" s="4125" t="s">
        <v>2512</v>
      </c>
      <c r="E134" s="4125" t="s">
        <v>2513</v>
      </c>
      <c r="F134" s="4125" t="s">
        <v>2300</v>
      </c>
      <c r="G134" s="4125" t="s">
        <v>28</v>
      </c>
      <c r="H134" s="4125" t="s">
        <v>28</v>
      </c>
      <c r="I134" s="4125" t="s">
        <v>914</v>
      </c>
    </row>
    <row r="135" spans="1:9" ht="11.25" customHeight="1">
      <c r="A135" s="4125" t="s">
        <v>2288</v>
      </c>
      <c r="B135" s="4125" t="s">
        <v>16</v>
      </c>
      <c r="C135" s="4125" t="s">
        <v>2514</v>
      </c>
      <c r="D135" s="4125" t="s">
        <v>2515</v>
      </c>
      <c r="E135" s="4125" t="s">
        <v>2516</v>
      </c>
      <c r="F135" s="4125" t="s">
        <v>2482</v>
      </c>
      <c r="G135" s="4125" t="s">
        <v>2517</v>
      </c>
      <c r="H135" s="4125" t="s">
        <v>2518</v>
      </c>
      <c r="I135" s="4125" t="s">
        <v>914</v>
      </c>
    </row>
    <row r="136" spans="1:9" ht="11.25" customHeight="1">
      <c r="A136" s="4125" t="s">
        <v>2288</v>
      </c>
      <c r="B136" s="4125" t="s">
        <v>16</v>
      </c>
      <c r="C136" s="4125" t="s">
        <v>2519</v>
      </c>
      <c r="D136" s="4125" t="s">
        <v>2520</v>
      </c>
      <c r="E136" s="4125" t="s">
        <v>2521</v>
      </c>
      <c r="F136" s="4125" t="s">
        <v>2300</v>
      </c>
      <c r="G136" s="4125" t="s">
        <v>28</v>
      </c>
      <c r="H136" s="4125" t="s">
        <v>2522</v>
      </c>
      <c r="I136" s="4125" t="s">
        <v>914</v>
      </c>
    </row>
    <row r="137" spans="1:9" ht="11.25" customHeight="1">
      <c r="A137" s="4125" t="s">
        <v>2288</v>
      </c>
      <c r="B137" s="4125" t="s">
        <v>16</v>
      </c>
      <c r="C137" s="4125" t="s">
        <v>2523</v>
      </c>
      <c r="D137" s="4125" t="s">
        <v>2524</v>
      </c>
      <c r="E137" s="4125" t="s">
        <v>2525</v>
      </c>
      <c r="F137" s="4125" t="s">
        <v>2526</v>
      </c>
      <c r="G137" s="4125" t="s">
        <v>2527</v>
      </c>
      <c r="H137" s="4125" t="s">
        <v>28</v>
      </c>
      <c r="I137" s="4125" t="s">
        <v>914</v>
      </c>
    </row>
    <row r="138" spans="1:9" ht="11.25" customHeight="1">
      <c r="A138" s="4125" t="s">
        <v>2288</v>
      </c>
      <c r="B138" s="4125" t="s">
        <v>16</v>
      </c>
      <c r="C138" s="4125" t="s">
        <v>2537</v>
      </c>
      <c r="D138" s="4125" t="s">
        <v>2538</v>
      </c>
      <c r="E138" s="4125" t="s">
        <v>2539</v>
      </c>
      <c r="F138" s="4125" t="s">
        <v>2540</v>
      </c>
      <c r="G138" s="4125" t="s">
        <v>28</v>
      </c>
      <c r="H138" s="4125" t="s">
        <v>28</v>
      </c>
      <c r="I138" s="4125" t="s">
        <v>914</v>
      </c>
    </row>
    <row r="139" spans="1:9" ht="11.25" customHeight="1">
      <c r="A139" s="4125" t="s">
        <v>2288</v>
      </c>
      <c r="B139" s="4125" t="s">
        <v>16</v>
      </c>
      <c r="C139" s="4125" t="s">
        <v>2541</v>
      </c>
      <c r="D139" s="4125" t="s">
        <v>2542</v>
      </c>
      <c r="E139" s="4125" t="s">
        <v>2543</v>
      </c>
      <c r="F139" s="4125" t="s">
        <v>2300</v>
      </c>
      <c r="G139" s="4125" t="s">
        <v>28</v>
      </c>
      <c r="H139" s="4125" t="s">
        <v>28</v>
      </c>
      <c r="I139" s="4125" t="s">
        <v>914</v>
      </c>
    </row>
    <row r="140" spans="1:9" ht="11.25" customHeight="1">
      <c r="A140" s="4125" t="s">
        <v>2288</v>
      </c>
      <c r="B140" s="4125" t="s">
        <v>16</v>
      </c>
      <c r="C140" s="4125" t="s">
        <v>2544</v>
      </c>
      <c r="D140" s="4125" t="s">
        <v>2545</v>
      </c>
      <c r="E140" s="4125" t="s">
        <v>2546</v>
      </c>
      <c r="F140" s="4125" t="s">
        <v>2414</v>
      </c>
      <c r="G140" s="4125" t="s">
        <v>28</v>
      </c>
      <c r="H140" s="4125" t="s">
        <v>2547</v>
      </c>
      <c r="I140" s="4125" t="s">
        <v>914</v>
      </c>
    </row>
    <row r="141" spans="1:9" ht="11.25" customHeight="1">
      <c r="A141" s="4125" t="s">
        <v>2288</v>
      </c>
      <c r="B141" s="4125" t="s">
        <v>16</v>
      </c>
      <c r="C141" s="4125" t="s">
        <v>2548</v>
      </c>
      <c r="D141" s="4125" t="s">
        <v>2549</v>
      </c>
      <c r="E141" s="4125" t="s">
        <v>2550</v>
      </c>
      <c r="F141" s="4125" t="s">
        <v>2300</v>
      </c>
      <c r="G141" s="4125" t="s">
        <v>2551</v>
      </c>
      <c r="H141" s="4125" t="s">
        <v>2552</v>
      </c>
      <c r="I141" s="4125" t="s">
        <v>914</v>
      </c>
    </row>
    <row r="142" spans="1:9" ht="11.25" customHeight="1">
      <c r="A142" s="4125" t="s">
        <v>2288</v>
      </c>
      <c r="B142" s="4125" t="s">
        <v>16</v>
      </c>
      <c r="C142" s="4125" t="s">
        <v>2553</v>
      </c>
      <c r="D142" s="4125" t="s">
        <v>2554</v>
      </c>
      <c r="E142" s="4125" t="s">
        <v>2555</v>
      </c>
      <c r="F142" s="4125" t="s">
        <v>2372</v>
      </c>
      <c r="G142" s="4125" t="s">
        <v>28</v>
      </c>
      <c r="H142" s="4125" t="s">
        <v>2556</v>
      </c>
      <c r="I142" s="4125" t="s">
        <v>914</v>
      </c>
    </row>
    <row r="143" spans="1:9" ht="11.25" customHeight="1">
      <c r="A143" s="4125" t="s">
        <v>2288</v>
      </c>
      <c r="B143" s="4125" t="s">
        <v>16</v>
      </c>
      <c r="C143" s="4125" t="s">
        <v>2557</v>
      </c>
      <c r="D143" s="4125" t="s">
        <v>2558</v>
      </c>
      <c r="E143" s="4125" t="s">
        <v>2559</v>
      </c>
      <c r="F143" s="4125" t="s">
        <v>2300</v>
      </c>
      <c r="G143" s="4125" t="s">
        <v>28</v>
      </c>
      <c r="H143" s="4125" t="s">
        <v>28</v>
      </c>
      <c r="I143" s="4125" t="s">
        <v>914</v>
      </c>
    </row>
    <row r="144" spans="1:9" ht="11.25" customHeight="1">
      <c r="A144" s="4125" t="s">
        <v>2288</v>
      </c>
      <c r="B144" s="4125" t="s">
        <v>16</v>
      </c>
      <c r="C144" s="4125" t="s">
        <v>2560</v>
      </c>
      <c r="D144" s="4125" t="s">
        <v>2561</v>
      </c>
      <c r="E144" s="4125" t="s">
        <v>2562</v>
      </c>
      <c r="F144" s="4125" t="s">
        <v>2372</v>
      </c>
      <c r="G144" s="4125" t="s">
        <v>28</v>
      </c>
      <c r="H144" s="4125" t="s">
        <v>2498</v>
      </c>
      <c r="I144" s="4125" t="s">
        <v>914</v>
      </c>
    </row>
    <row r="145" spans="1:9" ht="11.25" customHeight="1">
      <c r="A145" s="4125" t="s">
        <v>2288</v>
      </c>
      <c r="B145" s="4125" t="s">
        <v>16</v>
      </c>
      <c r="C145" s="4125" t="s">
        <v>2563</v>
      </c>
      <c r="D145" s="4125" t="s">
        <v>2564</v>
      </c>
      <c r="E145" s="4125" t="s">
        <v>2565</v>
      </c>
      <c r="F145" s="4125" t="s">
        <v>55</v>
      </c>
      <c r="G145" s="4125" t="s">
        <v>28</v>
      </c>
      <c r="H145" s="4125" t="s">
        <v>2566</v>
      </c>
      <c r="I145" s="4125" t="s">
        <v>914</v>
      </c>
    </row>
    <row r="146" spans="1:9" ht="11.25" customHeight="1">
      <c r="A146" s="4125" t="s">
        <v>2288</v>
      </c>
      <c r="B146" s="4125" t="s">
        <v>16</v>
      </c>
      <c r="C146" s="4125" t="s">
        <v>2567</v>
      </c>
      <c r="D146" s="4125" t="s">
        <v>2568</v>
      </c>
      <c r="E146" s="4125" t="s">
        <v>2569</v>
      </c>
      <c r="F146" s="4125" t="s">
        <v>2570</v>
      </c>
      <c r="G146" s="4125" t="s">
        <v>2571</v>
      </c>
      <c r="H146" s="4125" t="s">
        <v>28</v>
      </c>
      <c r="I146" s="4125" t="s">
        <v>914</v>
      </c>
    </row>
    <row r="147" spans="1:9" ht="11.25" customHeight="1">
      <c r="A147" s="4125" t="s">
        <v>2288</v>
      </c>
      <c r="B147" s="4125" t="s">
        <v>16</v>
      </c>
      <c r="C147" s="4125" t="s">
        <v>2577</v>
      </c>
      <c r="D147" s="4125" t="s">
        <v>2578</v>
      </c>
      <c r="E147" s="4125" t="s">
        <v>2579</v>
      </c>
      <c r="F147" s="4125" t="s">
        <v>55</v>
      </c>
      <c r="G147" s="4125" t="s">
        <v>28</v>
      </c>
      <c r="H147" s="4125" t="s">
        <v>2580</v>
      </c>
      <c r="I147" s="4125" t="s">
        <v>914</v>
      </c>
    </row>
    <row r="148" spans="1:9" ht="11.25" customHeight="1">
      <c r="A148" s="4125" t="s">
        <v>2288</v>
      </c>
      <c r="B148" s="4125" t="s">
        <v>16</v>
      </c>
      <c r="C148" s="4125" t="s">
        <v>2581</v>
      </c>
      <c r="D148" s="4125" t="s">
        <v>2582</v>
      </c>
      <c r="E148" s="4125" t="s">
        <v>2583</v>
      </c>
      <c r="F148" s="4125" t="s">
        <v>2372</v>
      </c>
      <c r="G148" s="4125" t="s">
        <v>28</v>
      </c>
      <c r="H148" s="4125" t="s">
        <v>28</v>
      </c>
      <c r="I148" s="4125" t="s">
        <v>914</v>
      </c>
    </row>
    <row r="149" spans="1:9" ht="11.25" customHeight="1">
      <c r="A149" s="4125" t="s">
        <v>2288</v>
      </c>
      <c r="B149" s="4125" t="s">
        <v>16</v>
      </c>
      <c r="C149" s="4125" t="s">
        <v>2587</v>
      </c>
      <c r="D149" s="4125" t="s">
        <v>2588</v>
      </c>
      <c r="E149" s="4125" t="s">
        <v>2589</v>
      </c>
      <c r="F149" s="4125" t="s">
        <v>2482</v>
      </c>
      <c r="G149" s="4125" t="s">
        <v>28</v>
      </c>
      <c r="H149" s="4125" t="s">
        <v>2590</v>
      </c>
      <c r="I149" s="4125" t="s">
        <v>914</v>
      </c>
    </row>
    <row r="150" spans="1:9" ht="11.25" customHeight="1">
      <c r="A150" s="4125" t="s">
        <v>2288</v>
      </c>
      <c r="B150" s="4125" t="s">
        <v>16</v>
      </c>
      <c r="C150" s="4125" t="s">
        <v>2595</v>
      </c>
      <c r="D150" s="4125" t="s">
        <v>2596</v>
      </c>
      <c r="E150" s="4125" t="s">
        <v>2597</v>
      </c>
      <c r="F150" s="4125" t="s">
        <v>2372</v>
      </c>
      <c r="G150" s="4125" t="s">
        <v>2598</v>
      </c>
      <c r="H150" s="4125" t="s">
        <v>2599</v>
      </c>
      <c r="I150" s="4125" t="s">
        <v>914</v>
      </c>
    </row>
    <row r="151" spans="1:9" ht="11.25" customHeight="1">
      <c r="A151" s="4125" t="s">
        <v>2288</v>
      </c>
      <c r="B151" s="4125" t="s">
        <v>16</v>
      </c>
      <c r="C151" s="4125" t="s">
        <v>2600</v>
      </c>
      <c r="D151" s="4125" t="s">
        <v>2601</v>
      </c>
      <c r="E151" s="4125" t="s">
        <v>2602</v>
      </c>
      <c r="F151" s="4125" t="s">
        <v>2414</v>
      </c>
      <c r="G151" s="4125" t="s">
        <v>2603</v>
      </c>
      <c r="H151" s="4125" t="s">
        <v>28</v>
      </c>
      <c r="I151" s="4125" t="s">
        <v>914</v>
      </c>
    </row>
    <row r="152" spans="1:9" ht="11.25" customHeight="1">
      <c r="A152" s="4125" t="s">
        <v>2288</v>
      </c>
      <c r="B152" s="4125" t="s">
        <v>16</v>
      </c>
      <c r="C152" s="4125" t="s">
        <v>2604</v>
      </c>
      <c r="D152" s="4125" t="s">
        <v>2605</v>
      </c>
      <c r="E152" s="4125" t="s">
        <v>2606</v>
      </c>
      <c r="F152" s="4125" t="s">
        <v>2570</v>
      </c>
      <c r="G152" s="4125" t="s">
        <v>28</v>
      </c>
      <c r="H152" s="4125" t="s">
        <v>28</v>
      </c>
      <c r="I152" s="4125" t="s">
        <v>914</v>
      </c>
    </row>
    <row r="153" spans="1:9" ht="11.25" customHeight="1">
      <c r="A153" s="4125" t="s">
        <v>2288</v>
      </c>
      <c r="B153" s="4125" t="s">
        <v>16</v>
      </c>
      <c r="C153" s="4125" t="s">
        <v>2612</v>
      </c>
      <c r="D153" s="4125" t="s">
        <v>2613</v>
      </c>
      <c r="E153" s="4125" t="s">
        <v>2614</v>
      </c>
      <c r="F153" s="4125" t="s">
        <v>2403</v>
      </c>
      <c r="G153" s="4125" t="s">
        <v>28</v>
      </c>
      <c r="H153" s="4125" t="s">
        <v>2615</v>
      </c>
      <c r="I153" s="4125" t="s">
        <v>914</v>
      </c>
    </row>
    <row r="154" spans="1:9" ht="11.25" customHeight="1">
      <c r="A154" s="4125" t="s">
        <v>2288</v>
      </c>
      <c r="B154" s="4125" t="s">
        <v>16</v>
      </c>
      <c r="C154" s="4125" t="s">
        <v>2616</v>
      </c>
      <c r="D154" s="4125" t="s">
        <v>2617</v>
      </c>
      <c r="E154" s="4125" t="s">
        <v>2618</v>
      </c>
      <c r="F154" s="4125" t="s">
        <v>2619</v>
      </c>
      <c r="G154" s="4125" t="s">
        <v>28</v>
      </c>
      <c r="H154" s="4125" t="s">
        <v>28</v>
      </c>
      <c r="I154" s="4125" t="s">
        <v>914</v>
      </c>
    </row>
    <row r="155" spans="1:9" ht="11.25" customHeight="1">
      <c r="A155" s="4125" t="s">
        <v>2288</v>
      </c>
      <c r="B155" s="4125" t="s">
        <v>16</v>
      </c>
      <c r="C155" s="4125" t="s">
        <v>2620</v>
      </c>
      <c r="D155" s="4125" t="s">
        <v>2621</v>
      </c>
      <c r="E155" s="4125" t="s">
        <v>2622</v>
      </c>
      <c r="F155" s="4125" t="s">
        <v>2372</v>
      </c>
      <c r="G155" s="4125" t="s">
        <v>2623</v>
      </c>
      <c r="H155" s="4125" t="s">
        <v>2624</v>
      </c>
      <c r="I155" s="4125" t="s">
        <v>914</v>
      </c>
    </row>
    <row r="156" spans="1:9" ht="11.25" customHeight="1">
      <c r="A156" s="4125" t="s">
        <v>2288</v>
      </c>
      <c r="B156" s="4125" t="s">
        <v>16</v>
      </c>
      <c r="C156" s="4125" t="s">
        <v>2625</v>
      </c>
      <c r="D156" s="4125" t="s">
        <v>2626</v>
      </c>
      <c r="E156" s="4125" t="s">
        <v>2627</v>
      </c>
      <c r="F156" s="4125" t="s">
        <v>2300</v>
      </c>
      <c r="G156" s="4125" t="s">
        <v>28</v>
      </c>
      <c r="H156" s="4125" t="s">
        <v>2628</v>
      </c>
      <c r="I156" s="4125" t="s">
        <v>914</v>
      </c>
    </row>
    <row r="157" spans="1:9" ht="11.25" customHeight="1">
      <c r="A157" s="4125" t="s">
        <v>2288</v>
      </c>
      <c r="B157" s="4125" t="s">
        <v>16</v>
      </c>
      <c r="C157" s="4125" t="s">
        <v>2633</v>
      </c>
      <c r="D157" s="4125" t="s">
        <v>2634</v>
      </c>
      <c r="E157" s="4125" t="s">
        <v>2635</v>
      </c>
      <c r="F157" s="4125" t="s">
        <v>2331</v>
      </c>
      <c r="G157" s="4125" t="s">
        <v>28</v>
      </c>
      <c r="H157" s="4125" t="s">
        <v>28</v>
      </c>
      <c r="I157" s="4125" t="s">
        <v>914</v>
      </c>
    </row>
    <row r="158" spans="1:9" ht="11.25" customHeight="1">
      <c r="A158" s="4125" t="s">
        <v>2288</v>
      </c>
      <c r="B158" s="4125" t="s">
        <v>16</v>
      </c>
      <c r="C158" s="4125" t="s">
        <v>2636</v>
      </c>
      <c r="D158" s="4125" t="s">
        <v>2637</v>
      </c>
      <c r="E158" s="4125" t="s">
        <v>2638</v>
      </c>
      <c r="F158" s="4125" t="s">
        <v>55</v>
      </c>
      <c r="G158" s="4125" t="s">
        <v>28</v>
      </c>
      <c r="H158" s="4125" t="s">
        <v>28</v>
      </c>
      <c r="I158" s="4125" t="s">
        <v>914</v>
      </c>
    </row>
    <row r="159" spans="1:9" ht="11.25" customHeight="1">
      <c r="A159" s="4125" t="s">
        <v>2288</v>
      </c>
      <c r="B159" s="4125" t="s">
        <v>16</v>
      </c>
      <c r="C159" s="4125" t="s">
        <v>2639</v>
      </c>
      <c r="D159" s="4125" t="s">
        <v>2640</v>
      </c>
      <c r="E159" s="4125" t="s">
        <v>2641</v>
      </c>
      <c r="F159" s="4125" t="s">
        <v>2300</v>
      </c>
      <c r="G159" s="4125" t="s">
        <v>2642</v>
      </c>
      <c r="H159" s="4125" t="s">
        <v>2643</v>
      </c>
      <c r="I159" s="4125" t="s">
        <v>914</v>
      </c>
    </row>
    <row r="160" spans="1:9" ht="11.25" customHeight="1">
      <c r="A160" s="4125" t="s">
        <v>2288</v>
      </c>
      <c r="B160" s="4125" t="s">
        <v>16</v>
      </c>
      <c r="C160" s="4125" t="s">
        <v>2644</v>
      </c>
      <c r="D160" s="4125" t="s">
        <v>2645</v>
      </c>
      <c r="E160" s="4125" t="s">
        <v>2646</v>
      </c>
      <c r="F160" s="4125" t="s">
        <v>2647</v>
      </c>
      <c r="G160" s="4125" t="s">
        <v>2648</v>
      </c>
      <c r="H160" s="4125" t="s">
        <v>28</v>
      </c>
      <c r="I160" s="4125" t="s">
        <v>914</v>
      </c>
    </row>
    <row r="161" spans="1:9" ht="11.25" customHeight="1">
      <c r="A161" s="4125" t="s">
        <v>2288</v>
      </c>
      <c r="B161" s="4125" t="s">
        <v>16</v>
      </c>
      <c r="C161" s="4125" t="s">
        <v>2652</v>
      </c>
      <c r="D161" s="4125" t="s">
        <v>2653</v>
      </c>
      <c r="E161" s="4125" t="s">
        <v>2654</v>
      </c>
      <c r="F161" s="4125" t="s">
        <v>55</v>
      </c>
      <c r="G161" s="4125" t="s">
        <v>28</v>
      </c>
      <c r="H161" s="4125" t="s">
        <v>28</v>
      </c>
      <c r="I161" s="4125" t="s">
        <v>914</v>
      </c>
    </row>
    <row r="162" spans="1:9" ht="11.25" customHeight="1">
      <c r="A162" s="4125" t="s">
        <v>2288</v>
      </c>
      <c r="B162" s="4125" t="s">
        <v>16</v>
      </c>
      <c r="C162" s="4125" t="s">
        <v>2655</v>
      </c>
      <c r="D162" s="4125" t="s">
        <v>2656</v>
      </c>
      <c r="E162" s="4125" t="s">
        <v>2646</v>
      </c>
      <c r="F162" s="4125" t="s">
        <v>2657</v>
      </c>
      <c r="G162" s="4125" t="s">
        <v>2658</v>
      </c>
      <c r="H162" s="4125" t="s">
        <v>28</v>
      </c>
      <c r="I162" s="4125" t="s">
        <v>914</v>
      </c>
    </row>
    <row r="163" spans="1:9" ht="11.25" customHeight="1">
      <c r="A163" s="4125" t="s">
        <v>2288</v>
      </c>
      <c r="B163" s="4125" t="s">
        <v>16</v>
      </c>
      <c r="C163" s="4125" t="s">
        <v>2664</v>
      </c>
      <c r="D163" s="4125" t="s">
        <v>2665</v>
      </c>
      <c r="E163" s="4125" t="s">
        <v>2666</v>
      </c>
      <c r="F163" s="4125" t="s">
        <v>2667</v>
      </c>
      <c r="G163" s="4125" t="s">
        <v>28</v>
      </c>
      <c r="H163" s="4125" t="s">
        <v>28</v>
      </c>
      <c r="I163" s="4125" t="s">
        <v>914</v>
      </c>
    </row>
    <row r="164" spans="1:9" ht="11.25" customHeight="1">
      <c r="A164" s="4125" t="s">
        <v>2288</v>
      </c>
      <c r="B164" s="4125" t="s">
        <v>16</v>
      </c>
      <c r="C164" s="4125" t="s">
        <v>2684</v>
      </c>
      <c r="D164" s="4125" t="s">
        <v>2685</v>
      </c>
      <c r="E164" s="4125" t="s">
        <v>2335</v>
      </c>
      <c r="F164" s="4125" t="s">
        <v>2686</v>
      </c>
      <c r="G164" s="4125" t="s">
        <v>2687</v>
      </c>
      <c r="H164" s="4125" t="s">
        <v>2688</v>
      </c>
      <c r="I164" s="4125" t="s">
        <v>914</v>
      </c>
    </row>
    <row r="165" spans="1:9" ht="11.25" customHeight="1">
      <c r="A165" s="4125" t="s">
        <v>2288</v>
      </c>
      <c r="B165" s="4125" t="s">
        <v>16</v>
      </c>
      <c r="C165" s="4125" t="s">
        <v>2289</v>
      </c>
      <c r="D165" s="4125" t="s">
        <v>2290</v>
      </c>
      <c r="E165" s="4125" t="s">
        <v>2291</v>
      </c>
      <c r="F165" s="4125" t="s">
        <v>2292</v>
      </c>
      <c r="G165" s="4125" t="s">
        <v>2293</v>
      </c>
      <c r="H165" s="4125" t="s">
        <v>28</v>
      </c>
      <c r="I165" s="4125" t="s">
        <v>874</v>
      </c>
    </row>
    <row r="166" spans="1:9" ht="11.25" customHeight="1">
      <c r="A166" s="4125" t="s">
        <v>2288</v>
      </c>
      <c r="B166" s="4125" t="s">
        <v>16</v>
      </c>
      <c r="C166" s="4125" t="s">
        <v>2294</v>
      </c>
      <c r="D166" s="4125" t="s">
        <v>2290</v>
      </c>
      <c r="E166" s="4125" t="s">
        <v>2291</v>
      </c>
      <c r="F166" s="4125" t="s">
        <v>2295</v>
      </c>
      <c r="G166" s="4125" t="s">
        <v>2296</v>
      </c>
      <c r="H166" s="4125" t="s">
        <v>28</v>
      </c>
      <c r="I166" s="4125" t="s">
        <v>874</v>
      </c>
    </row>
    <row r="167" spans="1:9" ht="11.25" customHeight="1">
      <c r="A167" s="4125" t="s">
        <v>2288</v>
      </c>
      <c r="B167" s="4125" t="s">
        <v>16</v>
      </c>
      <c r="C167" s="4125" t="s">
        <v>2694</v>
      </c>
      <c r="D167" s="4125" t="s">
        <v>2695</v>
      </c>
      <c r="E167" s="4125" t="s">
        <v>2696</v>
      </c>
      <c r="F167" s="4125" t="s">
        <v>2353</v>
      </c>
      <c r="G167" s="4125" t="s">
        <v>2697</v>
      </c>
      <c r="H167" s="4125" t="s">
        <v>28</v>
      </c>
      <c r="I167" s="4125" t="s">
        <v>874</v>
      </c>
    </row>
    <row r="168" spans="1:9" ht="11.25" customHeight="1">
      <c r="A168" s="4125" t="s">
        <v>2288</v>
      </c>
      <c r="B168" s="4125" t="s">
        <v>16</v>
      </c>
      <c r="C168" s="4125" t="s">
        <v>2297</v>
      </c>
      <c r="D168" s="4125" t="s">
        <v>2298</v>
      </c>
      <c r="E168" s="4125" t="s">
        <v>2299</v>
      </c>
      <c r="F168" s="4125" t="s">
        <v>2300</v>
      </c>
      <c r="G168" s="4125" t="s">
        <v>28</v>
      </c>
      <c r="H168" s="4125" t="s">
        <v>28</v>
      </c>
      <c r="I168" s="4125" t="s">
        <v>874</v>
      </c>
    </row>
    <row r="169" spans="1:9" ht="11.25" customHeight="1">
      <c r="A169" s="4125" t="s">
        <v>2288</v>
      </c>
      <c r="B169" s="4125" t="s">
        <v>16</v>
      </c>
      <c r="C169" s="4125" t="s">
        <v>2698</v>
      </c>
      <c r="D169" s="4125" t="s">
        <v>2699</v>
      </c>
      <c r="E169" s="4125" t="s">
        <v>2700</v>
      </c>
      <c r="F169" s="4125" t="s">
        <v>2300</v>
      </c>
      <c r="G169" s="4125" t="s">
        <v>2701</v>
      </c>
      <c r="H169" s="4125" t="s">
        <v>28</v>
      </c>
      <c r="I169" s="4125" t="s">
        <v>874</v>
      </c>
    </row>
    <row r="170" spans="1:9" ht="11.25" customHeight="1">
      <c r="A170" s="4125" t="s">
        <v>2288</v>
      </c>
      <c r="B170" s="4125" t="s">
        <v>16</v>
      </c>
      <c r="C170" s="4125" t="s">
        <v>2309</v>
      </c>
      <c r="D170" s="4125" t="s">
        <v>2310</v>
      </c>
      <c r="E170" s="4125" t="s">
        <v>2311</v>
      </c>
      <c r="F170" s="4125" t="s">
        <v>2308</v>
      </c>
      <c r="G170" s="4125" t="s">
        <v>2312</v>
      </c>
      <c r="H170" s="4125" t="s">
        <v>28</v>
      </c>
      <c r="I170" s="4125" t="s">
        <v>874</v>
      </c>
    </row>
    <row r="171" spans="1:9" ht="11.25" customHeight="1">
      <c r="A171" s="4125" t="s">
        <v>2288</v>
      </c>
      <c r="B171" s="4125" t="s">
        <v>16</v>
      </c>
      <c r="C171" s="4125" t="s">
        <v>2702</v>
      </c>
      <c r="D171" s="4125" t="s">
        <v>2703</v>
      </c>
      <c r="E171" s="4125" t="s">
        <v>2704</v>
      </c>
      <c r="F171" s="4125" t="s">
        <v>2316</v>
      </c>
      <c r="G171" s="4125" t="s">
        <v>2705</v>
      </c>
      <c r="H171" s="4125" t="s">
        <v>28</v>
      </c>
      <c r="I171" s="4125" t="s">
        <v>874</v>
      </c>
    </row>
    <row r="172" spans="1:9" ht="11.25" customHeight="1">
      <c r="A172" s="4125" t="s">
        <v>2288</v>
      </c>
      <c r="B172" s="4125" t="s">
        <v>16</v>
      </c>
      <c r="C172" s="4125" t="s">
        <v>2320</v>
      </c>
      <c r="D172" s="4125" t="s">
        <v>2321</v>
      </c>
      <c r="E172" s="4125" t="s">
        <v>2322</v>
      </c>
      <c r="F172" s="4125" t="s">
        <v>55</v>
      </c>
      <c r="G172" s="4125" t="s">
        <v>2323</v>
      </c>
      <c r="H172" s="4125" t="s">
        <v>28</v>
      </c>
      <c r="I172" s="4125" t="s">
        <v>874</v>
      </c>
    </row>
    <row r="173" spans="1:9" ht="11.25" customHeight="1">
      <c r="A173" s="4125" t="s">
        <v>2288</v>
      </c>
      <c r="B173" s="4125" t="s">
        <v>16</v>
      </c>
      <c r="C173" s="4125" t="s">
        <v>2324</v>
      </c>
      <c r="D173" s="4125" t="s">
        <v>2325</v>
      </c>
      <c r="E173" s="4125" t="s">
        <v>2326</v>
      </c>
      <c r="F173" s="4125" t="s">
        <v>2327</v>
      </c>
      <c r="G173" s="4125" t="s">
        <v>28</v>
      </c>
      <c r="H173" s="4125" t="s">
        <v>28</v>
      </c>
      <c r="I173" s="4125" t="s">
        <v>874</v>
      </c>
    </row>
    <row r="174" spans="1:9" ht="11.25" customHeight="1">
      <c r="A174" s="4125" t="s">
        <v>2288</v>
      </c>
      <c r="B174" s="4125" t="s">
        <v>16</v>
      </c>
      <c r="C174" s="4125" t="s">
        <v>2328</v>
      </c>
      <c r="D174" s="4125" t="s">
        <v>2329</v>
      </c>
      <c r="E174" s="4125" t="s">
        <v>2330</v>
      </c>
      <c r="F174" s="4125" t="s">
        <v>2331</v>
      </c>
      <c r="G174" s="4125" t="s">
        <v>2332</v>
      </c>
      <c r="H174" s="4125" t="s">
        <v>28</v>
      </c>
      <c r="I174" s="4125" t="s">
        <v>874</v>
      </c>
    </row>
    <row r="175" spans="1:9" ht="11.25" customHeight="1">
      <c r="A175" s="4125" t="s">
        <v>2288</v>
      </c>
      <c r="B175" s="4125" t="s">
        <v>16</v>
      </c>
      <c r="C175" s="4125" t="s">
        <v>2706</v>
      </c>
      <c r="D175" s="4125" t="s">
        <v>2707</v>
      </c>
      <c r="E175" s="4125" t="s">
        <v>2344</v>
      </c>
      <c r="F175" s="4125" t="s">
        <v>2676</v>
      </c>
      <c r="G175" s="4125" t="s">
        <v>2708</v>
      </c>
      <c r="H175" s="4125" t="s">
        <v>28</v>
      </c>
      <c r="I175" s="4125" t="s">
        <v>874</v>
      </c>
    </row>
    <row r="176" spans="1:9" ht="11.25" customHeight="1">
      <c r="A176" s="4125" t="s">
        <v>2288</v>
      </c>
      <c r="B176" s="4125" t="s">
        <v>16</v>
      </c>
      <c r="C176" s="4125" t="s">
        <v>2346</v>
      </c>
      <c r="D176" s="4125" t="s">
        <v>2347</v>
      </c>
      <c r="E176" s="4125" t="s">
        <v>2348</v>
      </c>
      <c r="F176" s="4125" t="s">
        <v>55</v>
      </c>
      <c r="G176" s="4125" t="s">
        <v>2349</v>
      </c>
      <c r="H176" s="4125" t="s">
        <v>28</v>
      </c>
      <c r="I176" s="4125" t="s">
        <v>874</v>
      </c>
    </row>
    <row r="177" spans="1:9" ht="11.25" customHeight="1">
      <c r="A177" s="4125" t="s">
        <v>2288</v>
      </c>
      <c r="B177" s="4125" t="s">
        <v>16</v>
      </c>
      <c r="C177" s="4125" t="s">
        <v>2709</v>
      </c>
      <c r="D177" s="4125" t="s">
        <v>2710</v>
      </c>
      <c r="E177" s="4125" t="s">
        <v>2711</v>
      </c>
      <c r="F177" s="4125" t="s">
        <v>2372</v>
      </c>
      <c r="G177" s="4125" t="s">
        <v>2712</v>
      </c>
      <c r="H177" s="4125" t="s">
        <v>28</v>
      </c>
      <c r="I177" s="4125" t="s">
        <v>874</v>
      </c>
    </row>
    <row r="178" spans="1:9" ht="11.25" customHeight="1">
      <c r="A178" s="4125" t="s">
        <v>2288</v>
      </c>
      <c r="B178" s="4125" t="s">
        <v>16</v>
      </c>
      <c r="C178" s="4125" t="s">
        <v>2357</v>
      </c>
      <c r="D178" s="4125" t="s">
        <v>2358</v>
      </c>
      <c r="E178" s="4125" t="s">
        <v>2359</v>
      </c>
      <c r="F178" s="4125" t="s">
        <v>55</v>
      </c>
      <c r="G178" s="4125" t="s">
        <v>2360</v>
      </c>
      <c r="H178" s="4125" t="s">
        <v>28</v>
      </c>
      <c r="I178" s="4125" t="s">
        <v>874</v>
      </c>
    </row>
    <row r="179" spans="1:9" ht="11.25" customHeight="1">
      <c r="A179" s="4125" t="s">
        <v>2288</v>
      </c>
      <c r="B179" s="4125" t="s">
        <v>16</v>
      </c>
      <c r="C179" s="4125" t="s">
        <v>2713</v>
      </c>
      <c r="D179" s="4125" t="s">
        <v>2714</v>
      </c>
      <c r="E179" s="4125" t="s">
        <v>2715</v>
      </c>
      <c r="F179" s="4125" t="s">
        <v>2331</v>
      </c>
      <c r="G179" s="4125" t="s">
        <v>2716</v>
      </c>
      <c r="H179" s="4125" t="s">
        <v>2717</v>
      </c>
      <c r="I179" s="4125" t="s">
        <v>874</v>
      </c>
    </row>
    <row r="180" spans="1:9" ht="11.25" customHeight="1">
      <c r="A180" s="4125" t="s">
        <v>2288</v>
      </c>
      <c r="B180" s="4125" t="s">
        <v>16</v>
      </c>
      <c r="C180" s="4125" t="s">
        <v>2365</v>
      </c>
      <c r="D180" s="4125" t="s">
        <v>2366</v>
      </c>
      <c r="E180" s="4125" t="s">
        <v>2367</v>
      </c>
      <c r="F180" s="4125" t="s">
        <v>2368</v>
      </c>
      <c r="G180" s="4125" t="s">
        <v>28</v>
      </c>
      <c r="H180" s="4125" t="s">
        <v>28</v>
      </c>
      <c r="I180" s="4125" t="s">
        <v>874</v>
      </c>
    </row>
    <row r="181" spans="1:9" ht="11.25" customHeight="1">
      <c r="A181" s="4125" t="s">
        <v>2288</v>
      </c>
      <c r="B181" s="4125" t="s">
        <v>16</v>
      </c>
      <c r="C181" s="4125" t="s">
        <v>2369</v>
      </c>
      <c r="D181" s="4125" t="s">
        <v>2370</v>
      </c>
      <c r="E181" s="4125" t="s">
        <v>2371</v>
      </c>
      <c r="F181" s="4125" t="s">
        <v>2372</v>
      </c>
      <c r="G181" s="4125" t="s">
        <v>2373</v>
      </c>
      <c r="H181" s="4125" t="s">
        <v>2374</v>
      </c>
      <c r="I181" s="4125" t="s">
        <v>874</v>
      </c>
    </row>
    <row r="182" spans="1:9" ht="11.25" customHeight="1">
      <c r="A182" s="4125" t="s">
        <v>2288</v>
      </c>
      <c r="B182" s="4125" t="s">
        <v>16</v>
      </c>
      <c r="C182" s="4125" t="s">
        <v>28</v>
      </c>
      <c r="D182" s="4125" t="s">
        <v>2375</v>
      </c>
      <c r="E182" s="4125" t="s">
        <v>2376</v>
      </c>
      <c r="F182" s="4125" t="s">
        <v>55</v>
      </c>
      <c r="G182" s="4125" t="s">
        <v>28</v>
      </c>
      <c r="H182" s="4125" t="s">
        <v>28</v>
      </c>
      <c r="I182" s="4125" t="s">
        <v>874</v>
      </c>
    </row>
    <row r="183" spans="1:9" ht="11.25" customHeight="1">
      <c r="A183" s="4125" t="s">
        <v>2288</v>
      </c>
      <c r="B183" s="4125" t="s">
        <v>16</v>
      </c>
      <c r="C183" s="4125" t="s">
        <v>2718</v>
      </c>
      <c r="D183" s="4125" t="s">
        <v>2719</v>
      </c>
      <c r="E183" s="4125" t="s">
        <v>2720</v>
      </c>
      <c r="F183" s="4125" t="s">
        <v>2384</v>
      </c>
      <c r="G183" s="4125" t="s">
        <v>2721</v>
      </c>
      <c r="H183" s="4125" t="s">
        <v>2722</v>
      </c>
      <c r="I183" s="4125" t="s">
        <v>874</v>
      </c>
    </row>
    <row r="184" spans="1:9" ht="11.25" customHeight="1">
      <c r="A184" s="4125" t="s">
        <v>2288</v>
      </c>
      <c r="B184" s="4125" t="s">
        <v>16</v>
      </c>
      <c r="C184" s="4125" t="s">
        <v>2381</v>
      </c>
      <c r="D184" s="4125" t="s">
        <v>2382</v>
      </c>
      <c r="E184" s="4125" t="s">
        <v>2383</v>
      </c>
      <c r="F184" s="4125" t="s">
        <v>2384</v>
      </c>
      <c r="G184" s="4125" t="s">
        <v>28</v>
      </c>
      <c r="H184" s="4125" t="s">
        <v>28</v>
      </c>
      <c r="I184" s="4125" t="s">
        <v>874</v>
      </c>
    </row>
    <row r="185" spans="1:9" ht="11.25" customHeight="1">
      <c r="A185" s="4125" t="s">
        <v>2288</v>
      </c>
      <c r="B185" s="4125" t="s">
        <v>16</v>
      </c>
      <c r="C185" s="4125" t="s">
        <v>2723</v>
      </c>
      <c r="D185" s="4125" t="s">
        <v>2724</v>
      </c>
      <c r="E185" s="4125" t="s">
        <v>2725</v>
      </c>
      <c r="F185" s="4125" t="s">
        <v>2300</v>
      </c>
      <c r="G185" s="4125" t="s">
        <v>28</v>
      </c>
      <c r="H185" s="4125" t="s">
        <v>28</v>
      </c>
      <c r="I185" s="4125" t="s">
        <v>874</v>
      </c>
    </row>
    <row r="186" spans="1:9" ht="11.25" customHeight="1">
      <c r="A186" s="4125" t="s">
        <v>2288</v>
      </c>
      <c r="B186" s="4125" t="s">
        <v>16</v>
      </c>
      <c r="C186" s="4125" t="s">
        <v>2385</v>
      </c>
      <c r="D186" s="4125" t="s">
        <v>2386</v>
      </c>
      <c r="E186" s="4125" t="s">
        <v>2387</v>
      </c>
      <c r="F186" s="4125" t="s">
        <v>2300</v>
      </c>
      <c r="G186" s="4125" t="s">
        <v>28</v>
      </c>
      <c r="H186" s="4125" t="s">
        <v>28</v>
      </c>
      <c r="I186" s="4125" t="s">
        <v>874</v>
      </c>
    </row>
    <row r="187" spans="1:9" ht="11.25" customHeight="1">
      <c r="A187" s="4125" t="s">
        <v>2288</v>
      </c>
      <c r="B187" s="4125" t="s">
        <v>16</v>
      </c>
      <c r="C187" s="4125" t="s">
        <v>2689</v>
      </c>
      <c r="D187" s="4125" t="s">
        <v>2690</v>
      </c>
      <c r="E187" s="4125" t="s">
        <v>2691</v>
      </c>
      <c r="F187" s="4125" t="s">
        <v>2300</v>
      </c>
      <c r="G187" s="4125" t="s">
        <v>2692</v>
      </c>
      <c r="H187" s="4125" t="s">
        <v>2693</v>
      </c>
      <c r="I187" s="4125" t="s">
        <v>874</v>
      </c>
    </row>
    <row r="188" spans="1:9" ht="11.25" customHeight="1">
      <c r="A188" s="4125" t="s">
        <v>2288</v>
      </c>
      <c r="B188" s="4125" t="s">
        <v>16</v>
      </c>
      <c r="C188" s="4125" t="s">
        <v>2388</v>
      </c>
      <c r="D188" s="4125" t="s">
        <v>2389</v>
      </c>
      <c r="E188" s="4125" t="s">
        <v>2390</v>
      </c>
      <c r="F188" s="4125" t="s">
        <v>2384</v>
      </c>
      <c r="G188" s="4125" t="s">
        <v>2391</v>
      </c>
      <c r="H188" s="4125" t="s">
        <v>28</v>
      </c>
      <c r="I188" s="4125" t="s">
        <v>874</v>
      </c>
    </row>
    <row r="189" spans="1:9" ht="11.25" customHeight="1">
      <c r="A189" s="4125" t="s">
        <v>2288</v>
      </c>
      <c r="B189" s="4125" t="s">
        <v>16</v>
      </c>
      <c r="C189" s="4125" t="s">
        <v>2392</v>
      </c>
      <c r="D189" s="4125" t="s">
        <v>2393</v>
      </c>
      <c r="E189" s="4125" t="s">
        <v>2394</v>
      </c>
      <c r="F189" s="4125" t="s">
        <v>2384</v>
      </c>
      <c r="G189" s="4125" t="s">
        <v>2395</v>
      </c>
      <c r="H189" s="4125" t="s">
        <v>28</v>
      </c>
      <c r="I189" s="4125" t="s">
        <v>874</v>
      </c>
    </row>
    <row r="190" spans="1:9" ht="11.25" customHeight="1">
      <c r="A190" s="4125" t="s">
        <v>2288</v>
      </c>
      <c r="B190" s="4125" t="s">
        <v>16</v>
      </c>
      <c r="C190" s="4125" t="s">
        <v>2396</v>
      </c>
      <c r="D190" s="4125" t="s">
        <v>2397</v>
      </c>
      <c r="E190" s="4125" t="s">
        <v>2398</v>
      </c>
      <c r="F190" s="4125" t="s">
        <v>2372</v>
      </c>
      <c r="G190" s="4125" t="s">
        <v>2399</v>
      </c>
      <c r="H190" s="4125" t="s">
        <v>28</v>
      </c>
      <c r="I190" s="4125" t="s">
        <v>874</v>
      </c>
    </row>
    <row r="191" spans="1:9" ht="11.25" customHeight="1">
      <c r="A191" s="4125" t="s">
        <v>2288</v>
      </c>
      <c r="B191" s="4125" t="s">
        <v>16</v>
      </c>
      <c r="C191" s="4125" t="s">
        <v>2400</v>
      </c>
      <c r="D191" s="4125" t="s">
        <v>2401</v>
      </c>
      <c r="E191" s="4125" t="s">
        <v>2402</v>
      </c>
      <c r="F191" s="4125" t="s">
        <v>2403</v>
      </c>
      <c r="G191" s="4125" t="s">
        <v>28</v>
      </c>
      <c r="H191" s="4125" t="s">
        <v>28</v>
      </c>
      <c r="I191" s="4125" t="s">
        <v>874</v>
      </c>
    </row>
    <row r="192" spans="1:9" ht="11.25" customHeight="1">
      <c r="A192" s="4125" t="s">
        <v>2288</v>
      </c>
      <c r="B192" s="4125" t="s">
        <v>16</v>
      </c>
      <c r="C192" s="4125" t="s">
        <v>2726</v>
      </c>
      <c r="D192" s="4125" t="s">
        <v>2727</v>
      </c>
      <c r="E192" s="4125" t="s">
        <v>2728</v>
      </c>
      <c r="F192" s="4125" t="s">
        <v>2384</v>
      </c>
      <c r="G192" s="4125" t="s">
        <v>2729</v>
      </c>
      <c r="H192" s="4125" t="s">
        <v>2730</v>
      </c>
      <c r="I192" s="4125" t="s">
        <v>874</v>
      </c>
    </row>
    <row r="193" spans="1:9" ht="11.25" customHeight="1">
      <c r="A193" s="4125" t="s">
        <v>2288</v>
      </c>
      <c r="B193" s="4125" t="s">
        <v>16</v>
      </c>
      <c r="C193" s="4125" t="s">
        <v>2731</v>
      </c>
      <c r="D193" s="4125" t="s">
        <v>2732</v>
      </c>
      <c r="E193" s="4125" t="s">
        <v>2733</v>
      </c>
      <c r="F193" s="4125" t="s">
        <v>2734</v>
      </c>
      <c r="G193" s="4125" t="s">
        <v>28</v>
      </c>
      <c r="H193" s="4125" t="s">
        <v>28</v>
      </c>
      <c r="I193" s="4125" t="s">
        <v>874</v>
      </c>
    </row>
    <row r="194" spans="1:9" ht="11.25" customHeight="1">
      <c r="A194" s="4125" t="s">
        <v>2288</v>
      </c>
      <c r="B194" s="4125" t="s">
        <v>16</v>
      </c>
      <c r="C194" s="4125" t="s">
        <v>2411</v>
      </c>
      <c r="D194" s="4125" t="s">
        <v>2412</v>
      </c>
      <c r="E194" s="4125" t="s">
        <v>2413</v>
      </c>
      <c r="F194" s="4125" t="s">
        <v>2414</v>
      </c>
      <c r="G194" s="4125" t="s">
        <v>28</v>
      </c>
      <c r="H194" s="4125" t="s">
        <v>28</v>
      </c>
      <c r="I194" s="4125" t="s">
        <v>874</v>
      </c>
    </row>
    <row r="195" spans="1:9" ht="11.25" customHeight="1">
      <c r="A195" s="4125" t="s">
        <v>2288</v>
      </c>
      <c r="B195" s="4125" t="s">
        <v>16</v>
      </c>
      <c r="C195" s="4125" t="s">
        <v>2415</v>
      </c>
      <c r="D195" s="4125" t="s">
        <v>2416</v>
      </c>
      <c r="E195" s="4125" t="s">
        <v>2417</v>
      </c>
      <c r="F195" s="4125" t="s">
        <v>2300</v>
      </c>
      <c r="G195" s="4125" t="s">
        <v>28</v>
      </c>
      <c r="H195" s="4125" t="s">
        <v>2418</v>
      </c>
      <c r="I195" s="4125" t="s">
        <v>874</v>
      </c>
    </row>
    <row r="196" spans="1:9" ht="11.25" customHeight="1">
      <c r="A196" s="4125" t="s">
        <v>2288</v>
      </c>
      <c r="B196" s="4125" t="s">
        <v>16</v>
      </c>
      <c r="C196" s="4125" t="s">
        <v>2419</v>
      </c>
      <c r="D196" s="4125" t="s">
        <v>2420</v>
      </c>
      <c r="E196" s="4125" t="s">
        <v>2421</v>
      </c>
      <c r="F196" s="4125" t="s">
        <v>2300</v>
      </c>
      <c r="G196" s="4125" t="s">
        <v>28</v>
      </c>
      <c r="H196" s="4125" t="s">
        <v>28</v>
      </c>
      <c r="I196" s="4125" t="s">
        <v>874</v>
      </c>
    </row>
    <row r="197" spans="1:9" ht="11.25" customHeight="1">
      <c r="A197" s="4125" t="s">
        <v>2288</v>
      </c>
      <c r="B197" s="4125" t="s">
        <v>16</v>
      </c>
      <c r="C197" s="4125" t="s">
        <v>2735</v>
      </c>
      <c r="D197" s="4125" t="s">
        <v>2736</v>
      </c>
      <c r="E197" s="4125" t="s">
        <v>2737</v>
      </c>
      <c r="F197" s="4125" t="s">
        <v>2414</v>
      </c>
      <c r="G197" s="4125" t="s">
        <v>2738</v>
      </c>
      <c r="H197" s="4125" t="s">
        <v>2739</v>
      </c>
      <c r="I197" s="4125" t="s">
        <v>874</v>
      </c>
    </row>
    <row r="198" spans="1:9" ht="11.25" customHeight="1">
      <c r="A198" s="4125" t="s">
        <v>2288</v>
      </c>
      <c r="B198" s="4125" t="s">
        <v>16</v>
      </c>
      <c r="C198" s="4125" t="s">
        <v>2426</v>
      </c>
      <c r="D198" s="4125" t="s">
        <v>2427</v>
      </c>
      <c r="E198" s="4125" t="s">
        <v>2428</v>
      </c>
      <c r="F198" s="4125" t="s">
        <v>2300</v>
      </c>
      <c r="G198" s="4125" t="s">
        <v>2429</v>
      </c>
      <c r="H198" s="4125" t="s">
        <v>2430</v>
      </c>
      <c r="I198" s="4125" t="s">
        <v>874</v>
      </c>
    </row>
    <row r="199" spans="1:9" ht="11.25" customHeight="1">
      <c r="A199" s="4125" t="s">
        <v>2288</v>
      </c>
      <c r="B199" s="4125" t="s">
        <v>16</v>
      </c>
      <c r="C199" s="4125" t="s">
        <v>2431</v>
      </c>
      <c r="D199" s="4125" t="s">
        <v>2432</v>
      </c>
      <c r="E199" s="4125" t="s">
        <v>2433</v>
      </c>
      <c r="F199" s="4125" t="s">
        <v>2300</v>
      </c>
      <c r="G199" s="4125" t="s">
        <v>28</v>
      </c>
      <c r="H199" s="4125" t="s">
        <v>2434</v>
      </c>
      <c r="I199" s="4125" t="s">
        <v>874</v>
      </c>
    </row>
    <row r="200" spans="1:9" ht="11.25" customHeight="1">
      <c r="A200" s="4125" t="s">
        <v>2288</v>
      </c>
      <c r="B200" s="4125" t="s">
        <v>16</v>
      </c>
      <c r="C200" s="4125" t="s">
        <v>2438</v>
      </c>
      <c r="D200" s="4125" t="s">
        <v>2439</v>
      </c>
      <c r="E200" s="4125" t="s">
        <v>2440</v>
      </c>
      <c r="F200" s="4125" t="s">
        <v>2300</v>
      </c>
      <c r="G200" s="4125" t="s">
        <v>2441</v>
      </c>
      <c r="H200" s="4125" t="s">
        <v>2442</v>
      </c>
      <c r="I200" s="4125" t="s">
        <v>874</v>
      </c>
    </row>
    <row r="201" spans="1:9" ht="11.25" customHeight="1">
      <c r="A201" s="4125" t="s">
        <v>2288</v>
      </c>
      <c r="B201" s="4125" t="s">
        <v>16</v>
      </c>
      <c r="C201" s="4125" t="s">
        <v>2443</v>
      </c>
      <c r="D201" s="4125" t="s">
        <v>2444</v>
      </c>
      <c r="E201" s="4125" t="s">
        <v>2445</v>
      </c>
      <c r="F201" s="4125" t="s">
        <v>2372</v>
      </c>
      <c r="G201" s="4125" t="s">
        <v>28</v>
      </c>
      <c r="H201" s="4125" t="s">
        <v>28</v>
      </c>
      <c r="I201" s="4125" t="s">
        <v>874</v>
      </c>
    </row>
    <row r="202" spans="1:9" ht="11.25" customHeight="1">
      <c r="A202" s="4125" t="s">
        <v>2288</v>
      </c>
      <c r="B202" s="4125" t="s">
        <v>16</v>
      </c>
      <c r="C202" s="4125" t="s">
        <v>2446</v>
      </c>
      <c r="D202" s="4125" t="s">
        <v>2447</v>
      </c>
      <c r="E202" s="4125" t="s">
        <v>2448</v>
      </c>
      <c r="F202" s="4125" t="s">
        <v>2331</v>
      </c>
      <c r="G202" s="4125" t="s">
        <v>28</v>
      </c>
      <c r="H202" s="4125" t="s">
        <v>2449</v>
      </c>
      <c r="I202" s="4125" t="s">
        <v>874</v>
      </c>
    </row>
    <row r="203" spans="1:9" ht="11.25" customHeight="1">
      <c r="A203" s="4125" t="s">
        <v>2288</v>
      </c>
      <c r="B203" s="4125" t="s">
        <v>16</v>
      </c>
      <c r="C203" s="4125" t="s">
        <v>2450</v>
      </c>
      <c r="D203" s="4125" t="s">
        <v>2451</v>
      </c>
      <c r="E203" s="4125" t="s">
        <v>2452</v>
      </c>
      <c r="F203" s="4125" t="s">
        <v>2372</v>
      </c>
      <c r="G203" s="4125" t="s">
        <v>2453</v>
      </c>
      <c r="H203" s="4125" t="s">
        <v>28</v>
      </c>
      <c r="I203" s="4125" t="s">
        <v>874</v>
      </c>
    </row>
    <row r="204" spans="1:9" ht="11.25" customHeight="1">
      <c r="A204" s="4125" t="s">
        <v>2288</v>
      </c>
      <c r="B204" s="4125" t="s">
        <v>16</v>
      </c>
      <c r="C204" s="4125" t="s">
        <v>2740</v>
      </c>
      <c r="D204" s="4125" t="s">
        <v>2741</v>
      </c>
      <c r="E204" s="4125" t="s">
        <v>2742</v>
      </c>
      <c r="F204" s="4125" t="s">
        <v>2526</v>
      </c>
      <c r="G204" s="4125" t="s">
        <v>2743</v>
      </c>
      <c r="H204" s="4125" t="s">
        <v>28</v>
      </c>
      <c r="I204" s="4125" t="s">
        <v>874</v>
      </c>
    </row>
    <row r="205" spans="1:9" ht="11.25" customHeight="1">
      <c r="A205" s="4125" t="s">
        <v>2288</v>
      </c>
      <c r="B205" s="4125" t="s">
        <v>16</v>
      </c>
      <c r="C205" s="4125" t="s">
        <v>2744</v>
      </c>
      <c r="D205" s="4125" t="s">
        <v>2745</v>
      </c>
      <c r="E205" s="4125" t="s">
        <v>2746</v>
      </c>
      <c r="F205" s="4125" t="s">
        <v>2384</v>
      </c>
      <c r="G205" s="4125" t="s">
        <v>28</v>
      </c>
      <c r="H205" s="4125" t="s">
        <v>28</v>
      </c>
      <c r="I205" s="4125" t="s">
        <v>874</v>
      </c>
    </row>
    <row r="206" spans="1:9" ht="11.25" customHeight="1">
      <c r="A206" s="4125" t="s">
        <v>2288</v>
      </c>
      <c r="B206" s="4125" t="s">
        <v>16</v>
      </c>
      <c r="C206" s="4125" t="s">
        <v>2747</v>
      </c>
      <c r="D206" s="4125" t="s">
        <v>2748</v>
      </c>
      <c r="E206" s="4125" t="s">
        <v>2749</v>
      </c>
      <c r="F206" s="4125" t="s">
        <v>2372</v>
      </c>
      <c r="G206" s="4125" t="s">
        <v>28</v>
      </c>
      <c r="H206" s="4125" t="s">
        <v>2750</v>
      </c>
      <c r="I206" s="4125" t="s">
        <v>874</v>
      </c>
    </row>
    <row r="207" spans="1:9" ht="11.25" customHeight="1">
      <c r="A207" s="4125" t="s">
        <v>2288</v>
      </c>
      <c r="B207" s="4125" t="s">
        <v>16</v>
      </c>
      <c r="C207" s="4125" t="s">
        <v>2458</v>
      </c>
      <c r="D207" s="4125" t="s">
        <v>2459</v>
      </c>
      <c r="E207" s="4125" t="s">
        <v>2460</v>
      </c>
      <c r="F207" s="4125" t="s">
        <v>2300</v>
      </c>
      <c r="G207" s="4125" t="s">
        <v>28</v>
      </c>
      <c r="H207" s="4125" t="s">
        <v>2461</v>
      </c>
      <c r="I207" s="4125" t="s">
        <v>874</v>
      </c>
    </row>
    <row r="208" spans="1:9" ht="11.25" customHeight="1">
      <c r="A208" s="4125" t="s">
        <v>2288</v>
      </c>
      <c r="B208" s="4125" t="s">
        <v>16</v>
      </c>
      <c r="C208" s="4125" t="s">
        <v>2462</v>
      </c>
      <c r="D208" s="4125" t="s">
        <v>2463</v>
      </c>
      <c r="E208" s="4125" t="s">
        <v>2464</v>
      </c>
      <c r="F208" s="4125" t="s">
        <v>2300</v>
      </c>
      <c r="G208" s="4125" t="s">
        <v>28</v>
      </c>
      <c r="H208" s="4125" t="s">
        <v>2465</v>
      </c>
      <c r="I208" s="4125" t="s">
        <v>874</v>
      </c>
    </row>
    <row r="209" spans="1:9" ht="11.25" customHeight="1">
      <c r="A209" s="4125" t="s">
        <v>2288</v>
      </c>
      <c r="B209" s="4125" t="s">
        <v>16</v>
      </c>
      <c r="C209" s="4125" t="s">
        <v>2751</v>
      </c>
      <c r="D209" s="4125" t="s">
        <v>2752</v>
      </c>
      <c r="E209" s="4125" t="s">
        <v>2753</v>
      </c>
      <c r="F209" s="4125" t="s">
        <v>2300</v>
      </c>
      <c r="G209" s="4125" t="s">
        <v>28</v>
      </c>
      <c r="H209" s="4125" t="s">
        <v>2754</v>
      </c>
      <c r="I209" s="4125" t="s">
        <v>874</v>
      </c>
    </row>
    <row r="210" spans="1:9" ht="11.25" customHeight="1">
      <c r="A210" s="4125" t="s">
        <v>2288</v>
      </c>
      <c r="B210" s="4125" t="s">
        <v>16</v>
      </c>
      <c r="C210" s="4125" t="s">
        <v>2469</v>
      </c>
      <c r="D210" s="4125" t="s">
        <v>2470</v>
      </c>
      <c r="E210" s="4125" t="s">
        <v>2471</v>
      </c>
      <c r="F210" s="4125" t="s">
        <v>2300</v>
      </c>
      <c r="G210" s="4125" t="s">
        <v>28</v>
      </c>
      <c r="H210" s="4125" t="s">
        <v>28</v>
      </c>
      <c r="I210" s="4125" t="s">
        <v>874</v>
      </c>
    </row>
    <row r="211" spans="1:9" ht="11.25" customHeight="1">
      <c r="A211" s="4125" t="s">
        <v>2288</v>
      </c>
      <c r="B211" s="4125" t="s">
        <v>16</v>
      </c>
      <c r="C211" s="4125" t="s">
        <v>2755</v>
      </c>
      <c r="D211" s="4125" t="s">
        <v>2756</v>
      </c>
      <c r="E211" s="4125" t="s">
        <v>2757</v>
      </c>
      <c r="F211" s="4125" t="s">
        <v>2384</v>
      </c>
      <c r="G211" s="4125" t="s">
        <v>28</v>
      </c>
      <c r="H211" s="4125" t="s">
        <v>2758</v>
      </c>
      <c r="I211" s="4125" t="s">
        <v>874</v>
      </c>
    </row>
    <row r="212" spans="1:9" ht="11.25" customHeight="1">
      <c r="A212" s="4125" t="s">
        <v>2288</v>
      </c>
      <c r="B212" s="4125" t="s">
        <v>16</v>
      </c>
      <c r="C212" s="4125" t="s">
        <v>2472</v>
      </c>
      <c r="D212" s="4125" t="s">
        <v>2473</v>
      </c>
      <c r="E212" s="4125" t="s">
        <v>2474</v>
      </c>
      <c r="F212" s="4125" t="s">
        <v>2372</v>
      </c>
      <c r="G212" s="4125" t="s">
        <v>28</v>
      </c>
      <c r="H212" s="4125" t="s">
        <v>2475</v>
      </c>
      <c r="I212" s="4125" t="s">
        <v>874</v>
      </c>
    </row>
    <row r="213" spans="1:9" ht="11.25" customHeight="1">
      <c r="A213" s="4125" t="s">
        <v>2288</v>
      </c>
      <c r="B213" s="4125" t="s">
        <v>16</v>
      </c>
      <c r="C213" s="4125" t="s">
        <v>2479</v>
      </c>
      <c r="D213" s="4125" t="s">
        <v>2480</v>
      </c>
      <c r="E213" s="4125" t="s">
        <v>2481</v>
      </c>
      <c r="F213" s="4125" t="s">
        <v>2482</v>
      </c>
      <c r="G213" s="4125" t="s">
        <v>28</v>
      </c>
      <c r="H213" s="4125" t="s">
        <v>28</v>
      </c>
      <c r="I213" s="4125" t="s">
        <v>874</v>
      </c>
    </row>
    <row r="214" spans="1:9" ht="11.25" customHeight="1">
      <c r="A214" s="4125" t="s">
        <v>2288</v>
      </c>
      <c r="B214" s="4125" t="s">
        <v>16</v>
      </c>
      <c r="C214" s="4125" t="s">
        <v>2491</v>
      </c>
      <c r="D214" s="4125" t="s">
        <v>2492</v>
      </c>
      <c r="E214" s="4125" t="s">
        <v>2493</v>
      </c>
      <c r="F214" s="4125" t="s">
        <v>2372</v>
      </c>
      <c r="G214" s="4125" t="s">
        <v>2494</v>
      </c>
      <c r="H214" s="4125" t="s">
        <v>28</v>
      </c>
      <c r="I214" s="4125" t="s">
        <v>874</v>
      </c>
    </row>
    <row r="215" spans="1:9" ht="11.25" customHeight="1">
      <c r="A215" s="4125" t="s">
        <v>2288</v>
      </c>
      <c r="B215" s="4125" t="s">
        <v>16</v>
      </c>
      <c r="C215" s="4125" t="s">
        <v>2495</v>
      </c>
      <c r="D215" s="4125" t="s">
        <v>2496</v>
      </c>
      <c r="E215" s="4125" t="s">
        <v>2497</v>
      </c>
      <c r="F215" s="4125" t="s">
        <v>2372</v>
      </c>
      <c r="G215" s="4125" t="s">
        <v>28</v>
      </c>
      <c r="H215" s="4125" t="s">
        <v>2498</v>
      </c>
      <c r="I215" s="4125" t="s">
        <v>874</v>
      </c>
    </row>
    <row r="216" spans="1:9" ht="11.25" customHeight="1">
      <c r="A216" s="4125" t="s">
        <v>2288</v>
      </c>
      <c r="B216" s="4125" t="s">
        <v>16</v>
      </c>
      <c r="C216" s="4125" t="s">
        <v>2511</v>
      </c>
      <c r="D216" s="4125" t="s">
        <v>2512</v>
      </c>
      <c r="E216" s="4125" t="s">
        <v>2513</v>
      </c>
      <c r="F216" s="4125" t="s">
        <v>2300</v>
      </c>
      <c r="G216" s="4125" t="s">
        <v>28</v>
      </c>
      <c r="H216" s="4125" t="s">
        <v>28</v>
      </c>
      <c r="I216" s="4125" t="s">
        <v>874</v>
      </c>
    </row>
    <row r="217" spans="1:9" ht="11.25" customHeight="1">
      <c r="A217" s="4125" t="s">
        <v>2288</v>
      </c>
      <c r="B217" s="4125" t="s">
        <v>16</v>
      </c>
      <c r="C217" s="4125" t="s">
        <v>2514</v>
      </c>
      <c r="D217" s="4125" t="s">
        <v>2515</v>
      </c>
      <c r="E217" s="4125" t="s">
        <v>2516</v>
      </c>
      <c r="F217" s="4125" t="s">
        <v>2482</v>
      </c>
      <c r="G217" s="4125" t="s">
        <v>2517</v>
      </c>
      <c r="H217" s="4125" t="s">
        <v>2518</v>
      </c>
      <c r="I217" s="4125" t="s">
        <v>874</v>
      </c>
    </row>
    <row r="218" spans="1:9" ht="11.25" customHeight="1">
      <c r="A218" s="4125" t="s">
        <v>2288</v>
      </c>
      <c r="B218" s="4125" t="s">
        <v>16</v>
      </c>
      <c r="C218" s="4125" t="s">
        <v>2519</v>
      </c>
      <c r="D218" s="4125" t="s">
        <v>2520</v>
      </c>
      <c r="E218" s="4125" t="s">
        <v>2521</v>
      </c>
      <c r="F218" s="4125" t="s">
        <v>2300</v>
      </c>
      <c r="G218" s="4125" t="s">
        <v>28</v>
      </c>
      <c r="H218" s="4125" t="s">
        <v>2522</v>
      </c>
      <c r="I218" s="4125" t="s">
        <v>874</v>
      </c>
    </row>
    <row r="219" spans="1:9" ht="11.25" customHeight="1">
      <c r="A219" s="4125" t="s">
        <v>2288</v>
      </c>
      <c r="B219" s="4125" t="s">
        <v>16</v>
      </c>
      <c r="C219" s="4125" t="s">
        <v>2759</v>
      </c>
      <c r="D219" s="4125" t="s">
        <v>2760</v>
      </c>
      <c r="E219" s="4125" t="s">
        <v>2761</v>
      </c>
      <c r="F219" s="4125" t="s">
        <v>2734</v>
      </c>
      <c r="G219" s="4125" t="s">
        <v>28</v>
      </c>
      <c r="H219" s="4125" t="s">
        <v>2762</v>
      </c>
      <c r="I219" s="4125" t="s">
        <v>874</v>
      </c>
    </row>
    <row r="220" spans="1:9" ht="11.25" customHeight="1">
      <c r="A220" s="4125" t="s">
        <v>2288</v>
      </c>
      <c r="B220" s="4125" t="s">
        <v>16</v>
      </c>
      <c r="C220" s="4125" t="s">
        <v>2763</v>
      </c>
      <c r="D220" s="4125" t="s">
        <v>2764</v>
      </c>
      <c r="E220" s="4125" t="s">
        <v>2765</v>
      </c>
      <c r="F220" s="4125" t="s">
        <v>55</v>
      </c>
      <c r="G220" s="4125" t="s">
        <v>2766</v>
      </c>
      <c r="H220" s="4125" t="s">
        <v>28</v>
      </c>
      <c r="I220" s="4125" t="s">
        <v>874</v>
      </c>
    </row>
    <row r="221" spans="1:9" ht="11.25" customHeight="1">
      <c r="A221" s="4125" t="s">
        <v>2288</v>
      </c>
      <c r="B221" s="4125" t="s">
        <v>16</v>
      </c>
      <c r="C221" s="4125" t="s">
        <v>2532</v>
      </c>
      <c r="D221" s="4125" t="s">
        <v>2533</v>
      </c>
      <c r="E221" s="4125" t="s">
        <v>2534</v>
      </c>
      <c r="F221" s="4125" t="s">
        <v>2535</v>
      </c>
      <c r="G221" s="4125" t="s">
        <v>2536</v>
      </c>
      <c r="H221" s="4125" t="s">
        <v>28</v>
      </c>
      <c r="I221" s="4125" t="s">
        <v>874</v>
      </c>
    </row>
    <row r="222" spans="1:9" ht="11.25" customHeight="1">
      <c r="A222" s="4125" t="s">
        <v>2288</v>
      </c>
      <c r="B222" s="4125" t="s">
        <v>16</v>
      </c>
      <c r="C222" s="4125" t="s">
        <v>2767</v>
      </c>
      <c r="D222" s="4125" t="s">
        <v>2768</v>
      </c>
      <c r="E222" s="4125" t="s">
        <v>2769</v>
      </c>
      <c r="F222" s="4125" t="s">
        <v>2676</v>
      </c>
      <c r="G222" s="4125" t="s">
        <v>28</v>
      </c>
      <c r="H222" s="4125" t="s">
        <v>2770</v>
      </c>
      <c r="I222" s="4125" t="s">
        <v>874</v>
      </c>
    </row>
    <row r="223" spans="1:9" ht="11.25" customHeight="1">
      <c r="A223" s="4125" t="s">
        <v>2288</v>
      </c>
      <c r="B223" s="4125" t="s">
        <v>16</v>
      </c>
      <c r="C223" s="4125" t="s">
        <v>2771</v>
      </c>
      <c r="D223" s="4125" t="s">
        <v>2772</v>
      </c>
      <c r="E223" s="4125" t="s">
        <v>2773</v>
      </c>
      <c r="F223" s="4125" t="s">
        <v>2671</v>
      </c>
      <c r="G223" s="4125" t="s">
        <v>2774</v>
      </c>
      <c r="H223" s="4125" t="s">
        <v>28</v>
      </c>
      <c r="I223" s="4125" t="s">
        <v>874</v>
      </c>
    </row>
    <row r="224" spans="1:9" ht="11.25" customHeight="1">
      <c r="A224" s="4125" t="s">
        <v>2288</v>
      </c>
      <c r="B224" s="4125" t="s">
        <v>16</v>
      </c>
      <c r="C224" s="4125" t="s">
        <v>2537</v>
      </c>
      <c r="D224" s="4125" t="s">
        <v>2538</v>
      </c>
      <c r="E224" s="4125" t="s">
        <v>2539</v>
      </c>
      <c r="F224" s="4125" t="s">
        <v>2540</v>
      </c>
      <c r="G224" s="4125" t="s">
        <v>28</v>
      </c>
      <c r="H224" s="4125" t="s">
        <v>28</v>
      </c>
      <c r="I224" s="4125" t="s">
        <v>874</v>
      </c>
    </row>
    <row r="225" spans="1:9" ht="11.25" customHeight="1">
      <c r="A225" s="4125" t="s">
        <v>2288</v>
      </c>
      <c r="B225" s="4125" t="s">
        <v>16</v>
      </c>
      <c r="C225" s="4125" t="s">
        <v>2544</v>
      </c>
      <c r="D225" s="4125" t="s">
        <v>2545</v>
      </c>
      <c r="E225" s="4125" t="s">
        <v>2546</v>
      </c>
      <c r="F225" s="4125" t="s">
        <v>2414</v>
      </c>
      <c r="G225" s="4125" t="s">
        <v>28</v>
      </c>
      <c r="H225" s="4125" t="s">
        <v>2547</v>
      </c>
      <c r="I225" s="4125" t="s">
        <v>874</v>
      </c>
    </row>
    <row r="226" spans="1:9" ht="11.25" customHeight="1">
      <c r="A226" s="4125" t="s">
        <v>2288</v>
      </c>
      <c r="B226" s="4125" t="s">
        <v>16</v>
      </c>
      <c r="C226" s="4125" t="s">
        <v>2775</v>
      </c>
      <c r="D226" s="4125" t="s">
        <v>2776</v>
      </c>
      <c r="E226" s="4125" t="s">
        <v>2777</v>
      </c>
      <c r="F226" s="4125" t="s">
        <v>2778</v>
      </c>
      <c r="G226" s="4125" t="s">
        <v>28</v>
      </c>
      <c r="H226" s="4125" t="s">
        <v>28</v>
      </c>
      <c r="I226" s="4125" t="s">
        <v>874</v>
      </c>
    </row>
    <row r="227" spans="1:9" ht="11.25" customHeight="1">
      <c r="A227" s="4125" t="s">
        <v>2288</v>
      </c>
      <c r="B227" s="4125" t="s">
        <v>16</v>
      </c>
      <c r="C227" s="4125" t="s">
        <v>2779</v>
      </c>
      <c r="D227" s="4125" t="s">
        <v>2780</v>
      </c>
      <c r="E227" s="4125" t="s">
        <v>2781</v>
      </c>
      <c r="F227" s="4125" t="s">
        <v>2778</v>
      </c>
      <c r="G227" s="4125" t="s">
        <v>28</v>
      </c>
      <c r="H227" s="4125" t="s">
        <v>28</v>
      </c>
      <c r="I227" s="4125" t="s">
        <v>874</v>
      </c>
    </row>
    <row r="228" spans="1:9" ht="11.25" customHeight="1">
      <c r="A228" s="4125" t="s">
        <v>2288</v>
      </c>
      <c r="B228" s="4125" t="s">
        <v>16</v>
      </c>
      <c r="C228" s="4125" t="s">
        <v>2782</v>
      </c>
      <c r="D228" s="4125" t="s">
        <v>2783</v>
      </c>
      <c r="E228" s="4125" t="s">
        <v>2784</v>
      </c>
      <c r="F228" s="4125" t="s">
        <v>2778</v>
      </c>
      <c r="G228" s="4125" t="s">
        <v>28</v>
      </c>
      <c r="H228" s="4125" t="s">
        <v>2785</v>
      </c>
      <c r="I228" s="4125" t="s">
        <v>874</v>
      </c>
    </row>
    <row r="229" spans="1:9" ht="11.25" customHeight="1">
      <c r="A229" s="4125" t="s">
        <v>2288</v>
      </c>
      <c r="B229" s="4125" t="s">
        <v>16</v>
      </c>
      <c r="C229" s="4125" t="s">
        <v>2786</v>
      </c>
      <c r="D229" s="4125" t="s">
        <v>2787</v>
      </c>
      <c r="E229" s="4125" t="s">
        <v>2788</v>
      </c>
      <c r="F229" s="4125" t="s">
        <v>2671</v>
      </c>
      <c r="G229" s="4125" t="s">
        <v>2789</v>
      </c>
      <c r="H229" s="4125" t="s">
        <v>28</v>
      </c>
      <c r="I229" s="4125" t="s">
        <v>874</v>
      </c>
    </row>
    <row r="230" spans="1:9" ht="11.25" customHeight="1">
      <c r="A230" s="4125" t="s">
        <v>2288</v>
      </c>
      <c r="B230" s="4125" t="s">
        <v>16</v>
      </c>
      <c r="C230" s="4125" t="s">
        <v>2790</v>
      </c>
      <c r="D230" s="4125" t="s">
        <v>2791</v>
      </c>
      <c r="E230" s="4125" t="s">
        <v>2792</v>
      </c>
      <c r="F230" s="4125" t="s">
        <v>55</v>
      </c>
      <c r="G230" s="4125" t="s">
        <v>28</v>
      </c>
      <c r="H230" s="4125" t="s">
        <v>2793</v>
      </c>
      <c r="I230" s="4125" t="s">
        <v>874</v>
      </c>
    </row>
    <row r="231" spans="1:9" ht="11.25" customHeight="1">
      <c r="A231" s="4125" t="s">
        <v>2288</v>
      </c>
      <c r="B231" s="4125" t="s">
        <v>16</v>
      </c>
      <c r="C231" s="4125" t="s">
        <v>2553</v>
      </c>
      <c r="D231" s="4125" t="s">
        <v>2554</v>
      </c>
      <c r="E231" s="4125" t="s">
        <v>2555</v>
      </c>
      <c r="F231" s="4125" t="s">
        <v>2372</v>
      </c>
      <c r="G231" s="4125" t="s">
        <v>28</v>
      </c>
      <c r="H231" s="4125" t="s">
        <v>2556</v>
      </c>
      <c r="I231" s="4125" t="s">
        <v>874</v>
      </c>
    </row>
    <row r="232" spans="1:9" ht="11.25" customHeight="1">
      <c r="A232" s="4125" t="s">
        <v>2288</v>
      </c>
      <c r="B232" s="4125" t="s">
        <v>16</v>
      </c>
      <c r="C232" s="4125" t="s">
        <v>2794</v>
      </c>
      <c r="D232" s="4125" t="s">
        <v>2795</v>
      </c>
      <c r="E232" s="4125" t="s">
        <v>2796</v>
      </c>
      <c r="F232" s="4125" t="s">
        <v>55</v>
      </c>
      <c r="G232" s="4125" t="s">
        <v>28</v>
      </c>
      <c r="H232" s="4125" t="s">
        <v>2797</v>
      </c>
      <c r="I232" s="4125" t="s">
        <v>874</v>
      </c>
    </row>
    <row r="233" spans="1:9" ht="11.25" customHeight="1">
      <c r="A233" s="4125" t="s">
        <v>2288</v>
      </c>
      <c r="B233" s="4125" t="s">
        <v>16</v>
      </c>
      <c r="C233" s="4125" t="s">
        <v>2798</v>
      </c>
      <c r="D233" s="4125" t="s">
        <v>2799</v>
      </c>
      <c r="E233" s="4125" t="s">
        <v>2800</v>
      </c>
      <c r="F233" s="4125" t="s">
        <v>2372</v>
      </c>
      <c r="G233" s="4125" t="s">
        <v>2801</v>
      </c>
      <c r="H233" s="4125" t="s">
        <v>28</v>
      </c>
      <c r="I233" s="4125" t="s">
        <v>874</v>
      </c>
    </row>
    <row r="234" spans="1:9" ht="11.25" customHeight="1">
      <c r="A234" s="4125" t="s">
        <v>2288</v>
      </c>
      <c r="B234" s="4125" t="s">
        <v>16</v>
      </c>
      <c r="C234" s="4125" t="s">
        <v>2567</v>
      </c>
      <c r="D234" s="4125" t="s">
        <v>2568</v>
      </c>
      <c r="E234" s="4125" t="s">
        <v>2569</v>
      </c>
      <c r="F234" s="4125" t="s">
        <v>2570</v>
      </c>
      <c r="G234" s="4125" t="s">
        <v>2571</v>
      </c>
      <c r="H234" s="4125" t="s">
        <v>28</v>
      </c>
      <c r="I234" s="4125" t="s">
        <v>874</v>
      </c>
    </row>
    <row r="235" spans="1:9" ht="11.25" customHeight="1">
      <c r="A235" s="4125" t="s">
        <v>2288</v>
      </c>
      <c r="B235" s="4125" t="s">
        <v>16</v>
      </c>
      <c r="C235" s="4125" t="s">
        <v>2572</v>
      </c>
      <c r="D235" s="4125" t="s">
        <v>2573</v>
      </c>
      <c r="E235" s="4125" t="s">
        <v>2574</v>
      </c>
      <c r="F235" s="4125" t="s">
        <v>2372</v>
      </c>
      <c r="G235" s="4125" t="s">
        <v>2575</v>
      </c>
      <c r="H235" s="4125" t="s">
        <v>2576</v>
      </c>
      <c r="I235" s="4125" t="s">
        <v>874</v>
      </c>
    </row>
    <row r="236" spans="1:9" ht="11.25" customHeight="1">
      <c r="A236" s="4125" t="s">
        <v>2288</v>
      </c>
      <c r="B236" s="4125" t="s">
        <v>16</v>
      </c>
      <c r="C236" s="4125" t="s">
        <v>2802</v>
      </c>
      <c r="D236" s="4125" t="s">
        <v>2803</v>
      </c>
      <c r="E236" s="4125" t="s">
        <v>2804</v>
      </c>
      <c r="F236" s="4125" t="s">
        <v>55</v>
      </c>
      <c r="G236" s="4125" t="s">
        <v>2805</v>
      </c>
      <c r="H236" s="4125" t="s">
        <v>2576</v>
      </c>
      <c r="I236" s="4125" t="s">
        <v>874</v>
      </c>
    </row>
    <row r="237" spans="1:9" ht="11.25" customHeight="1">
      <c r="A237" s="4125" t="s">
        <v>2288</v>
      </c>
      <c r="B237" s="4125" t="s">
        <v>16</v>
      </c>
      <c r="C237" s="4125" t="s">
        <v>2806</v>
      </c>
      <c r="D237" s="4125" t="s">
        <v>2807</v>
      </c>
      <c r="E237" s="4125" t="s">
        <v>2808</v>
      </c>
      <c r="F237" s="4125" t="s">
        <v>2526</v>
      </c>
      <c r="G237" s="4125" t="s">
        <v>28</v>
      </c>
      <c r="H237" s="4125" t="s">
        <v>28</v>
      </c>
      <c r="I237" s="4125" t="s">
        <v>874</v>
      </c>
    </row>
    <row r="238" spans="1:9" ht="11.25" customHeight="1">
      <c r="A238" s="4125" t="s">
        <v>2288</v>
      </c>
      <c r="B238" s="4125" t="s">
        <v>16</v>
      </c>
      <c r="C238" s="4125" t="s">
        <v>2809</v>
      </c>
      <c r="D238" s="4125" t="s">
        <v>2810</v>
      </c>
      <c r="E238" s="4125" t="s">
        <v>2811</v>
      </c>
      <c r="F238" s="4125" t="s">
        <v>2619</v>
      </c>
      <c r="G238" s="4125" t="s">
        <v>2812</v>
      </c>
      <c r="H238" s="4125" t="s">
        <v>2813</v>
      </c>
      <c r="I238" s="4125" t="s">
        <v>874</v>
      </c>
    </row>
    <row r="239" spans="1:9" ht="11.25" customHeight="1">
      <c r="A239" s="4125" t="s">
        <v>2288</v>
      </c>
      <c r="B239" s="4125" t="s">
        <v>16</v>
      </c>
      <c r="C239" s="4125" t="s">
        <v>2814</v>
      </c>
      <c r="D239" s="4125" t="s">
        <v>2815</v>
      </c>
      <c r="E239" s="4125" t="s">
        <v>2816</v>
      </c>
      <c r="F239" s="4125" t="s">
        <v>55</v>
      </c>
      <c r="G239" s="4125" t="s">
        <v>2817</v>
      </c>
      <c r="H239" s="4125" t="s">
        <v>2818</v>
      </c>
      <c r="I239" s="4125" t="s">
        <v>874</v>
      </c>
    </row>
    <row r="240" spans="1:9" ht="11.25" customHeight="1">
      <c r="A240" s="4125" t="s">
        <v>2288</v>
      </c>
      <c r="B240" s="4125" t="s">
        <v>16</v>
      </c>
      <c r="C240" s="4125" t="s">
        <v>2587</v>
      </c>
      <c r="D240" s="4125" t="s">
        <v>2588</v>
      </c>
      <c r="E240" s="4125" t="s">
        <v>2589</v>
      </c>
      <c r="F240" s="4125" t="s">
        <v>2482</v>
      </c>
      <c r="G240" s="4125" t="s">
        <v>28</v>
      </c>
      <c r="H240" s="4125" t="s">
        <v>2590</v>
      </c>
      <c r="I240" s="4125" t="s">
        <v>874</v>
      </c>
    </row>
    <row r="241" spans="1:9" ht="11.25" customHeight="1">
      <c r="A241" s="4125" t="s">
        <v>2288</v>
      </c>
      <c r="B241" s="4125" t="s">
        <v>16</v>
      </c>
      <c r="C241" s="4125" t="s">
        <v>2600</v>
      </c>
      <c r="D241" s="4125" t="s">
        <v>2601</v>
      </c>
      <c r="E241" s="4125" t="s">
        <v>2602</v>
      </c>
      <c r="F241" s="4125" t="s">
        <v>2414</v>
      </c>
      <c r="G241" s="4125" t="s">
        <v>2603</v>
      </c>
      <c r="H241" s="4125" t="s">
        <v>28</v>
      </c>
      <c r="I241" s="4125" t="s">
        <v>874</v>
      </c>
    </row>
    <row r="242" spans="1:9" ht="11.25" customHeight="1">
      <c r="A242" s="4125" t="s">
        <v>2288</v>
      </c>
      <c r="B242" s="4125" t="s">
        <v>16</v>
      </c>
      <c r="C242" s="4125" t="s">
        <v>2612</v>
      </c>
      <c r="D242" s="4125" t="s">
        <v>2613</v>
      </c>
      <c r="E242" s="4125" t="s">
        <v>2614</v>
      </c>
      <c r="F242" s="4125" t="s">
        <v>2403</v>
      </c>
      <c r="G242" s="4125" t="s">
        <v>28</v>
      </c>
      <c r="H242" s="4125" t="s">
        <v>2615</v>
      </c>
      <c r="I242" s="4125" t="s">
        <v>874</v>
      </c>
    </row>
    <row r="243" spans="1:9" ht="11.25" customHeight="1">
      <c r="A243" s="4125" t="s">
        <v>2288</v>
      </c>
      <c r="B243" s="4125" t="s">
        <v>16</v>
      </c>
      <c r="C243" s="4125" t="s">
        <v>2620</v>
      </c>
      <c r="D243" s="4125" t="s">
        <v>2621</v>
      </c>
      <c r="E243" s="4125" t="s">
        <v>2622</v>
      </c>
      <c r="F243" s="4125" t="s">
        <v>2372</v>
      </c>
      <c r="G243" s="4125" t="s">
        <v>2623</v>
      </c>
      <c r="H243" s="4125" t="s">
        <v>2624</v>
      </c>
      <c r="I243" s="4125" t="s">
        <v>874</v>
      </c>
    </row>
    <row r="244" spans="1:9" ht="11.25" customHeight="1">
      <c r="A244" s="4125" t="s">
        <v>2288</v>
      </c>
      <c r="B244" s="4125" t="s">
        <v>16</v>
      </c>
      <c r="C244" s="4125" t="s">
        <v>2819</v>
      </c>
      <c r="D244" s="4125" t="s">
        <v>2820</v>
      </c>
      <c r="E244" s="4125" t="s">
        <v>2821</v>
      </c>
      <c r="F244" s="4125" t="s">
        <v>2778</v>
      </c>
      <c r="G244" s="4125" t="s">
        <v>28</v>
      </c>
      <c r="H244" s="4125" t="s">
        <v>2785</v>
      </c>
      <c r="I244" s="4125" t="s">
        <v>874</v>
      </c>
    </row>
    <row r="245" spans="1:9" ht="11.25" customHeight="1">
      <c r="A245" s="4125" t="s">
        <v>2288</v>
      </c>
      <c r="B245" s="4125" t="s">
        <v>16</v>
      </c>
      <c r="C245" s="4125" t="s">
        <v>2822</v>
      </c>
      <c r="D245" s="4125" t="s">
        <v>2823</v>
      </c>
      <c r="E245" s="4125" t="s">
        <v>2824</v>
      </c>
      <c r="F245" s="4125" t="s">
        <v>2300</v>
      </c>
      <c r="G245" s="4125" t="s">
        <v>28</v>
      </c>
      <c r="H245" s="4125" t="s">
        <v>2825</v>
      </c>
      <c r="I245" s="4125" t="s">
        <v>874</v>
      </c>
    </row>
    <row r="246" spans="1:9" ht="11.25" customHeight="1">
      <c r="A246" s="4125" t="s">
        <v>2288</v>
      </c>
      <c r="B246" s="4125" t="s">
        <v>16</v>
      </c>
      <c r="C246" s="4125" t="s">
        <v>2639</v>
      </c>
      <c r="D246" s="4125" t="s">
        <v>2640</v>
      </c>
      <c r="E246" s="4125" t="s">
        <v>2641</v>
      </c>
      <c r="F246" s="4125" t="s">
        <v>2300</v>
      </c>
      <c r="G246" s="4125" t="s">
        <v>2642</v>
      </c>
      <c r="H246" s="4125" t="s">
        <v>2643</v>
      </c>
      <c r="I246" s="4125" t="s">
        <v>874</v>
      </c>
    </row>
    <row r="247" spans="1:9" ht="11.25" customHeight="1">
      <c r="A247" s="4125" t="s">
        <v>2288</v>
      </c>
      <c r="B247" s="4125" t="s">
        <v>16</v>
      </c>
      <c r="C247" s="4125" t="s">
        <v>2644</v>
      </c>
      <c r="D247" s="4125" t="s">
        <v>2645</v>
      </c>
      <c r="E247" s="4125" t="s">
        <v>2646</v>
      </c>
      <c r="F247" s="4125" t="s">
        <v>2647</v>
      </c>
      <c r="G247" s="4125" t="s">
        <v>2648</v>
      </c>
      <c r="H247" s="4125" t="s">
        <v>28</v>
      </c>
      <c r="I247" s="4125" t="s">
        <v>874</v>
      </c>
    </row>
    <row r="248" spans="1:9" ht="11.25" customHeight="1">
      <c r="A248" s="4125" t="s">
        <v>2288</v>
      </c>
      <c r="B248" s="4125" t="s">
        <v>16</v>
      </c>
      <c r="C248" s="4125" t="s">
        <v>2649</v>
      </c>
      <c r="D248" s="4125" t="s">
        <v>2650</v>
      </c>
      <c r="E248" s="4125" t="s">
        <v>2534</v>
      </c>
      <c r="F248" s="4125" t="s">
        <v>2651</v>
      </c>
      <c r="G248" s="4125" t="s">
        <v>28</v>
      </c>
      <c r="H248" s="4125" t="s">
        <v>28</v>
      </c>
      <c r="I248" s="4125" t="s">
        <v>874</v>
      </c>
    </row>
    <row r="249" spans="1:9" ht="11.25" customHeight="1">
      <c r="A249" s="4125" t="s">
        <v>2288</v>
      </c>
      <c r="B249" s="4125" t="s">
        <v>16</v>
      </c>
      <c r="C249" s="4125" t="s">
        <v>2655</v>
      </c>
      <c r="D249" s="4125" t="s">
        <v>2656</v>
      </c>
      <c r="E249" s="4125" t="s">
        <v>2646</v>
      </c>
      <c r="F249" s="4125" t="s">
        <v>2657</v>
      </c>
      <c r="G249" s="4125" t="s">
        <v>2658</v>
      </c>
      <c r="H249" s="4125" t="s">
        <v>28</v>
      </c>
      <c r="I249" s="4125" t="s">
        <v>874</v>
      </c>
    </row>
    <row r="250" spans="1:9" ht="11.25" customHeight="1">
      <c r="A250" s="4125" t="s">
        <v>2288</v>
      </c>
      <c r="B250" s="4125" t="s">
        <v>16</v>
      </c>
      <c r="C250" s="4125" t="s">
        <v>2659</v>
      </c>
      <c r="D250" s="4125" t="s">
        <v>2660</v>
      </c>
      <c r="E250" s="4125" t="s">
        <v>2661</v>
      </c>
      <c r="F250" s="4125" t="s">
        <v>2300</v>
      </c>
      <c r="G250" s="4125" t="s">
        <v>2662</v>
      </c>
      <c r="H250" s="4125" t="s">
        <v>2663</v>
      </c>
      <c r="I250" s="4125" t="s">
        <v>874</v>
      </c>
    </row>
    <row r="251" spans="1:9" ht="11.25" customHeight="1">
      <c r="A251" s="4125" t="s">
        <v>2288</v>
      </c>
      <c r="B251" s="4125" t="s">
        <v>16</v>
      </c>
      <c r="C251" s="4125" t="s">
        <v>2664</v>
      </c>
      <c r="D251" s="4125" t="s">
        <v>2665</v>
      </c>
      <c r="E251" s="4125" t="s">
        <v>2666</v>
      </c>
      <c r="F251" s="4125" t="s">
        <v>2667</v>
      </c>
      <c r="G251" s="4125" t="s">
        <v>28</v>
      </c>
      <c r="H251" s="4125" t="s">
        <v>28</v>
      </c>
      <c r="I251" s="4125" t="s">
        <v>874</v>
      </c>
    </row>
    <row r="252" spans="1:9" ht="11.25" customHeight="1">
      <c r="A252" s="4125" t="s">
        <v>2288</v>
      </c>
      <c r="B252" s="4125" t="s">
        <v>16</v>
      </c>
      <c r="C252" s="4125" t="s">
        <v>2681</v>
      </c>
      <c r="D252" s="4125" t="s">
        <v>2682</v>
      </c>
      <c r="E252" s="4125" t="s">
        <v>2683</v>
      </c>
      <c r="F252" s="4125" t="s">
        <v>2540</v>
      </c>
      <c r="G252" s="4125" t="s">
        <v>28</v>
      </c>
      <c r="H252" s="4125" t="s">
        <v>28</v>
      </c>
      <c r="I252" s="4125" t="s">
        <v>874</v>
      </c>
    </row>
    <row r="253" spans="1:9" ht="11.25" customHeight="1">
      <c r="A253" s="4125" t="s">
        <v>2288</v>
      </c>
      <c r="B253" s="4125" t="s">
        <v>16</v>
      </c>
      <c r="C253" s="4125" t="s">
        <v>2826</v>
      </c>
      <c r="D253" s="4125" t="s">
        <v>2827</v>
      </c>
      <c r="E253" s="4125" t="s">
        <v>2828</v>
      </c>
      <c r="F253" s="4125" t="s">
        <v>2667</v>
      </c>
      <c r="G253" s="4125" t="s">
        <v>2829</v>
      </c>
      <c r="H253" s="4125" t="s">
        <v>28</v>
      </c>
      <c r="I253" s="4125" t="s">
        <v>927</v>
      </c>
    </row>
    <row r="254" spans="1:9" ht="11.25" customHeight="1">
      <c r="A254" s="4125" t="s">
        <v>2288</v>
      </c>
      <c r="B254" s="4125" t="s">
        <v>16</v>
      </c>
      <c r="C254" s="4125" t="s">
        <v>2294</v>
      </c>
      <c r="D254" s="4125" t="s">
        <v>2290</v>
      </c>
      <c r="E254" s="4125" t="s">
        <v>2291</v>
      </c>
      <c r="F254" s="4125" t="s">
        <v>2295</v>
      </c>
      <c r="G254" s="4125" t="s">
        <v>2296</v>
      </c>
      <c r="H254" s="4125" t="s">
        <v>28</v>
      </c>
      <c r="I254" s="4125" t="s">
        <v>927</v>
      </c>
    </row>
    <row r="255" spans="1:9" ht="11.25" customHeight="1">
      <c r="A255" s="4125" t="s">
        <v>2288</v>
      </c>
      <c r="B255" s="4125" t="s">
        <v>16</v>
      </c>
      <c r="C255" s="4125" t="s">
        <v>2694</v>
      </c>
      <c r="D255" s="4125" t="s">
        <v>2695</v>
      </c>
      <c r="E255" s="4125" t="s">
        <v>2696</v>
      </c>
      <c r="F255" s="4125" t="s">
        <v>2353</v>
      </c>
      <c r="G255" s="4125" t="s">
        <v>2697</v>
      </c>
      <c r="H255" s="4125" t="s">
        <v>28</v>
      </c>
      <c r="I255" s="4125" t="s">
        <v>927</v>
      </c>
    </row>
    <row r="256" spans="1:9" ht="11.25" customHeight="1">
      <c r="A256" s="4125" t="s">
        <v>2288</v>
      </c>
      <c r="B256" s="4125" t="s">
        <v>16</v>
      </c>
      <c r="C256" s="4125" t="s">
        <v>2297</v>
      </c>
      <c r="D256" s="4125" t="s">
        <v>2298</v>
      </c>
      <c r="E256" s="4125" t="s">
        <v>2299</v>
      </c>
      <c r="F256" s="4125" t="s">
        <v>2300</v>
      </c>
      <c r="G256" s="4125" t="s">
        <v>28</v>
      </c>
      <c r="H256" s="4125" t="s">
        <v>28</v>
      </c>
      <c r="I256" s="4125" t="s">
        <v>927</v>
      </c>
    </row>
    <row r="257" spans="1:9" ht="11.25" customHeight="1">
      <c r="A257" s="4125" t="s">
        <v>2288</v>
      </c>
      <c r="B257" s="4125" t="s">
        <v>16</v>
      </c>
      <c r="C257" s="4125" t="s">
        <v>2698</v>
      </c>
      <c r="D257" s="4125" t="s">
        <v>2699</v>
      </c>
      <c r="E257" s="4125" t="s">
        <v>2700</v>
      </c>
      <c r="F257" s="4125" t="s">
        <v>2300</v>
      </c>
      <c r="G257" s="4125" t="s">
        <v>2701</v>
      </c>
      <c r="H257" s="4125" t="s">
        <v>28</v>
      </c>
      <c r="I257" s="4125" t="s">
        <v>927</v>
      </c>
    </row>
    <row r="258" spans="1:9" ht="11.25" customHeight="1">
      <c r="A258" s="4125" t="s">
        <v>2288</v>
      </c>
      <c r="B258" s="4125" t="s">
        <v>16</v>
      </c>
      <c r="C258" s="4125" t="s">
        <v>2309</v>
      </c>
      <c r="D258" s="4125" t="s">
        <v>2310</v>
      </c>
      <c r="E258" s="4125" t="s">
        <v>2311</v>
      </c>
      <c r="F258" s="4125" t="s">
        <v>2308</v>
      </c>
      <c r="G258" s="4125" t="s">
        <v>2312</v>
      </c>
      <c r="H258" s="4125" t="s">
        <v>28</v>
      </c>
      <c r="I258" s="4125" t="s">
        <v>927</v>
      </c>
    </row>
    <row r="259" spans="1:9" ht="11.25" customHeight="1">
      <c r="A259" s="4125" t="s">
        <v>2288</v>
      </c>
      <c r="B259" s="4125" t="s">
        <v>16</v>
      </c>
      <c r="C259" s="4125" t="s">
        <v>2702</v>
      </c>
      <c r="D259" s="4125" t="s">
        <v>2703</v>
      </c>
      <c r="E259" s="4125" t="s">
        <v>2704</v>
      </c>
      <c r="F259" s="4125" t="s">
        <v>2316</v>
      </c>
      <c r="G259" s="4125" t="s">
        <v>2705</v>
      </c>
      <c r="H259" s="4125" t="s">
        <v>28</v>
      </c>
      <c r="I259" s="4125" t="s">
        <v>927</v>
      </c>
    </row>
    <row r="260" spans="1:9" ht="11.25" customHeight="1">
      <c r="A260" s="4125" t="s">
        <v>2288</v>
      </c>
      <c r="B260" s="4125" t="s">
        <v>16</v>
      </c>
      <c r="C260" s="4125" t="s">
        <v>2320</v>
      </c>
      <c r="D260" s="4125" t="s">
        <v>2321</v>
      </c>
      <c r="E260" s="4125" t="s">
        <v>2322</v>
      </c>
      <c r="F260" s="4125" t="s">
        <v>55</v>
      </c>
      <c r="G260" s="4125" t="s">
        <v>2323</v>
      </c>
      <c r="H260" s="4125" t="s">
        <v>28</v>
      </c>
      <c r="I260" s="4125" t="s">
        <v>927</v>
      </c>
    </row>
    <row r="261" spans="1:9" ht="11.25" customHeight="1">
      <c r="A261" s="4125" t="s">
        <v>2288</v>
      </c>
      <c r="B261" s="4125" t="s">
        <v>16</v>
      </c>
      <c r="C261" s="4125" t="s">
        <v>2328</v>
      </c>
      <c r="D261" s="4125" t="s">
        <v>2329</v>
      </c>
      <c r="E261" s="4125" t="s">
        <v>2330</v>
      </c>
      <c r="F261" s="4125" t="s">
        <v>2331</v>
      </c>
      <c r="G261" s="4125" t="s">
        <v>2332</v>
      </c>
      <c r="H261" s="4125" t="s">
        <v>28</v>
      </c>
      <c r="I261" s="4125" t="s">
        <v>927</v>
      </c>
    </row>
    <row r="262" spans="1:9" ht="11.25" customHeight="1">
      <c r="A262" s="4125" t="s">
        <v>2288</v>
      </c>
      <c r="B262" s="4125" t="s">
        <v>16</v>
      </c>
      <c r="C262" s="4125" t="s">
        <v>2706</v>
      </c>
      <c r="D262" s="4125" t="s">
        <v>2707</v>
      </c>
      <c r="E262" s="4125" t="s">
        <v>2344</v>
      </c>
      <c r="F262" s="4125" t="s">
        <v>2676</v>
      </c>
      <c r="G262" s="4125" t="s">
        <v>2708</v>
      </c>
      <c r="H262" s="4125" t="s">
        <v>28</v>
      </c>
      <c r="I262" s="4125" t="s">
        <v>927</v>
      </c>
    </row>
    <row r="263" spans="1:9" ht="11.25" customHeight="1">
      <c r="A263" s="4125" t="s">
        <v>2288</v>
      </c>
      <c r="B263" s="4125" t="s">
        <v>16</v>
      </c>
      <c r="C263" s="4125" t="s">
        <v>2346</v>
      </c>
      <c r="D263" s="4125" t="s">
        <v>2347</v>
      </c>
      <c r="E263" s="4125" t="s">
        <v>2348</v>
      </c>
      <c r="F263" s="4125" t="s">
        <v>55</v>
      </c>
      <c r="G263" s="4125" t="s">
        <v>2349</v>
      </c>
      <c r="H263" s="4125" t="s">
        <v>28</v>
      </c>
      <c r="I263" s="4125" t="s">
        <v>927</v>
      </c>
    </row>
    <row r="264" spans="1:9" ht="11.25" customHeight="1">
      <c r="A264" s="4125" t="s">
        <v>2288</v>
      </c>
      <c r="B264" s="4125" t="s">
        <v>16</v>
      </c>
      <c r="C264" s="4125" t="s">
        <v>2709</v>
      </c>
      <c r="D264" s="4125" t="s">
        <v>2710</v>
      </c>
      <c r="E264" s="4125" t="s">
        <v>2711</v>
      </c>
      <c r="F264" s="4125" t="s">
        <v>2372</v>
      </c>
      <c r="G264" s="4125" t="s">
        <v>2712</v>
      </c>
      <c r="H264" s="4125" t="s">
        <v>28</v>
      </c>
      <c r="I264" s="4125" t="s">
        <v>927</v>
      </c>
    </row>
    <row r="265" spans="1:9" ht="11.25" customHeight="1">
      <c r="A265" s="4125" t="s">
        <v>2288</v>
      </c>
      <c r="B265" s="4125" t="s">
        <v>16</v>
      </c>
      <c r="C265" s="4125" t="s">
        <v>2357</v>
      </c>
      <c r="D265" s="4125" t="s">
        <v>2358</v>
      </c>
      <c r="E265" s="4125" t="s">
        <v>2359</v>
      </c>
      <c r="F265" s="4125" t="s">
        <v>55</v>
      </c>
      <c r="G265" s="4125" t="s">
        <v>2360</v>
      </c>
      <c r="H265" s="4125" t="s">
        <v>28</v>
      </c>
      <c r="I265" s="4125" t="s">
        <v>927</v>
      </c>
    </row>
    <row r="266" spans="1:9" ht="11.25" customHeight="1">
      <c r="A266" s="4125" t="s">
        <v>2288</v>
      </c>
      <c r="B266" s="4125" t="s">
        <v>16</v>
      </c>
      <c r="C266" s="4125" t="s">
        <v>2713</v>
      </c>
      <c r="D266" s="4125" t="s">
        <v>2714</v>
      </c>
      <c r="E266" s="4125" t="s">
        <v>2715</v>
      </c>
      <c r="F266" s="4125" t="s">
        <v>2331</v>
      </c>
      <c r="G266" s="4125" t="s">
        <v>2716</v>
      </c>
      <c r="H266" s="4125" t="s">
        <v>2717</v>
      </c>
      <c r="I266" s="4125" t="s">
        <v>927</v>
      </c>
    </row>
    <row r="267" spans="1:9" ht="11.25" customHeight="1">
      <c r="A267" s="4125" t="s">
        <v>2288</v>
      </c>
      <c r="B267" s="4125" t="s">
        <v>16</v>
      </c>
      <c r="C267" s="4125" t="s">
        <v>2365</v>
      </c>
      <c r="D267" s="4125" t="s">
        <v>2366</v>
      </c>
      <c r="E267" s="4125" t="s">
        <v>2367</v>
      </c>
      <c r="F267" s="4125" t="s">
        <v>2368</v>
      </c>
      <c r="G267" s="4125" t="s">
        <v>28</v>
      </c>
      <c r="H267" s="4125" t="s">
        <v>28</v>
      </c>
      <c r="I267" s="4125" t="s">
        <v>927</v>
      </c>
    </row>
    <row r="268" spans="1:9" ht="11.25" customHeight="1">
      <c r="A268" s="4125" t="s">
        <v>2288</v>
      </c>
      <c r="B268" s="4125" t="s">
        <v>16</v>
      </c>
      <c r="C268" s="4125" t="s">
        <v>2369</v>
      </c>
      <c r="D268" s="4125" t="s">
        <v>2370</v>
      </c>
      <c r="E268" s="4125" t="s">
        <v>2371</v>
      </c>
      <c r="F268" s="4125" t="s">
        <v>2372</v>
      </c>
      <c r="G268" s="4125" t="s">
        <v>2373</v>
      </c>
      <c r="H268" s="4125" t="s">
        <v>2374</v>
      </c>
      <c r="I268" s="4125" t="s">
        <v>927</v>
      </c>
    </row>
    <row r="269" spans="1:9" ht="11.25" customHeight="1">
      <c r="A269" s="4125" t="s">
        <v>2288</v>
      </c>
      <c r="B269" s="4125" t="s">
        <v>16</v>
      </c>
      <c r="C269" s="4125" t="s">
        <v>28</v>
      </c>
      <c r="D269" s="4125" t="s">
        <v>2375</v>
      </c>
      <c r="E269" s="4125" t="s">
        <v>2376</v>
      </c>
      <c r="F269" s="4125" t="s">
        <v>55</v>
      </c>
      <c r="G269" s="4125" t="s">
        <v>28</v>
      </c>
      <c r="H269" s="4125" t="s">
        <v>28</v>
      </c>
      <c r="I269" s="4125" t="s">
        <v>927</v>
      </c>
    </row>
    <row r="270" spans="1:9" ht="11.25" customHeight="1">
      <c r="A270" s="4125" t="s">
        <v>2288</v>
      </c>
      <c r="B270" s="4125" t="s">
        <v>16</v>
      </c>
      <c r="C270" s="4125" t="s">
        <v>2718</v>
      </c>
      <c r="D270" s="4125" t="s">
        <v>2719</v>
      </c>
      <c r="E270" s="4125" t="s">
        <v>2720</v>
      </c>
      <c r="F270" s="4125" t="s">
        <v>2384</v>
      </c>
      <c r="G270" s="4125" t="s">
        <v>2721</v>
      </c>
      <c r="H270" s="4125" t="s">
        <v>2722</v>
      </c>
      <c r="I270" s="4125" t="s">
        <v>927</v>
      </c>
    </row>
    <row r="271" spans="1:9" ht="11.25" customHeight="1">
      <c r="A271" s="4125" t="s">
        <v>2288</v>
      </c>
      <c r="B271" s="4125" t="s">
        <v>16</v>
      </c>
      <c r="C271" s="4125" t="s">
        <v>2381</v>
      </c>
      <c r="D271" s="4125" t="s">
        <v>2382</v>
      </c>
      <c r="E271" s="4125" t="s">
        <v>2383</v>
      </c>
      <c r="F271" s="4125" t="s">
        <v>2384</v>
      </c>
      <c r="G271" s="4125" t="s">
        <v>28</v>
      </c>
      <c r="H271" s="4125" t="s">
        <v>28</v>
      </c>
      <c r="I271" s="4125" t="s">
        <v>927</v>
      </c>
    </row>
    <row r="272" spans="1:9" ht="11.25" customHeight="1">
      <c r="A272" s="4125" t="s">
        <v>2288</v>
      </c>
      <c r="B272" s="4125" t="s">
        <v>16</v>
      </c>
      <c r="C272" s="4125" t="s">
        <v>2385</v>
      </c>
      <c r="D272" s="4125" t="s">
        <v>2386</v>
      </c>
      <c r="E272" s="4125" t="s">
        <v>2387</v>
      </c>
      <c r="F272" s="4125" t="s">
        <v>2300</v>
      </c>
      <c r="G272" s="4125" t="s">
        <v>28</v>
      </c>
      <c r="H272" s="4125" t="s">
        <v>28</v>
      </c>
      <c r="I272" s="4125" t="s">
        <v>927</v>
      </c>
    </row>
    <row r="273" spans="1:9" ht="11.25" customHeight="1">
      <c r="A273" s="4125" t="s">
        <v>2288</v>
      </c>
      <c r="B273" s="4125" t="s">
        <v>16</v>
      </c>
      <c r="C273" s="4125" t="s">
        <v>2689</v>
      </c>
      <c r="D273" s="4125" t="s">
        <v>2690</v>
      </c>
      <c r="E273" s="4125" t="s">
        <v>2691</v>
      </c>
      <c r="F273" s="4125" t="s">
        <v>2300</v>
      </c>
      <c r="G273" s="4125" t="s">
        <v>2692</v>
      </c>
      <c r="H273" s="4125" t="s">
        <v>2693</v>
      </c>
      <c r="I273" s="4125" t="s">
        <v>927</v>
      </c>
    </row>
    <row r="274" spans="1:9" ht="11.25" customHeight="1">
      <c r="A274" s="4125" t="s">
        <v>2288</v>
      </c>
      <c r="B274" s="4125" t="s">
        <v>16</v>
      </c>
      <c r="C274" s="4125" t="s">
        <v>2388</v>
      </c>
      <c r="D274" s="4125" t="s">
        <v>2389</v>
      </c>
      <c r="E274" s="4125" t="s">
        <v>2390</v>
      </c>
      <c r="F274" s="4125" t="s">
        <v>2384</v>
      </c>
      <c r="G274" s="4125" t="s">
        <v>2391</v>
      </c>
      <c r="H274" s="4125" t="s">
        <v>28</v>
      </c>
      <c r="I274" s="4125" t="s">
        <v>927</v>
      </c>
    </row>
    <row r="275" spans="1:9" ht="11.25" customHeight="1">
      <c r="A275" s="4125" t="s">
        <v>2288</v>
      </c>
      <c r="B275" s="4125" t="s">
        <v>16</v>
      </c>
      <c r="C275" s="4125" t="s">
        <v>2392</v>
      </c>
      <c r="D275" s="4125" t="s">
        <v>2393</v>
      </c>
      <c r="E275" s="4125" t="s">
        <v>2394</v>
      </c>
      <c r="F275" s="4125" t="s">
        <v>2384</v>
      </c>
      <c r="G275" s="4125" t="s">
        <v>2395</v>
      </c>
      <c r="H275" s="4125" t="s">
        <v>28</v>
      </c>
      <c r="I275" s="4125" t="s">
        <v>927</v>
      </c>
    </row>
    <row r="276" spans="1:9" ht="11.25" customHeight="1">
      <c r="A276" s="4125" t="s">
        <v>2288</v>
      </c>
      <c r="B276" s="4125" t="s">
        <v>16</v>
      </c>
      <c r="C276" s="4125" t="s">
        <v>2396</v>
      </c>
      <c r="D276" s="4125" t="s">
        <v>2397</v>
      </c>
      <c r="E276" s="4125" t="s">
        <v>2398</v>
      </c>
      <c r="F276" s="4125" t="s">
        <v>2372</v>
      </c>
      <c r="G276" s="4125" t="s">
        <v>2399</v>
      </c>
      <c r="H276" s="4125" t="s">
        <v>28</v>
      </c>
      <c r="I276" s="4125" t="s">
        <v>927</v>
      </c>
    </row>
    <row r="277" spans="1:9" ht="11.25" customHeight="1">
      <c r="A277" s="4125" t="s">
        <v>2288</v>
      </c>
      <c r="B277" s="4125" t="s">
        <v>16</v>
      </c>
      <c r="C277" s="4125" t="s">
        <v>2400</v>
      </c>
      <c r="D277" s="4125" t="s">
        <v>2401</v>
      </c>
      <c r="E277" s="4125" t="s">
        <v>2402</v>
      </c>
      <c r="F277" s="4125" t="s">
        <v>2403</v>
      </c>
      <c r="G277" s="4125" t="s">
        <v>28</v>
      </c>
      <c r="H277" s="4125" t="s">
        <v>28</v>
      </c>
      <c r="I277" s="4125" t="s">
        <v>927</v>
      </c>
    </row>
    <row r="278" spans="1:9" ht="11.25" customHeight="1">
      <c r="A278" s="4125" t="s">
        <v>2288</v>
      </c>
      <c r="B278" s="4125" t="s">
        <v>16</v>
      </c>
      <c r="C278" s="4125" t="s">
        <v>2726</v>
      </c>
      <c r="D278" s="4125" t="s">
        <v>2727</v>
      </c>
      <c r="E278" s="4125" t="s">
        <v>2728</v>
      </c>
      <c r="F278" s="4125" t="s">
        <v>2384</v>
      </c>
      <c r="G278" s="4125" t="s">
        <v>2729</v>
      </c>
      <c r="H278" s="4125" t="s">
        <v>2730</v>
      </c>
      <c r="I278" s="4125" t="s">
        <v>927</v>
      </c>
    </row>
    <row r="279" spans="1:9" ht="11.25" customHeight="1">
      <c r="A279" s="4125" t="s">
        <v>2288</v>
      </c>
      <c r="B279" s="4125" t="s">
        <v>16</v>
      </c>
      <c r="C279" s="4125" t="s">
        <v>2731</v>
      </c>
      <c r="D279" s="4125" t="s">
        <v>2732</v>
      </c>
      <c r="E279" s="4125" t="s">
        <v>2733</v>
      </c>
      <c r="F279" s="4125" t="s">
        <v>2734</v>
      </c>
      <c r="G279" s="4125" t="s">
        <v>28</v>
      </c>
      <c r="H279" s="4125" t="s">
        <v>28</v>
      </c>
      <c r="I279" s="4125" t="s">
        <v>927</v>
      </c>
    </row>
    <row r="280" spans="1:9" ht="11.25" customHeight="1">
      <c r="A280" s="4125" t="s">
        <v>2288</v>
      </c>
      <c r="B280" s="4125" t="s">
        <v>16</v>
      </c>
      <c r="C280" s="4125" t="s">
        <v>2411</v>
      </c>
      <c r="D280" s="4125" t="s">
        <v>2412</v>
      </c>
      <c r="E280" s="4125" t="s">
        <v>2413</v>
      </c>
      <c r="F280" s="4125" t="s">
        <v>2414</v>
      </c>
      <c r="G280" s="4125" t="s">
        <v>28</v>
      </c>
      <c r="H280" s="4125" t="s">
        <v>28</v>
      </c>
      <c r="I280" s="4125" t="s">
        <v>927</v>
      </c>
    </row>
    <row r="281" spans="1:9" ht="11.25" customHeight="1">
      <c r="A281" s="4125" t="s">
        <v>2288</v>
      </c>
      <c r="B281" s="4125" t="s">
        <v>16</v>
      </c>
      <c r="C281" s="4125" t="s">
        <v>2415</v>
      </c>
      <c r="D281" s="4125" t="s">
        <v>2416</v>
      </c>
      <c r="E281" s="4125" t="s">
        <v>2417</v>
      </c>
      <c r="F281" s="4125" t="s">
        <v>2300</v>
      </c>
      <c r="G281" s="4125" t="s">
        <v>28</v>
      </c>
      <c r="H281" s="4125" t="s">
        <v>2418</v>
      </c>
      <c r="I281" s="4125" t="s">
        <v>927</v>
      </c>
    </row>
    <row r="282" spans="1:9" ht="11.25" customHeight="1">
      <c r="A282" s="4125" t="s">
        <v>2288</v>
      </c>
      <c r="B282" s="4125" t="s">
        <v>16</v>
      </c>
      <c r="C282" s="4125" t="s">
        <v>2419</v>
      </c>
      <c r="D282" s="4125" t="s">
        <v>2420</v>
      </c>
      <c r="E282" s="4125" t="s">
        <v>2421</v>
      </c>
      <c r="F282" s="4125" t="s">
        <v>2300</v>
      </c>
      <c r="G282" s="4125" t="s">
        <v>28</v>
      </c>
      <c r="H282" s="4125" t="s">
        <v>28</v>
      </c>
      <c r="I282" s="4125" t="s">
        <v>927</v>
      </c>
    </row>
    <row r="283" spans="1:9" ht="11.25" customHeight="1">
      <c r="A283" s="4125" t="s">
        <v>2288</v>
      </c>
      <c r="B283" s="4125" t="s">
        <v>16</v>
      </c>
      <c r="C283" s="4125" t="s">
        <v>2735</v>
      </c>
      <c r="D283" s="4125" t="s">
        <v>2736</v>
      </c>
      <c r="E283" s="4125" t="s">
        <v>2737</v>
      </c>
      <c r="F283" s="4125" t="s">
        <v>2414</v>
      </c>
      <c r="G283" s="4125" t="s">
        <v>2738</v>
      </c>
      <c r="H283" s="4125" t="s">
        <v>2739</v>
      </c>
      <c r="I283" s="4125" t="s">
        <v>927</v>
      </c>
    </row>
    <row r="284" spans="1:9" ht="11.25" customHeight="1">
      <c r="A284" s="4125" t="s">
        <v>2288</v>
      </c>
      <c r="B284" s="4125" t="s">
        <v>16</v>
      </c>
      <c r="C284" s="4125" t="s">
        <v>2426</v>
      </c>
      <c r="D284" s="4125" t="s">
        <v>2427</v>
      </c>
      <c r="E284" s="4125" t="s">
        <v>2428</v>
      </c>
      <c r="F284" s="4125" t="s">
        <v>2300</v>
      </c>
      <c r="G284" s="4125" t="s">
        <v>2429</v>
      </c>
      <c r="H284" s="4125" t="s">
        <v>2430</v>
      </c>
      <c r="I284" s="4125" t="s">
        <v>927</v>
      </c>
    </row>
    <row r="285" spans="1:9" ht="11.25" customHeight="1">
      <c r="A285" s="4125" t="s">
        <v>2288</v>
      </c>
      <c r="B285" s="4125" t="s">
        <v>16</v>
      </c>
      <c r="C285" s="4125" t="s">
        <v>2431</v>
      </c>
      <c r="D285" s="4125" t="s">
        <v>2432</v>
      </c>
      <c r="E285" s="4125" t="s">
        <v>2433</v>
      </c>
      <c r="F285" s="4125" t="s">
        <v>2300</v>
      </c>
      <c r="G285" s="4125" t="s">
        <v>28</v>
      </c>
      <c r="H285" s="4125" t="s">
        <v>2434</v>
      </c>
      <c r="I285" s="4125" t="s">
        <v>927</v>
      </c>
    </row>
    <row r="286" spans="1:9" ht="11.25" customHeight="1">
      <c r="A286" s="4125" t="s">
        <v>2288</v>
      </c>
      <c r="B286" s="4125" t="s">
        <v>16</v>
      </c>
      <c r="C286" s="4125" t="s">
        <v>2438</v>
      </c>
      <c r="D286" s="4125" t="s">
        <v>2439</v>
      </c>
      <c r="E286" s="4125" t="s">
        <v>2440</v>
      </c>
      <c r="F286" s="4125" t="s">
        <v>2300</v>
      </c>
      <c r="G286" s="4125" t="s">
        <v>2441</v>
      </c>
      <c r="H286" s="4125" t="s">
        <v>2442</v>
      </c>
      <c r="I286" s="4125" t="s">
        <v>927</v>
      </c>
    </row>
    <row r="287" spans="1:9" ht="11.25" customHeight="1">
      <c r="A287" s="4125" t="s">
        <v>2288</v>
      </c>
      <c r="B287" s="4125" t="s">
        <v>16</v>
      </c>
      <c r="C287" s="4125" t="s">
        <v>2443</v>
      </c>
      <c r="D287" s="4125" t="s">
        <v>2444</v>
      </c>
      <c r="E287" s="4125" t="s">
        <v>2445</v>
      </c>
      <c r="F287" s="4125" t="s">
        <v>2372</v>
      </c>
      <c r="G287" s="4125" t="s">
        <v>28</v>
      </c>
      <c r="H287" s="4125" t="s">
        <v>28</v>
      </c>
      <c r="I287" s="4125" t="s">
        <v>927</v>
      </c>
    </row>
    <row r="288" spans="1:9" ht="11.25" customHeight="1">
      <c r="A288" s="4125" t="s">
        <v>2288</v>
      </c>
      <c r="B288" s="4125" t="s">
        <v>16</v>
      </c>
      <c r="C288" s="4125" t="s">
        <v>2446</v>
      </c>
      <c r="D288" s="4125" t="s">
        <v>2447</v>
      </c>
      <c r="E288" s="4125" t="s">
        <v>2448</v>
      </c>
      <c r="F288" s="4125" t="s">
        <v>2331</v>
      </c>
      <c r="G288" s="4125" t="s">
        <v>28</v>
      </c>
      <c r="H288" s="4125" t="s">
        <v>2449</v>
      </c>
      <c r="I288" s="4125" t="s">
        <v>927</v>
      </c>
    </row>
    <row r="289" spans="1:9" ht="11.25" customHeight="1">
      <c r="A289" s="4125" t="s">
        <v>2288</v>
      </c>
      <c r="B289" s="4125" t="s">
        <v>16</v>
      </c>
      <c r="C289" s="4125" t="s">
        <v>2450</v>
      </c>
      <c r="D289" s="4125" t="s">
        <v>2451</v>
      </c>
      <c r="E289" s="4125" t="s">
        <v>2452</v>
      </c>
      <c r="F289" s="4125" t="s">
        <v>2372</v>
      </c>
      <c r="G289" s="4125" t="s">
        <v>2453</v>
      </c>
      <c r="H289" s="4125" t="s">
        <v>28</v>
      </c>
      <c r="I289" s="4125" t="s">
        <v>927</v>
      </c>
    </row>
    <row r="290" spans="1:9" ht="11.25" customHeight="1">
      <c r="A290" s="4125" t="s">
        <v>2288</v>
      </c>
      <c r="B290" s="4125" t="s">
        <v>16</v>
      </c>
      <c r="C290" s="4125" t="s">
        <v>2740</v>
      </c>
      <c r="D290" s="4125" t="s">
        <v>2741</v>
      </c>
      <c r="E290" s="4125" t="s">
        <v>2742</v>
      </c>
      <c r="F290" s="4125" t="s">
        <v>2526</v>
      </c>
      <c r="G290" s="4125" t="s">
        <v>2743</v>
      </c>
      <c r="H290" s="4125" t="s">
        <v>28</v>
      </c>
      <c r="I290" s="4125" t="s">
        <v>927</v>
      </c>
    </row>
    <row r="291" spans="1:9" ht="11.25" customHeight="1">
      <c r="A291" s="4125" t="s">
        <v>2288</v>
      </c>
      <c r="B291" s="4125" t="s">
        <v>16</v>
      </c>
      <c r="C291" s="4125" t="s">
        <v>2744</v>
      </c>
      <c r="D291" s="4125" t="s">
        <v>2745</v>
      </c>
      <c r="E291" s="4125" t="s">
        <v>2746</v>
      </c>
      <c r="F291" s="4125" t="s">
        <v>2384</v>
      </c>
      <c r="G291" s="4125" t="s">
        <v>28</v>
      </c>
      <c r="H291" s="4125" t="s">
        <v>28</v>
      </c>
      <c r="I291" s="4125" t="s">
        <v>927</v>
      </c>
    </row>
    <row r="292" spans="1:9" ht="11.25" customHeight="1">
      <c r="A292" s="4125" t="s">
        <v>2288</v>
      </c>
      <c r="B292" s="4125" t="s">
        <v>16</v>
      </c>
      <c r="C292" s="4125" t="s">
        <v>2747</v>
      </c>
      <c r="D292" s="4125" t="s">
        <v>2748</v>
      </c>
      <c r="E292" s="4125" t="s">
        <v>2749</v>
      </c>
      <c r="F292" s="4125" t="s">
        <v>2372</v>
      </c>
      <c r="G292" s="4125" t="s">
        <v>28</v>
      </c>
      <c r="H292" s="4125" t="s">
        <v>2750</v>
      </c>
      <c r="I292" s="4125" t="s">
        <v>927</v>
      </c>
    </row>
    <row r="293" spans="1:9" ht="11.25" customHeight="1">
      <c r="A293" s="4125" t="s">
        <v>2288</v>
      </c>
      <c r="B293" s="4125" t="s">
        <v>16</v>
      </c>
      <c r="C293" s="4125" t="s">
        <v>2458</v>
      </c>
      <c r="D293" s="4125" t="s">
        <v>2459</v>
      </c>
      <c r="E293" s="4125" t="s">
        <v>2460</v>
      </c>
      <c r="F293" s="4125" t="s">
        <v>2300</v>
      </c>
      <c r="G293" s="4125" t="s">
        <v>28</v>
      </c>
      <c r="H293" s="4125" t="s">
        <v>2461</v>
      </c>
      <c r="I293" s="4125" t="s">
        <v>927</v>
      </c>
    </row>
    <row r="294" spans="1:9" ht="11.25" customHeight="1">
      <c r="A294" s="4125" t="s">
        <v>2288</v>
      </c>
      <c r="B294" s="4125" t="s">
        <v>16</v>
      </c>
      <c r="C294" s="4125" t="s">
        <v>2462</v>
      </c>
      <c r="D294" s="4125" t="s">
        <v>2463</v>
      </c>
      <c r="E294" s="4125" t="s">
        <v>2464</v>
      </c>
      <c r="F294" s="4125" t="s">
        <v>2300</v>
      </c>
      <c r="G294" s="4125" t="s">
        <v>28</v>
      </c>
      <c r="H294" s="4125" t="s">
        <v>2465</v>
      </c>
      <c r="I294" s="4125" t="s">
        <v>927</v>
      </c>
    </row>
    <row r="295" spans="1:9" ht="11.25" customHeight="1">
      <c r="A295" s="4125" t="s">
        <v>2288</v>
      </c>
      <c r="B295" s="4125" t="s">
        <v>16</v>
      </c>
      <c r="C295" s="4125" t="s">
        <v>2751</v>
      </c>
      <c r="D295" s="4125" t="s">
        <v>2752</v>
      </c>
      <c r="E295" s="4125" t="s">
        <v>2753</v>
      </c>
      <c r="F295" s="4125" t="s">
        <v>2300</v>
      </c>
      <c r="G295" s="4125" t="s">
        <v>28</v>
      </c>
      <c r="H295" s="4125" t="s">
        <v>2754</v>
      </c>
      <c r="I295" s="4125" t="s">
        <v>927</v>
      </c>
    </row>
    <row r="296" spans="1:9" ht="11.25" customHeight="1">
      <c r="A296" s="4125" t="s">
        <v>2288</v>
      </c>
      <c r="B296" s="4125" t="s">
        <v>16</v>
      </c>
      <c r="C296" s="4125" t="s">
        <v>2755</v>
      </c>
      <c r="D296" s="4125" t="s">
        <v>2756</v>
      </c>
      <c r="E296" s="4125" t="s">
        <v>2757</v>
      </c>
      <c r="F296" s="4125" t="s">
        <v>2384</v>
      </c>
      <c r="G296" s="4125" t="s">
        <v>28</v>
      </c>
      <c r="H296" s="4125" t="s">
        <v>2758</v>
      </c>
      <c r="I296" s="4125" t="s">
        <v>927</v>
      </c>
    </row>
    <row r="297" spans="1:9" ht="11.25" customHeight="1">
      <c r="A297" s="4125" t="s">
        <v>2288</v>
      </c>
      <c r="B297" s="4125" t="s">
        <v>16</v>
      </c>
      <c r="C297" s="4125" t="s">
        <v>2472</v>
      </c>
      <c r="D297" s="4125" t="s">
        <v>2473</v>
      </c>
      <c r="E297" s="4125" t="s">
        <v>2474</v>
      </c>
      <c r="F297" s="4125" t="s">
        <v>2372</v>
      </c>
      <c r="G297" s="4125" t="s">
        <v>28</v>
      </c>
      <c r="H297" s="4125" t="s">
        <v>2475</v>
      </c>
      <c r="I297" s="4125" t="s">
        <v>927</v>
      </c>
    </row>
    <row r="298" spans="1:9" ht="11.25" customHeight="1">
      <c r="A298" s="4125" t="s">
        <v>2288</v>
      </c>
      <c r="B298" s="4125" t="s">
        <v>16</v>
      </c>
      <c r="C298" s="4125" t="s">
        <v>2479</v>
      </c>
      <c r="D298" s="4125" t="s">
        <v>2480</v>
      </c>
      <c r="E298" s="4125" t="s">
        <v>2481</v>
      </c>
      <c r="F298" s="4125" t="s">
        <v>2482</v>
      </c>
      <c r="G298" s="4125" t="s">
        <v>28</v>
      </c>
      <c r="H298" s="4125" t="s">
        <v>28</v>
      </c>
      <c r="I298" s="4125" t="s">
        <v>927</v>
      </c>
    </row>
    <row r="299" spans="1:9" ht="11.25" customHeight="1">
      <c r="A299" s="4125" t="s">
        <v>2288</v>
      </c>
      <c r="B299" s="4125" t="s">
        <v>16</v>
      </c>
      <c r="C299" s="4125" t="s">
        <v>2491</v>
      </c>
      <c r="D299" s="4125" t="s">
        <v>2492</v>
      </c>
      <c r="E299" s="4125" t="s">
        <v>2493</v>
      </c>
      <c r="F299" s="4125" t="s">
        <v>2372</v>
      </c>
      <c r="G299" s="4125" t="s">
        <v>2494</v>
      </c>
      <c r="H299" s="4125" t="s">
        <v>28</v>
      </c>
      <c r="I299" s="4125" t="s">
        <v>927</v>
      </c>
    </row>
    <row r="300" spans="1:9" ht="11.25" customHeight="1">
      <c r="A300" s="4125" t="s">
        <v>2288</v>
      </c>
      <c r="B300" s="4125" t="s">
        <v>16</v>
      </c>
      <c r="C300" s="4125" t="s">
        <v>2495</v>
      </c>
      <c r="D300" s="4125" t="s">
        <v>2496</v>
      </c>
      <c r="E300" s="4125" t="s">
        <v>2497</v>
      </c>
      <c r="F300" s="4125" t="s">
        <v>2372</v>
      </c>
      <c r="G300" s="4125" t="s">
        <v>28</v>
      </c>
      <c r="H300" s="4125" t="s">
        <v>2498</v>
      </c>
      <c r="I300" s="4125" t="s">
        <v>927</v>
      </c>
    </row>
    <row r="301" spans="1:9" ht="11.25" customHeight="1">
      <c r="A301" s="4125" t="s">
        <v>2288</v>
      </c>
      <c r="B301" s="4125" t="s">
        <v>16</v>
      </c>
      <c r="C301" s="4125" t="s">
        <v>2511</v>
      </c>
      <c r="D301" s="4125" t="s">
        <v>2512</v>
      </c>
      <c r="E301" s="4125" t="s">
        <v>2513</v>
      </c>
      <c r="F301" s="4125" t="s">
        <v>2300</v>
      </c>
      <c r="G301" s="4125" t="s">
        <v>28</v>
      </c>
      <c r="H301" s="4125" t="s">
        <v>28</v>
      </c>
      <c r="I301" s="4125" t="s">
        <v>927</v>
      </c>
    </row>
    <row r="302" spans="1:9" ht="11.25" customHeight="1">
      <c r="A302" s="4125" t="s">
        <v>2288</v>
      </c>
      <c r="B302" s="4125" t="s">
        <v>16</v>
      </c>
      <c r="C302" s="4125" t="s">
        <v>2514</v>
      </c>
      <c r="D302" s="4125" t="s">
        <v>2515</v>
      </c>
      <c r="E302" s="4125" t="s">
        <v>2516</v>
      </c>
      <c r="F302" s="4125" t="s">
        <v>2482</v>
      </c>
      <c r="G302" s="4125" t="s">
        <v>2517</v>
      </c>
      <c r="H302" s="4125" t="s">
        <v>2518</v>
      </c>
      <c r="I302" s="4125" t="s">
        <v>927</v>
      </c>
    </row>
    <row r="303" spans="1:9" ht="11.25" customHeight="1">
      <c r="A303" s="4125" t="s">
        <v>2288</v>
      </c>
      <c r="B303" s="4125" t="s">
        <v>16</v>
      </c>
      <c r="C303" s="4125" t="s">
        <v>2519</v>
      </c>
      <c r="D303" s="4125" t="s">
        <v>2520</v>
      </c>
      <c r="E303" s="4125" t="s">
        <v>2521</v>
      </c>
      <c r="F303" s="4125" t="s">
        <v>2300</v>
      </c>
      <c r="G303" s="4125" t="s">
        <v>28</v>
      </c>
      <c r="H303" s="4125" t="s">
        <v>2522</v>
      </c>
      <c r="I303" s="4125" t="s">
        <v>927</v>
      </c>
    </row>
    <row r="304" spans="1:9" ht="11.25" customHeight="1">
      <c r="A304" s="4125" t="s">
        <v>2288</v>
      </c>
      <c r="B304" s="4125" t="s">
        <v>16</v>
      </c>
      <c r="C304" s="4125" t="s">
        <v>2759</v>
      </c>
      <c r="D304" s="4125" t="s">
        <v>2760</v>
      </c>
      <c r="E304" s="4125" t="s">
        <v>2761</v>
      </c>
      <c r="F304" s="4125" t="s">
        <v>2734</v>
      </c>
      <c r="G304" s="4125" t="s">
        <v>28</v>
      </c>
      <c r="H304" s="4125" t="s">
        <v>2762</v>
      </c>
      <c r="I304" s="4125" t="s">
        <v>927</v>
      </c>
    </row>
    <row r="305" spans="1:9" ht="11.25" customHeight="1">
      <c r="A305" s="4125" t="s">
        <v>2288</v>
      </c>
      <c r="B305" s="4125" t="s">
        <v>16</v>
      </c>
      <c r="C305" s="4125" t="s">
        <v>2763</v>
      </c>
      <c r="D305" s="4125" t="s">
        <v>2764</v>
      </c>
      <c r="E305" s="4125" t="s">
        <v>2765</v>
      </c>
      <c r="F305" s="4125" t="s">
        <v>55</v>
      </c>
      <c r="G305" s="4125" t="s">
        <v>2766</v>
      </c>
      <c r="H305" s="4125" t="s">
        <v>28</v>
      </c>
      <c r="I305" s="4125" t="s">
        <v>927</v>
      </c>
    </row>
    <row r="306" spans="1:9" ht="11.25" customHeight="1">
      <c r="A306" s="4125" t="s">
        <v>2288</v>
      </c>
      <c r="B306" s="4125" t="s">
        <v>16</v>
      </c>
      <c r="C306" s="4125" t="s">
        <v>2532</v>
      </c>
      <c r="D306" s="4125" t="s">
        <v>2533</v>
      </c>
      <c r="E306" s="4125" t="s">
        <v>2534</v>
      </c>
      <c r="F306" s="4125" t="s">
        <v>2535</v>
      </c>
      <c r="G306" s="4125" t="s">
        <v>2536</v>
      </c>
      <c r="H306" s="4125" t="s">
        <v>28</v>
      </c>
      <c r="I306" s="4125" t="s">
        <v>927</v>
      </c>
    </row>
    <row r="307" spans="1:9" ht="11.25" customHeight="1">
      <c r="A307" s="4125" t="s">
        <v>2288</v>
      </c>
      <c r="B307" s="4125" t="s">
        <v>16</v>
      </c>
      <c r="C307" s="4125" t="s">
        <v>2767</v>
      </c>
      <c r="D307" s="4125" t="s">
        <v>2768</v>
      </c>
      <c r="E307" s="4125" t="s">
        <v>2769</v>
      </c>
      <c r="F307" s="4125" t="s">
        <v>2676</v>
      </c>
      <c r="G307" s="4125" t="s">
        <v>28</v>
      </c>
      <c r="H307" s="4125" t="s">
        <v>2770</v>
      </c>
      <c r="I307" s="4125" t="s">
        <v>927</v>
      </c>
    </row>
    <row r="308" spans="1:9" ht="11.25" customHeight="1">
      <c r="A308" s="4125" t="s">
        <v>2288</v>
      </c>
      <c r="B308" s="4125" t="s">
        <v>16</v>
      </c>
      <c r="C308" s="4125" t="s">
        <v>2537</v>
      </c>
      <c r="D308" s="4125" t="s">
        <v>2538</v>
      </c>
      <c r="E308" s="4125" t="s">
        <v>2539</v>
      </c>
      <c r="F308" s="4125" t="s">
        <v>2540</v>
      </c>
      <c r="G308" s="4125" t="s">
        <v>28</v>
      </c>
      <c r="H308" s="4125" t="s">
        <v>28</v>
      </c>
      <c r="I308" s="4125" t="s">
        <v>927</v>
      </c>
    </row>
    <row r="309" spans="1:9" ht="11.25" customHeight="1">
      <c r="A309" s="4125" t="s">
        <v>2288</v>
      </c>
      <c r="B309" s="4125" t="s">
        <v>16</v>
      </c>
      <c r="C309" s="4125" t="s">
        <v>2544</v>
      </c>
      <c r="D309" s="4125" t="s">
        <v>2545</v>
      </c>
      <c r="E309" s="4125" t="s">
        <v>2546</v>
      </c>
      <c r="F309" s="4125" t="s">
        <v>2414</v>
      </c>
      <c r="G309" s="4125" t="s">
        <v>28</v>
      </c>
      <c r="H309" s="4125" t="s">
        <v>2547</v>
      </c>
      <c r="I309" s="4125" t="s">
        <v>927</v>
      </c>
    </row>
    <row r="310" spans="1:9" ht="11.25" customHeight="1">
      <c r="A310" s="4125" t="s">
        <v>2288</v>
      </c>
      <c r="B310" s="4125" t="s">
        <v>16</v>
      </c>
      <c r="C310" s="4125" t="s">
        <v>2775</v>
      </c>
      <c r="D310" s="4125" t="s">
        <v>2776</v>
      </c>
      <c r="E310" s="4125" t="s">
        <v>2777</v>
      </c>
      <c r="F310" s="4125" t="s">
        <v>2778</v>
      </c>
      <c r="G310" s="4125" t="s">
        <v>28</v>
      </c>
      <c r="H310" s="4125" t="s">
        <v>28</v>
      </c>
      <c r="I310" s="4125" t="s">
        <v>927</v>
      </c>
    </row>
    <row r="311" spans="1:9" ht="11.25" customHeight="1">
      <c r="A311" s="4125" t="s">
        <v>2288</v>
      </c>
      <c r="B311" s="4125" t="s">
        <v>16</v>
      </c>
      <c r="C311" s="4125" t="s">
        <v>2779</v>
      </c>
      <c r="D311" s="4125" t="s">
        <v>2780</v>
      </c>
      <c r="E311" s="4125" t="s">
        <v>2781</v>
      </c>
      <c r="F311" s="4125" t="s">
        <v>2778</v>
      </c>
      <c r="G311" s="4125" t="s">
        <v>28</v>
      </c>
      <c r="H311" s="4125" t="s">
        <v>28</v>
      </c>
      <c r="I311" s="4125" t="s">
        <v>927</v>
      </c>
    </row>
    <row r="312" spans="1:9" ht="11.25" customHeight="1">
      <c r="A312" s="4125" t="s">
        <v>2288</v>
      </c>
      <c r="B312" s="4125" t="s">
        <v>16</v>
      </c>
      <c r="C312" s="4125" t="s">
        <v>2782</v>
      </c>
      <c r="D312" s="4125" t="s">
        <v>2783</v>
      </c>
      <c r="E312" s="4125" t="s">
        <v>2784</v>
      </c>
      <c r="F312" s="4125" t="s">
        <v>2778</v>
      </c>
      <c r="G312" s="4125" t="s">
        <v>28</v>
      </c>
      <c r="H312" s="4125" t="s">
        <v>2785</v>
      </c>
      <c r="I312" s="4125" t="s">
        <v>927</v>
      </c>
    </row>
    <row r="313" spans="1:9" ht="11.25" customHeight="1">
      <c r="A313" s="4125" t="s">
        <v>2288</v>
      </c>
      <c r="B313" s="4125" t="s">
        <v>16</v>
      </c>
      <c r="C313" s="4125" t="s">
        <v>2830</v>
      </c>
      <c r="D313" s="4125" t="s">
        <v>2831</v>
      </c>
      <c r="E313" s="4125" t="s">
        <v>2832</v>
      </c>
      <c r="F313" s="4125" t="s">
        <v>55</v>
      </c>
      <c r="G313" s="4125" t="s">
        <v>28</v>
      </c>
      <c r="H313" s="4125" t="s">
        <v>2833</v>
      </c>
      <c r="I313" s="4125" t="s">
        <v>927</v>
      </c>
    </row>
    <row r="314" spans="1:9" ht="11.25" customHeight="1">
      <c r="A314" s="4125" t="s">
        <v>2288</v>
      </c>
      <c r="B314" s="4125" t="s">
        <v>16</v>
      </c>
      <c r="C314" s="4125" t="s">
        <v>2786</v>
      </c>
      <c r="D314" s="4125" t="s">
        <v>2787</v>
      </c>
      <c r="E314" s="4125" t="s">
        <v>2788</v>
      </c>
      <c r="F314" s="4125" t="s">
        <v>2671</v>
      </c>
      <c r="G314" s="4125" t="s">
        <v>2789</v>
      </c>
      <c r="H314" s="4125" t="s">
        <v>28</v>
      </c>
      <c r="I314" s="4125" t="s">
        <v>927</v>
      </c>
    </row>
    <row r="315" spans="1:9" ht="11.25" customHeight="1">
      <c r="A315" s="4125" t="s">
        <v>2288</v>
      </c>
      <c r="B315" s="4125" t="s">
        <v>16</v>
      </c>
      <c r="C315" s="4125" t="s">
        <v>2790</v>
      </c>
      <c r="D315" s="4125" t="s">
        <v>2791</v>
      </c>
      <c r="E315" s="4125" t="s">
        <v>2792</v>
      </c>
      <c r="F315" s="4125" t="s">
        <v>55</v>
      </c>
      <c r="G315" s="4125" t="s">
        <v>28</v>
      </c>
      <c r="H315" s="4125" t="s">
        <v>2793</v>
      </c>
      <c r="I315" s="4125" t="s">
        <v>927</v>
      </c>
    </row>
    <row r="316" spans="1:9" ht="11.25" customHeight="1">
      <c r="A316" s="4125" t="s">
        <v>2288</v>
      </c>
      <c r="B316" s="4125" t="s">
        <v>16</v>
      </c>
      <c r="C316" s="4125" t="s">
        <v>2553</v>
      </c>
      <c r="D316" s="4125" t="s">
        <v>2554</v>
      </c>
      <c r="E316" s="4125" t="s">
        <v>2555</v>
      </c>
      <c r="F316" s="4125" t="s">
        <v>2372</v>
      </c>
      <c r="G316" s="4125" t="s">
        <v>28</v>
      </c>
      <c r="H316" s="4125" t="s">
        <v>2556</v>
      </c>
      <c r="I316" s="4125" t="s">
        <v>927</v>
      </c>
    </row>
    <row r="317" spans="1:9" ht="11.25" customHeight="1">
      <c r="A317" s="4125" t="s">
        <v>2288</v>
      </c>
      <c r="B317" s="4125" t="s">
        <v>16</v>
      </c>
      <c r="C317" s="4125" t="s">
        <v>2798</v>
      </c>
      <c r="D317" s="4125" t="s">
        <v>2799</v>
      </c>
      <c r="E317" s="4125" t="s">
        <v>2800</v>
      </c>
      <c r="F317" s="4125" t="s">
        <v>2372</v>
      </c>
      <c r="G317" s="4125" t="s">
        <v>2801</v>
      </c>
      <c r="H317" s="4125" t="s">
        <v>28</v>
      </c>
      <c r="I317" s="4125" t="s">
        <v>927</v>
      </c>
    </row>
    <row r="318" spans="1:9" ht="11.25" customHeight="1">
      <c r="A318" s="4125" t="s">
        <v>2288</v>
      </c>
      <c r="B318" s="4125" t="s">
        <v>16</v>
      </c>
      <c r="C318" s="4125" t="s">
        <v>2567</v>
      </c>
      <c r="D318" s="4125" t="s">
        <v>2568</v>
      </c>
      <c r="E318" s="4125" t="s">
        <v>2569</v>
      </c>
      <c r="F318" s="4125" t="s">
        <v>2570</v>
      </c>
      <c r="G318" s="4125" t="s">
        <v>2571</v>
      </c>
      <c r="H318" s="4125" t="s">
        <v>28</v>
      </c>
      <c r="I318" s="4125" t="s">
        <v>927</v>
      </c>
    </row>
    <row r="319" spans="1:9" ht="11.25" customHeight="1">
      <c r="A319" s="4125" t="s">
        <v>2288</v>
      </c>
      <c r="B319" s="4125" t="s">
        <v>16</v>
      </c>
      <c r="C319" s="4125" t="s">
        <v>2572</v>
      </c>
      <c r="D319" s="4125" t="s">
        <v>2573</v>
      </c>
      <c r="E319" s="4125" t="s">
        <v>2574</v>
      </c>
      <c r="F319" s="4125" t="s">
        <v>2372</v>
      </c>
      <c r="G319" s="4125" t="s">
        <v>2575</v>
      </c>
      <c r="H319" s="4125" t="s">
        <v>2576</v>
      </c>
      <c r="I319" s="4125" t="s">
        <v>927</v>
      </c>
    </row>
    <row r="320" spans="1:9" ht="11.25" customHeight="1">
      <c r="A320" s="4125" t="s">
        <v>2288</v>
      </c>
      <c r="B320" s="4125" t="s">
        <v>16</v>
      </c>
      <c r="C320" s="4125" t="s">
        <v>2806</v>
      </c>
      <c r="D320" s="4125" t="s">
        <v>2807</v>
      </c>
      <c r="E320" s="4125" t="s">
        <v>2808</v>
      </c>
      <c r="F320" s="4125" t="s">
        <v>2526</v>
      </c>
      <c r="G320" s="4125" t="s">
        <v>28</v>
      </c>
      <c r="H320" s="4125" t="s">
        <v>28</v>
      </c>
      <c r="I320" s="4125" t="s">
        <v>927</v>
      </c>
    </row>
    <row r="321" spans="1:9" ht="11.25" customHeight="1">
      <c r="A321" s="4125" t="s">
        <v>2288</v>
      </c>
      <c r="B321" s="4125" t="s">
        <v>16</v>
      </c>
      <c r="C321" s="4125" t="s">
        <v>2809</v>
      </c>
      <c r="D321" s="4125" t="s">
        <v>2810</v>
      </c>
      <c r="E321" s="4125" t="s">
        <v>2811</v>
      </c>
      <c r="F321" s="4125" t="s">
        <v>2619</v>
      </c>
      <c r="G321" s="4125" t="s">
        <v>2812</v>
      </c>
      <c r="H321" s="4125" t="s">
        <v>2813</v>
      </c>
      <c r="I321" s="4125" t="s">
        <v>927</v>
      </c>
    </row>
    <row r="322" spans="1:9" ht="11.25" customHeight="1">
      <c r="A322" s="4125" t="s">
        <v>2288</v>
      </c>
      <c r="B322" s="4125" t="s">
        <v>16</v>
      </c>
      <c r="C322" s="4125" t="s">
        <v>2587</v>
      </c>
      <c r="D322" s="4125" t="s">
        <v>2588</v>
      </c>
      <c r="E322" s="4125" t="s">
        <v>2589</v>
      </c>
      <c r="F322" s="4125" t="s">
        <v>2482</v>
      </c>
      <c r="G322" s="4125" t="s">
        <v>28</v>
      </c>
      <c r="H322" s="4125" t="s">
        <v>2590</v>
      </c>
      <c r="I322" s="4125" t="s">
        <v>927</v>
      </c>
    </row>
    <row r="323" spans="1:9" ht="11.25" customHeight="1">
      <c r="A323" s="4125" t="s">
        <v>2288</v>
      </c>
      <c r="B323" s="4125" t="s">
        <v>16</v>
      </c>
      <c r="C323" s="4125" t="s">
        <v>2600</v>
      </c>
      <c r="D323" s="4125" t="s">
        <v>2601</v>
      </c>
      <c r="E323" s="4125" t="s">
        <v>2602</v>
      </c>
      <c r="F323" s="4125" t="s">
        <v>2414</v>
      </c>
      <c r="G323" s="4125" t="s">
        <v>2603</v>
      </c>
      <c r="H323" s="4125" t="s">
        <v>28</v>
      </c>
      <c r="I323" s="4125" t="s">
        <v>927</v>
      </c>
    </row>
    <row r="324" spans="1:9" ht="11.25" customHeight="1">
      <c r="A324" s="4125" t="s">
        <v>2288</v>
      </c>
      <c r="B324" s="4125" t="s">
        <v>16</v>
      </c>
      <c r="C324" s="4125" t="s">
        <v>2612</v>
      </c>
      <c r="D324" s="4125" t="s">
        <v>2613</v>
      </c>
      <c r="E324" s="4125" t="s">
        <v>2614</v>
      </c>
      <c r="F324" s="4125" t="s">
        <v>2403</v>
      </c>
      <c r="G324" s="4125" t="s">
        <v>28</v>
      </c>
      <c r="H324" s="4125" t="s">
        <v>2615</v>
      </c>
      <c r="I324" s="4125" t="s">
        <v>927</v>
      </c>
    </row>
    <row r="325" spans="1:9" ht="11.25" customHeight="1">
      <c r="A325" s="4125" t="s">
        <v>2288</v>
      </c>
      <c r="B325" s="4125" t="s">
        <v>16</v>
      </c>
      <c r="C325" s="4125" t="s">
        <v>2620</v>
      </c>
      <c r="D325" s="4125" t="s">
        <v>2621</v>
      </c>
      <c r="E325" s="4125" t="s">
        <v>2622</v>
      </c>
      <c r="F325" s="4125" t="s">
        <v>2372</v>
      </c>
      <c r="G325" s="4125" t="s">
        <v>2623</v>
      </c>
      <c r="H325" s="4125" t="s">
        <v>2624</v>
      </c>
      <c r="I325" s="4125" t="s">
        <v>927</v>
      </c>
    </row>
    <row r="326" spans="1:9" ht="11.25" customHeight="1">
      <c r="A326" s="4125" t="s">
        <v>2288</v>
      </c>
      <c r="B326" s="4125" t="s">
        <v>16</v>
      </c>
      <c r="C326" s="4125" t="s">
        <v>2819</v>
      </c>
      <c r="D326" s="4125" t="s">
        <v>2820</v>
      </c>
      <c r="E326" s="4125" t="s">
        <v>2821</v>
      </c>
      <c r="F326" s="4125" t="s">
        <v>2778</v>
      </c>
      <c r="G326" s="4125" t="s">
        <v>28</v>
      </c>
      <c r="H326" s="4125" t="s">
        <v>2785</v>
      </c>
      <c r="I326" s="4125" t="s">
        <v>927</v>
      </c>
    </row>
    <row r="327" spans="1:9" ht="11.25" customHeight="1">
      <c r="A327" s="4125" t="s">
        <v>2288</v>
      </c>
      <c r="B327" s="4125" t="s">
        <v>16</v>
      </c>
      <c r="C327" s="4125" t="s">
        <v>2822</v>
      </c>
      <c r="D327" s="4125" t="s">
        <v>2823</v>
      </c>
      <c r="E327" s="4125" t="s">
        <v>2824</v>
      </c>
      <c r="F327" s="4125" t="s">
        <v>2300</v>
      </c>
      <c r="G327" s="4125" t="s">
        <v>28</v>
      </c>
      <c r="H327" s="4125" t="s">
        <v>2825</v>
      </c>
      <c r="I327" s="4125" t="s">
        <v>927</v>
      </c>
    </row>
    <row r="328" spans="1:9" ht="11.25" customHeight="1">
      <c r="A328" s="4125" t="s">
        <v>2288</v>
      </c>
      <c r="B328" s="4125" t="s">
        <v>16</v>
      </c>
      <c r="C328" s="4125" t="s">
        <v>2639</v>
      </c>
      <c r="D328" s="4125" t="s">
        <v>2640</v>
      </c>
      <c r="E328" s="4125" t="s">
        <v>2641</v>
      </c>
      <c r="F328" s="4125" t="s">
        <v>2300</v>
      </c>
      <c r="G328" s="4125" t="s">
        <v>2642</v>
      </c>
      <c r="H328" s="4125" t="s">
        <v>2643</v>
      </c>
      <c r="I328" s="4125" t="s">
        <v>927</v>
      </c>
    </row>
    <row r="329" spans="1:9" ht="11.25" customHeight="1">
      <c r="A329" s="4125" t="s">
        <v>2288</v>
      </c>
      <c r="B329" s="4125" t="s">
        <v>16</v>
      </c>
      <c r="C329" s="4125" t="s">
        <v>2834</v>
      </c>
      <c r="D329" s="4125" t="s">
        <v>2835</v>
      </c>
      <c r="E329" s="4125" t="s">
        <v>2836</v>
      </c>
      <c r="F329" s="4125" t="s">
        <v>2837</v>
      </c>
      <c r="G329" s="4125" t="s">
        <v>2838</v>
      </c>
      <c r="H329" s="4125" t="s">
        <v>28</v>
      </c>
      <c r="I329" s="4125" t="s">
        <v>927</v>
      </c>
    </row>
    <row r="330" spans="1:9" ht="11.25" customHeight="1">
      <c r="A330" s="4125" t="s">
        <v>2288</v>
      </c>
      <c r="B330" s="4125" t="s">
        <v>16</v>
      </c>
      <c r="C330" s="4125" t="s">
        <v>2644</v>
      </c>
      <c r="D330" s="4125" t="s">
        <v>2645</v>
      </c>
      <c r="E330" s="4125" t="s">
        <v>2646</v>
      </c>
      <c r="F330" s="4125" t="s">
        <v>2647</v>
      </c>
      <c r="G330" s="4125" t="s">
        <v>2648</v>
      </c>
      <c r="H330" s="4125" t="s">
        <v>28</v>
      </c>
      <c r="I330" s="4125" t="s">
        <v>927</v>
      </c>
    </row>
    <row r="331" spans="1:9" ht="11.25" customHeight="1">
      <c r="A331" s="4125" t="s">
        <v>2288</v>
      </c>
      <c r="B331" s="4125" t="s">
        <v>16</v>
      </c>
      <c r="C331" s="4125" t="s">
        <v>2655</v>
      </c>
      <c r="D331" s="4125" t="s">
        <v>2656</v>
      </c>
      <c r="E331" s="4125" t="s">
        <v>2646</v>
      </c>
      <c r="F331" s="4125" t="s">
        <v>2657</v>
      </c>
      <c r="G331" s="4125" t="s">
        <v>2658</v>
      </c>
      <c r="H331" s="4125" t="s">
        <v>28</v>
      </c>
      <c r="I331" s="4125" t="s">
        <v>927</v>
      </c>
    </row>
    <row r="332" spans="1:9" ht="11.25" customHeight="1">
      <c r="A332" s="4125" t="s">
        <v>2288</v>
      </c>
      <c r="B332" s="4125" t="s">
        <v>16</v>
      </c>
      <c r="C332" s="4125" t="s">
        <v>2659</v>
      </c>
      <c r="D332" s="4125" t="s">
        <v>2660</v>
      </c>
      <c r="E332" s="4125" t="s">
        <v>2661</v>
      </c>
      <c r="F332" s="4125" t="s">
        <v>2300</v>
      </c>
      <c r="G332" s="4125" t="s">
        <v>2662</v>
      </c>
      <c r="H332" s="4125" t="s">
        <v>2663</v>
      </c>
      <c r="I332" s="4125" t="s">
        <v>927</v>
      </c>
    </row>
    <row r="333" spans="1:9" ht="11.25" customHeight="1">
      <c r="A333" s="4125" t="s">
        <v>2288</v>
      </c>
      <c r="B333" s="4125" t="s">
        <v>16</v>
      </c>
      <c r="C333" s="4125" t="s">
        <v>2664</v>
      </c>
      <c r="D333" s="4125" t="s">
        <v>2665</v>
      </c>
      <c r="E333" s="4125" t="s">
        <v>2666</v>
      </c>
      <c r="F333" s="4125" t="s">
        <v>2667</v>
      </c>
      <c r="G333" s="4125" t="s">
        <v>28</v>
      </c>
      <c r="H333" s="4125" t="s">
        <v>28</v>
      </c>
      <c r="I333" s="4125" t="s">
        <v>927</v>
      </c>
    </row>
    <row r="334" spans="1:9" ht="11.25" customHeight="1">
      <c r="A334" s="4125" t="s">
        <v>2288</v>
      </c>
      <c r="B334" s="4125" t="s">
        <v>16</v>
      </c>
      <c r="C334" s="4125" t="s">
        <v>2839</v>
      </c>
      <c r="D334" s="4125" t="s">
        <v>2840</v>
      </c>
      <c r="E334" s="4125" t="s">
        <v>2841</v>
      </c>
      <c r="F334" s="4125" t="s">
        <v>2842</v>
      </c>
      <c r="G334" s="4125" t="s">
        <v>28</v>
      </c>
      <c r="H334" s="4125" t="s">
        <v>28</v>
      </c>
      <c r="I334" s="4125" t="s">
        <v>927</v>
      </c>
    </row>
    <row r="335" spans="1:9" ht="11.25" customHeight="1">
      <c r="A335" s="4125" t="s">
        <v>2288</v>
      </c>
      <c r="B335" s="4125" t="s">
        <v>16</v>
      </c>
      <c r="C335" s="4125" t="s">
        <v>2681</v>
      </c>
      <c r="D335" s="4125" t="s">
        <v>2682</v>
      </c>
      <c r="E335" s="4125" t="s">
        <v>2683</v>
      </c>
      <c r="F335" s="4125" t="s">
        <v>2540</v>
      </c>
      <c r="G335" s="4125" t="s">
        <v>28</v>
      </c>
      <c r="H335" s="4125" t="s">
        <v>28</v>
      </c>
      <c r="I335" s="4125" t="s">
        <v>927</v>
      </c>
    </row>
    <row r="336" spans="1:9" ht="11.25" customHeight="1">
      <c r="A336" s="4125" t="s">
        <v>2288</v>
      </c>
      <c r="B336" s="4125" t="s">
        <v>16</v>
      </c>
      <c r="C336" s="4125" t="s">
        <v>2301</v>
      </c>
      <c r="D336" s="4125" t="s">
        <v>2302</v>
      </c>
      <c r="E336" s="4125" t="s">
        <v>2303</v>
      </c>
      <c r="F336" s="4125" t="s">
        <v>55</v>
      </c>
      <c r="G336" s="4125" t="s">
        <v>2304</v>
      </c>
      <c r="H336" s="4125" t="s">
        <v>28</v>
      </c>
      <c r="I336" s="4125" t="s">
        <v>1658</v>
      </c>
    </row>
    <row r="337" spans="1:9" ht="11.25" customHeight="1">
      <c r="A337" s="4125" t="s">
        <v>2288</v>
      </c>
      <c r="B337" s="4125" t="s">
        <v>16</v>
      </c>
      <c r="C337" s="4125" t="s">
        <v>28</v>
      </c>
      <c r="D337" s="4125" t="s">
        <v>2375</v>
      </c>
      <c r="E337" s="4125" t="s">
        <v>2376</v>
      </c>
      <c r="F337" s="4125" t="s">
        <v>55</v>
      </c>
      <c r="G337" s="4125" t="s">
        <v>28</v>
      </c>
      <c r="H337" s="4125" t="s">
        <v>28</v>
      </c>
      <c r="I337" s="4125" t="s">
        <v>1658</v>
      </c>
    </row>
    <row r="338" spans="1:9" ht="11.25" customHeight="1">
      <c r="A338" s="4125" t="s">
        <v>2288</v>
      </c>
      <c r="B338" s="4125" t="s">
        <v>16</v>
      </c>
      <c r="C338" s="4125" t="s">
        <v>2843</v>
      </c>
      <c r="D338" s="4125" t="s">
        <v>2844</v>
      </c>
      <c r="E338" s="4125" t="s">
        <v>2845</v>
      </c>
      <c r="F338" s="4125" t="s">
        <v>2316</v>
      </c>
      <c r="G338" s="4125" t="s">
        <v>28</v>
      </c>
      <c r="H338" s="4125" t="s">
        <v>2846</v>
      </c>
      <c r="I338" s="4125" t="s">
        <v>1658</v>
      </c>
    </row>
    <row r="339" spans="1:9" ht="11.25" customHeight="1">
      <c r="A339" s="4125" t="s">
        <v>2288</v>
      </c>
      <c r="B339" s="4125" t="s">
        <v>16</v>
      </c>
      <c r="C339" s="4125" t="s">
        <v>2404</v>
      </c>
      <c r="D339" s="4125" t="s">
        <v>2405</v>
      </c>
      <c r="E339" s="4125" t="s">
        <v>2406</v>
      </c>
      <c r="F339" s="4125" t="s">
        <v>2331</v>
      </c>
      <c r="G339" s="4125" t="s">
        <v>28</v>
      </c>
      <c r="H339" s="4125" t="s">
        <v>28</v>
      </c>
      <c r="I339" s="4125" t="s">
        <v>1658</v>
      </c>
    </row>
    <row r="340" spans="1:9" ht="11.25" customHeight="1">
      <c r="A340" s="4125" t="s">
        <v>2288</v>
      </c>
      <c r="B340" s="4125" t="s">
        <v>16</v>
      </c>
      <c r="C340" s="4125" t="s">
        <v>2847</v>
      </c>
      <c r="D340" s="4125" t="s">
        <v>2848</v>
      </c>
      <c r="E340" s="4125" t="s">
        <v>2849</v>
      </c>
      <c r="F340" s="4125" t="s">
        <v>2671</v>
      </c>
      <c r="G340" s="4125" t="s">
        <v>28</v>
      </c>
      <c r="H340" s="4125" t="s">
        <v>2850</v>
      </c>
      <c r="I340" s="4125" t="s">
        <v>1658</v>
      </c>
    </row>
    <row r="341" spans="1:9" ht="11.25" customHeight="1">
      <c r="A341" s="4125" t="s">
        <v>2288</v>
      </c>
      <c r="B341" s="4125" t="s">
        <v>16</v>
      </c>
      <c r="C341" s="4125" t="s">
        <v>2759</v>
      </c>
      <c r="D341" s="4125" t="s">
        <v>2760</v>
      </c>
      <c r="E341" s="4125" t="s">
        <v>2761</v>
      </c>
      <c r="F341" s="4125" t="s">
        <v>2734</v>
      </c>
      <c r="G341" s="4125" t="s">
        <v>28</v>
      </c>
      <c r="H341" s="4125" t="s">
        <v>2762</v>
      </c>
      <c r="I341" s="4125" t="s">
        <v>1658</v>
      </c>
    </row>
    <row r="342" spans="1:9" ht="11.25" customHeight="1">
      <c r="A342" s="4125" t="s">
        <v>2288</v>
      </c>
      <c r="B342" s="4125" t="s">
        <v>16</v>
      </c>
      <c r="C342" s="4125" t="s">
        <v>2523</v>
      </c>
      <c r="D342" s="4125" t="s">
        <v>2524</v>
      </c>
      <c r="E342" s="4125" t="s">
        <v>2525</v>
      </c>
      <c r="F342" s="4125" t="s">
        <v>2526</v>
      </c>
      <c r="G342" s="4125" t="s">
        <v>2527</v>
      </c>
      <c r="H342" s="4125" t="s">
        <v>28</v>
      </c>
      <c r="I342" s="4125" t="s">
        <v>1658</v>
      </c>
    </row>
    <row r="343" spans="1:9" ht="11.25" customHeight="1">
      <c r="A343" s="4125" t="s">
        <v>2288</v>
      </c>
      <c r="B343" s="4125" t="s">
        <v>16</v>
      </c>
      <c r="C343" s="4125" t="s">
        <v>2851</v>
      </c>
      <c r="D343" s="4125" t="s">
        <v>2852</v>
      </c>
      <c r="E343" s="4125" t="s">
        <v>2853</v>
      </c>
      <c r="F343" s="4125" t="s">
        <v>2676</v>
      </c>
      <c r="G343" s="4125" t="s">
        <v>28</v>
      </c>
      <c r="H343" s="4125" t="s">
        <v>28</v>
      </c>
      <c r="I343" s="4125" t="s">
        <v>1658</v>
      </c>
    </row>
    <row r="344" spans="1:9" ht="11.25" customHeight="1">
      <c r="A344" s="4125" t="s">
        <v>2288</v>
      </c>
      <c r="B344" s="4125" t="s">
        <v>16</v>
      </c>
      <c r="C344" s="4125" t="s">
        <v>2854</v>
      </c>
      <c r="D344" s="4125" t="s">
        <v>2855</v>
      </c>
      <c r="E344" s="4125" t="s">
        <v>2856</v>
      </c>
      <c r="F344" s="4125" t="s">
        <v>2372</v>
      </c>
      <c r="G344" s="4125" t="s">
        <v>28</v>
      </c>
      <c r="H344" s="4125" t="s">
        <v>28</v>
      </c>
      <c r="I344" s="4125" t="s">
        <v>1658</v>
      </c>
    </row>
    <row r="345" spans="1:9" ht="11.25" customHeight="1">
      <c r="A345" s="4125" t="s">
        <v>2288</v>
      </c>
      <c r="B345" s="4125" t="s">
        <v>16</v>
      </c>
      <c r="C345" s="4125" t="s">
        <v>2857</v>
      </c>
      <c r="D345" s="4125" t="s">
        <v>2858</v>
      </c>
      <c r="E345" s="4125" t="s">
        <v>2859</v>
      </c>
      <c r="F345" s="4125" t="s">
        <v>2414</v>
      </c>
      <c r="G345" s="4125" t="s">
        <v>28</v>
      </c>
      <c r="H345" s="4125" t="s">
        <v>28</v>
      </c>
      <c r="I345" s="4125" t="s">
        <v>1658</v>
      </c>
    </row>
    <row r="346" spans="1:9" ht="11.25" customHeight="1">
      <c r="A346" s="4125" t="s">
        <v>2288</v>
      </c>
      <c r="B346" s="4125" t="s">
        <v>16</v>
      </c>
      <c r="C346" s="4125" t="s">
        <v>2860</v>
      </c>
      <c r="D346" s="4125" t="s">
        <v>2861</v>
      </c>
      <c r="E346" s="4125" t="s">
        <v>2862</v>
      </c>
      <c r="F346" s="4125" t="s">
        <v>2482</v>
      </c>
      <c r="G346" s="4125" t="s">
        <v>28</v>
      </c>
      <c r="H346" s="4125" t="s">
        <v>28</v>
      </c>
      <c r="I346" s="4125" t="s">
        <v>1658</v>
      </c>
    </row>
    <row r="347" spans="1:9" ht="11.25" customHeight="1">
      <c r="A347" s="4125" t="s">
        <v>2288</v>
      </c>
      <c r="B347" s="4125" t="s">
        <v>16</v>
      </c>
      <c r="C347" s="4125" t="s">
        <v>2863</v>
      </c>
      <c r="D347" s="4125" t="s">
        <v>2864</v>
      </c>
      <c r="E347" s="4125" t="s">
        <v>2865</v>
      </c>
      <c r="F347" s="4125" t="s">
        <v>55</v>
      </c>
      <c r="G347" s="4125" t="s">
        <v>28</v>
      </c>
      <c r="H347" s="4125" t="s">
        <v>28</v>
      </c>
      <c r="I347" s="4125" t="s">
        <v>1658</v>
      </c>
    </row>
    <row r="348" spans="1:9" ht="11.25" customHeight="1">
      <c r="A348" s="4125" t="s">
        <v>2288</v>
      </c>
      <c r="B348" s="4125" t="s">
        <v>16</v>
      </c>
      <c r="C348" s="4125" t="s">
        <v>2866</v>
      </c>
      <c r="D348" s="4125" t="s">
        <v>2867</v>
      </c>
      <c r="E348" s="4125" t="s">
        <v>2868</v>
      </c>
      <c r="F348" s="4125" t="s">
        <v>2331</v>
      </c>
      <c r="G348" s="4125" t="s">
        <v>28</v>
      </c>
      <c r="H348" s="4125" t="s">
        <v>28</v>
      </c>
      <c r="I348" s="4125" t="s">
        <v>1658</v>
      </c>
    </row>
    <row r="349" spans="1:9" ht="11.25" customHeight="1">
      <c r="A349" s="4125" t="s">
        <v>2288</v>
      </c>
      <c r="B349" s="4125" t="s">
        <v>16</v>
      </c>
      <c r="C349" s="4125" t="s">
        <v>2869</v>
      </c>
      <c r="D349" s="4125" t="s">
        <v>2870</v>
      </c>
      <c r="E349" s="4125" t="s">
        <v>2871</v>
      </c>
      <c r="F349" s="4125" t="s">
        <v>55</v>
      </c>
      <c r="G349" s="4125" t="s">
        <v>28</v>
      </c>
      <c r="H349" s="4125" t="s">
        <v>2872</v>
      </c>
      <c r="I349" s="4125" t="s">
        <v>1658</v>
      </c>
    </row>
    <row r="350" spans="1:9" ht="11.25" customHeight="1">
      <c r="A350" s="4125" t="s">
        <v>2288</v>
      </c>
      <c r="B350" s="4125" t="s">
        <v>16</v>
      </c>
      <c r="C350" s="4125" t="s">
        <v>2873</v>
      </c>
      <c r="D350" s="4125" t="s">
        <v>2870</v>
      </c>
      <c r="E350" s="4125" t="s">
        <v>2874</v>
      </c>
      <c r="F350" s="4125" t="s">
        <v>2340</v>
      </c>
      <c r="G350" s="4125" t="s">
        <v>28</v>
      </c>
      <c r="H350" s="4125" t="s">
        <v>28</v>
      </c>
      <c r="I350" s="4125" t="s">
        <v>1658</v>
      </c>
    </row>
    <row r="351" spans="1:9" ht="11.25" customHeight="1">
      <c r="A351" s="4125" t="s">
        <v>2288</v>
      </c>
      <c r="B351" s="4125" t="s">
        <v>16</v>
      </c>
      <c r="C351" s="4125" t="s">
        <v>2875</v>
      </c>
      <c r="D351" s="4125" t="s">
        <v>2876</v>
      </c>
      <c r="E351" s="4125" t="s">
        <v>2877</v>
      </c>
      <c r="F351" s="4125" t="s">
        <v>2878</v>
      </c>
      <c r="G351" s="4125" t="s">
        <v>28</v>
      </c>
      <c r="H351" s="4125" t="s">
        <v>28</v>
      </c>
      <c r="I351" s="4125" t="s">
        <v>1658</v>
      </c>
    </row>
    <row r="352" spans="1:9" ht="11.25" customHeight="1">
      <c r="A352" s="4125" t="s">
        <v>2288</v>
      </c>
      <c r="B352" s="4125" t="s">
        <v>16</v>
      </c>
      <c r="C352" s="4125" t="s">
        <v>2879</v>
      </c>
      <c r="D352" s="4125" t="s">
        <v>2880</v>
      </c>
      <c r="E352" s="4125" t="s">
        <v>2881</v>
      </c>
      <c r="F352" s="4125" t="s">
        <v>2384</v>
      </c>
      <c r="G352" s="4125" t="s">
        <v>28</v>
      </c>
      <c r="H352" s="4125" t="s">
        <v>28</v>
      </c>
      <c r="I352" s="4125" t="s">
        <v>1658</v>
      </c>
    </row>
    <row r="353" spans="1:9" ht="11.25" customHeight="1">
      <c r="A353" s="4125" t="s">
        <v>2288</v>
      </c>
      <c r="B353" s="4125" t="s">
        <v>16</v>
      </c>
      <c r="C353" s="4125" t="s">
        <v>2882</v>
      </c>
      <c r="D353" s="4125" t="s">
        <v>2883</v>
      </c>
      <c r="E353" s="4125" t="s">
        <v>2884</v>
      </c>
      <c r="F353" s="4125" t="s">
        <v>2403</v>
      </c>
      <c r="G353" s="4125" t="s">
        <v>2885</v>
      </c>
      <c r="H353" s="4125" t="s">
        <v>28</v>
      </c>
      <c r="I353" s="4125" t="s">
        <v>1658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4143"/>
  </cols>
  <sheetData>
    <row r="1" spans="1:7" ht="11.25" customHeight="1">
      <c r="A1" s="308" t="s">
        <v>2886</v>
      </c>
      <c r="B1" s="3" t="s">
        <v>2887</v>
      </c>
      <c r="C1" s="3" t="s">
        <v>2888</v>
      </c>
      <c r="D1" s="3" t="s">
        <v>2889</v>
      </c>
      <c r="E1" s="2" t="s">
        <v>2890</v>
      </c>
      <c r="F1" s="2" t="s">
        <v>2891</v>
      </c>
      <c r="G1" s="2" t="s">
        <v>2892</v>
      </c>
    </row>
    <row r="2" spans="1:7" ht="11.25" customHeight="1">
      <c r="A2" s="308" t="s">
        <v>16</v>
      </c>
      <c r="B2" t="s">
        <v>2893</v>
      </c>
      <c r="C2" t="s">
        <v>2894</v>
      </c>
      <c r="D2" t="s">
        <v>2893</v>
      </c>
      <c r="E2" t="s">
        <v>2894</v>
      </c>
      <c r="F2" t="s">
        <v>2895</v>
      </c>
      <c r="G2" t="s">
        <v>113</v>
      </c>
    </row>
    <row r="3" spans="1:7" ht="11.25" customHeight="1">
      <c r="A3" s="308" t="s">
        <v>16</v>
      </c>
      <c r="B3" t="s">
        <v>2896</v>
      </c>
      <c r="C3" t="s">
        <v>2897</v>
      </c>
      <c r="D3" t="s">
        <v>2896</v>
      </c>
      <c r="E3" t="s">
        <v>2897</v>
      </c>
      <c r="F3" t="s">
        <v>2895</v>
      </c>
      <c r="G3" t="s">
        <v>114</v>
      </c>
    </row>
    <row r="4" spans="1:7" ht="11.25" customHeight="1">
      <c r="A4" s="308" t="s">
        <v>16</v>
      </c>
      <c r="B4" t="s">
        <v>2898</v>
      </c>
      <c r="C4" t="s">
        <v>2899</v>
      </c>
      <c r="D4" t="s">
        <v>2898</v>
      </c>
      <c r="E4" t="s">
        <v>2899</v>
      </c>
      <c r="F4" t="s">
        <v>2895</v>
      </c>
      <c r="G4" t="s">
        <v>94</v>
      </c>
    </row>
    <row r="5" spans="1:7" ht="11.25" customHeight="1">
      <c r="A5" s="308" t="s">
        <v>16</v>
      </c>
      <c r="B5" t="s">
        <v>2900</v>
      </c>
      <c r="C5" t="s">
        <v>2901</v>
      </c>
      <c r="D5" t="s">
        <v>2900</v>
      </c>
      <c r="E5" t="s">
        <v>2901</v>
      </c>
      <c r="F5" t="s">
        <v>2895</v>
      </c>
      <c r="G5" t="s">
        <v>95</v>
      </c>
    </row>
    <row r="6" spans="1:7" ht="11.25" customHeight="1">
      <c r="A6" s="308" t="s">
        <v>16</v>
      </c>
      <c r="B6" t="s">
        <v>104</v>
      </c>
      <c r="C6" t="s">
        <v>105</v>
      </c>
      <c r="D6" t="s">
        <v>104</v>
      </c>
      <c r="E6" t="s">
        <v>105</v>
      </c>
      <c r="F6" t="s">
        <v>2895</v>
      </c>
      <c r="G6" t="s">
        <v>103</v>
      </c>
    </row>
    <row r="7" spans="1:7" ht="11.25" customHeight="1">
      <c r="A7" s="308" t="s">
        <v>16</v>
      </c>
      <c r="B7" t="s">
        <v>2902</v>
      </c>
      <c r="C7" t="s">
        <v>2903</v>
      </c>
      <c r="D7" t="s">
        <v>2904</v>
      </c>
      <c r="E7" t="s">
        <v>2905</v>
      </c>
      <c r="F7" t="s">
        <v>2906</v>
      </c>
      <c r="G7" t="s">
        <v>96</v>
      </c>
    </row>
    <row r="8" spans="1:7" ht="11.25" customHeight="1">
      <c r="A8" s="308" t="s">
        <v>16</v>
      </c>
      <c r="B8" t="s">
        <v>2902</v>
      </c>
      <c r="C8" t="s">
        <v>2903</v>
      </c>
      <c r="D8" t="s">
        <v>2907</v>
      </c>
      <c r="E8" t="s">
        <v>2908</v>
      </c>
      <c r="F8" t="s">
        <v>2909</v>
      </c>
      <c r="G8" t="s">
        <v>97</v>
      </c>
    </row>
    <row r="9" spans="1:7" ht="11.25" customHeight="1">
      <c r="A9" s="308" t="s">
        <v>16</v>
      </c>
      <c r="B9" t="s">
        <v>2902</v>
      </c>
      <c r="C9" t="s">
        <v>2903</v>
      </c>
      <c r="D9" t="s">
        <v>2910</v>
      </c>
      <c r="E9" t="s">
        <v>2911</v>
      </c>
      <c r="F9" t="s">
        <v>2906</v>
      </c>
      <c r="G9" t="s">
        <v>115</v>
      </c>
    </row>
    <row r="10" spans="1:7" ht="11.25" customHeight="1">
      <c r="A10" s="308" t="s">
        <v>16</v>
      </c>
      <c r="B10" t="s">
        <v>2902</v>
      </c>
      <c r="C10" t="s">
        <v>2903</v>
      </c>
      <c r="D10" t="s">
        <v>2902</v>
      </c>
      <c r="E10" t="s">
        <v>2903</v>
      </c>
      <c r="F10" t="s">
        <v>2912</v>
      </c>
      <c r="G10" t="s">
        <v>151</v>
      </c>
    </row>
    <row r="11" spans="1:7" ht="11.25" customHeight="1">
      <c r="A11" s="308" t="s">
        <v>16</v>
      </c>
      <c r="B11" t="s">
        <v>2902</v>
      </c>
      <c r="C11" t="s">
        <v>2903</v>
      </c>
      <c r="D11" t="s">
        <v>2913</v>
      </c>
      <c r="E11" t="s">
        <v>2914</v>
      </c>
      <c r="F11" t="s">
        <v>2915</v>
      </c>
      <c r="G11" t="s">
        <v>152</v>
      </c>
    </row>
    <row r="12" spans="1:7" ht="11.25" customHeight="1">
      <c r="A12" s="308" t="s">
        <v>16</v>
      </c>
      <c r="B12" t="s">
        <v>2916</v>
      </c>
      <c r="C12" t="s">
        <v>2917</v>
      </c>
      <c r="D12" t="s">
        <v>2916</v>
      </c>
      <c r="E12" t="s">
        <v>2917</v>
      </c>
      <c r="F12" t="s">
        <v>2918</v>
      </c>
      <c r="G12" t="s">
        <v>153</v>
      </c>
    </row>
    <row r="13" spans="1:7" ht="11.25" customHeight="1">
      <c r="A13" s="308" t="s">
        <v>16</v>
      </c>
      <c r="B13" t="s">
        <v>2919</v>
      </c>
      <c r="C13" t="s">
        <v>2920</v>
      </c>
      <c r="D13" t="s">
        <v>2919</v>
      </c>
      <c r="E13" t="s">
        <v>2920</v>
      </c>
      <c r="F13" t="s">
        <v>2912</v>
      </c>
      <c r="G13" t="s">
        <v>154</v>
      </c>
    </row>
    <row r="14" spans="1:7" ht="11.25" customHeight="1">
      <c r="A14" s="308" t="s">
        <v>16</v>
      </c>
      <c r="B14" t="s">
        <v>2919</v>
      </c>
      <c r="C14" t="s">
        <v>2920</v>
      </c>
      <c r="D14" t="s">
        <v>2921</v>
      </c>
      <c r="E14" t="s">
        <v>2922</v>
      </c>
      <c r="F14" t="s">
        <v>2906</v>
      </c>
      <c r="G14" t="s">
        <v>155</v>
      </c>
    </row>
    <row r="15" spans="1:7" ht="11.25" customHeight="1">
      <c r="A15" s="308" t="s">
        <v>16</v>
      </c>
      <c r="B15" t="s">
        <v>2919</v>
      </c>
      <c r="C15" t="s">
        <v>2920</v>
      </c>
      <c r="D15" t="s">
        <v>2923</v>
      </c>
      <c r="E15" t="s">
        <v>2924</v>
      </c>
      <c r="F15" t="s">
        <v>2915</v>
      </c>
      <c r="G15" t="s">
        <v>156</v>
      </c>
    </row>
    <row r="16" spans="1:7" ht="11.25" customHeight="1">
      <c r="A16" s="308" t="s">
        <v>16</v>
      </c>
      <c r="B16" t="s">
        <v>2919</v>
      </c>
      <c r="C16" t="s">
        <v>2920</v>
      </c>
      <c r="D16" t="s">
        <v>2925</v>
      </c>
      <c r="E16" t="s">
        <v>2926</v>
      </c>
      <c r="F16" t="s">
        <v>2915</v>
      </c>
      <c r="G16" t="s">
        <v>1503</v>
      </c>
    </row>
    <row r="17" spans="1:7" ht="11.25" customHeight="1">
      <c r="A17" s="308" t="s">
        <v>16</v>
      </c>
      <c r="B17" t="s">
        <v>2919</v>
      </c>
      <c r="C17" t="s">
        <v>2920</v>
      </c>
      <c r="D17" t="s">
        <v>2927</v>
      </c>
      <c r="E17" t="s">
        <v>2928</v>
      </c>
      <c r="F17" t="s">
        <v>2915</v>
      </c>
      <c r="G17" t="s">
        <v>1509</v>
      </c>
    </row>
    <row r="18" spans="1:7" ht="11.25" customHeight="1">
      <c r="A18" s="308" t="s">
        <v>16</v>
      </c>
      <c r="B18" t="s">
        <v>2919</v>
      </c>
      <c r="C18" t="s">
        <v>2920</v>
      </c>
      <c r="D18" t="s">
        <v>2929</v>
      </c>
      <c r="E18" t="s">
        <v>2930</v>
      </c>
      <c r="F18" t="s">
        <v>2915</v>
      </c>
      <c r="G18" t="s">
        <v>1521</v>
      </c>
    </row>
    <row r="19" spans="1:7" ht="11.25" customHeight="1">
      <c r="A19" s="308" t="s">
        <v>16</v>
      </c>
      <c r="B19" t="s">
        <v>2919</v>
      </c>
      <c r="C19" t="s">
        <v>2920</v>
      </c>
      <c r="D19" t="s">
        <v>2931</v>
      </c>
      <c r="E19" t="s">
        <v>2932</v>
      </c>
      <c r="F19" t="s">
        <v>2906</v>
      </c>
      <c r="G19" t="s">
        <v>1535</v>
      </c>
    </row>
    <row r="20" spans="1:7" ht="11.25" customHeight="1">
      <c r="A20" s="308" t="s">
        <v>16</v>
      </c>
      <c r="B20" t="s">
        <v>2919</v>
      </c>
      <c r="C20" t="s">
        <v>2920</v>
      </c>
      <c r="D20" t="s">
        <v>2933</v>
      </c>
      <c r="E20" t="s">
        <v>2934</v>
      </c>
      <c r="F20" t="s">
        <v>2906</v>
      </c>
      <c r="G20" t="s">
        <v>1547</v>
      </c>
    </row>
    <row r="21" spans="1:7" ht="11.25" customHeight="1">
      <c r="A21" s="308" t="s">
        <v>16</v>
      </c>
      <c r="B21" t="s">
        <v>2919</v>
      </c>
      <c r="C21" t="s">
        <v>2920</v>
      </c>
      <c r="D21" t="s">
        <v>2935</v>
      </c>
      <c r="E21" t="s">
        <v>2936</v>
      </c>
      <c r="F21" t="s">
        <v>2906</v>
      </c>
      <c r="G21" t="s">
        <v>1556</v>
      </c>
    </row>
    <row r="22" spans="1:7" ht="11.25" customHeight="1">
      <c r="A22" s="308" t="s">
        <v>16</v>
      </c>
      <c r="B22" t="s">
        <v>2919</v>
      </c>
      <c r="C22" t="s">
        <v>2920</v>
      </c>
      <c r="D22" t="s">
        <v>2937</v>
      </c>
      <c r="E22" t="s">
        <v>2938</v>
      </c>
      <c r="F22" t="s">
        <v>2909</v>
      </c>
      <c r="G22" t="s">
        <v>1572</v>
      </c>
    </row>
    <row r="23" spans="1:7" ht="11.25" customHeight="1">
      <c r="A23" s="308" t="s">
        <v>16</v>
      </c>
      <c r="B23" t="s">
        <v>2919</v>
      </c>
      <c r="C23" t="s">
        <v>2920</v>
      </c>
      <c r="D23" t="s">
        <v>2939</v>
      </c>
      <c r="E23" t="s">
        <v>2940</v>
      </c>
      <c r="F23" t="s">
        <v>2915</v>
      </c>
      <c r="G23" t="s">
        <v>1579</v>
      </c>
    </row>
    <row r="24" spans="1:7" ht="11.25" customHeight="1">
      <c r="A24" s="308" t="s">
        <v>16</v>
      </c>
      <c r="B24" t="s">
        <v>2919</v>
      </c>
      <c r="C24" t="s">
        <v>2920</v>
      </c>
      <c r="D24" t="s">
        <v>2941</v>
      </c>
      <c r="E24" t="s">
        <v>2942</v>
      </c>
      <c r="F24" t="s">
        <v>2906</v>
      </c>
      <c r="G24" t="s">
        <v>1587</v>
      </c>
    </row>
    <row r="25" spans="1:7" ht="11.25" customHeight="1">
      <c r="A25" s="308" t="s">
        <v>16</v>
      </c>
      <c r="B25" t="s">
        <v>2943</v>
      </c>
      <c r="C25" t="s">
        <v>2944</v>
      </c>
      <c r="D25" t="s">
        <v>2943</v>
      </c>
      <c r="E25" t="s">
        <v>2944</v>
      </c>
      <c r="F25" t="s">
        <v>2912</v>
      </c>
      <c r="G25" t="s">
        <v>1594</v>
      </c>
    </row>
    <row r="26" spans="1:7" ht="11.25" customHeight="1">
      <c r="A26" s="308" t="s">
        <v>16</v>
      </c>
      <c r="B26" t="s">
        <v>2943</v>
      </c>
      <c r="C26" t="s">
        <v>2944</v>
      </c>
      <c r="D26" t="s">
        <v>2945</v>
      </c>
      <c r="E26" t="s">
        <v>2946</v>
      </c>
      <c r="F26" t="s">
        <v>2915</v>
      </c>
      <c r="G26" t="s">
        <v>1598</v>
      </c>
    </row>
    <row r="27" spans="1:7" ht="11.25" customHeight="1">
      <c r="A27" s="308" t="s">
        <v>16</v>
      </c>
      <c r="B27" t="s">
        <v>2943</v>
      </c>
      <c r="C27" t="s">
        <v>2944</v>
      </c>
      <c r="D27" t="s">
        <v>2947</v>
      </c>
      <c r="E27" t="s">
        <v>2948</v>
      </c>
      <c r="F27" t="s">
        <v>2906</v>
      </c>
      <c r="G27" t="s">
        <v>1603</v>
      </c>
    </row>
    <row r="28" spans="1:7" ht="11.25" customHeight="1">
      <c r="A28" s="308" t="s">
        <v>16</v>
      </c>
      <c r="B28" t="s">
        <v>2949</v>
      </c>
      <c r="C28" t="s">
        <v>2950</v>
      </c>
      <c r="D28" t="s">
        <v>2949</v>
      </c>
      <c r="E28" t="s">
        <v>2950</v>
      </c>
      <c r="F28" t="s">
        <v>2918</v>
      </c>
      <c r="G28" t="s">
        <v>1611</v>
      </c>
    </row>
    <row r="29" spans="1:7" ht="11.25" customHeight="1">
      <c r="A29" s="308" t="s">
        <v>16</v>
      </c>
      <c r="B29" t="s">
        <v>2951</v>
      </c>
      <c r="C29" t="s">
        <v>2952</v>
      </c>
      <c r="D29" t="s">
        <v>2953</v>
      </c>
      <c r="E29" t="s">
        <v>2954</v>
      </c>
      <c r="F29" t="s">
        <v>2906</v>
      </c>
      <c r="G29" t="s">
        <v>1613</v>
      </c>
    </row>
    <row r="30" spans="1:7" ht="11.25" customHeight="1">
      <c r="A30" s="308" t="s">
        <v>16</v>
      </c>
      <c r="B30" t="s">
        <v>2951</v>
      </c>
      <c r="C30" t="s">
        <v>2952</v>
      </c>
      <c r="D30" t="s">
        <v>2955</v>
      </c>
      <c r="E30" t="s">
        <v>2956</v>
      </c>
      <c r="F30" t="s">
        <v>2915</v>
      </c>
      <c r="G30" t="s">
        <v>1616</v>
      </c>
    </row>
    <row r="31" spans="1:7" ht="11.25" customHeight="1">
      <c r="A31" s="308" t="s">
        <v>16</v>
      </c>
      <c r="B31" t="s">
        <v>2951</v>
      </c>
      <c r="C31" t="s">
        <v>2952</v>
      </c>
      <c r="D31" t="s">
        <v>2951</v>
      </c>
      <c r="E31" t="s">
        <v>2952</v>
      </c>
      <c r="F31" t="s">
        <v>2912</v>
      </c>
      <c r="G31" t="s">
        <v>1621</v>
      </c>
    </row>
    <row r="32" spans="1:7" ht="11.25" customHeight="1">
      <c r="A32" s="308" t="s">
        <v>16</v>
      </c>
      <c r="B32" t="s">
        <v>2957</v>
      </c>
      <c r="C32" t="s">
        <v>2958</v>
      </c>
      <c r="D32" t="s">
        <v>2957</v>
      </c>
      <c r="E32" t="s">
        <v>2958</v>
      </c>
      <c r="F32" t="s">
        <v>2918</v>
      </c>
      <c r="G32" t="s">
        <v>1623</v>
      </c>
    </row>
    <row r="33" spans="1:7" ht="11.25" customHeight="1">
      <c r="A33" s="308" t="s">
        <v>16</v>
      </c>
      <c r="B33" t="s">
        <v>2959</v>
      </c>
      <c r="C33" t="s">
        <v>2960</v>
      </c>
      <c r="D33" t="s">
        <v>2959</v>
      </c>
      <c r="E33" t="s">
        <v>2960</v>
      </c>
      <c r="F33" t="s">
        <v>2918</v>
      </c>
      <c r="G33" t="s">
        <v>1625</v>
      </c>
    </row>
    <row r="34" spans="1:7" ht="11.25" customHeight="1">
      <c r="A34" s="308" t="s">
        <v>16</v>
      </c>
      <c r="B34" t="s">
        <v>2961</v>
      </c>
      <c r="C34" t="s">
        <v>2962</v>
      </c>
      <c r="D34" t="s">
        <v>2961</v>
      </c>
      <c r="E34" t="s">
        <v>2962</v>
      </c>
      <c r="F34" t="s">
        <v>2918</v>
      </c>
      <c r="G34" t="s">
        <v>1627</v>
      </c>
    </row>
    <row r="35" spans="1:7" ht="11.25" customHeight="1">
      <c r="A35" s="308" t="s">
        <v>16</v>
      </c>
      <c r="B35" t="s">
        <v>2963</v>
      </c>
      <c r="C35" t="s">
        <v>2964</v>
      </c>
      <c r="D35" t="s">
        <v>2963</v>
      </c>
      <c r="E35" t="s">
        <v>2964</v>
      </c>
      <c r="F35" t="s">
        <v>2918</v>
      </c>
      <c r="G35" t="s">
        <v>1632</v>
      </c>
    </row>
    <row r="36" spans="1:7" ht="11.25" customHeight="1">
      <c r="A36" s="308" t="s">
        <v>16</v>
      </c>
      <c r="B36" t="s">
        <v>2965</v>
      </c>
      <c r="C36" t="s">
        <v>2966</v>
      </c>
      <c r="D36" t="s">
        <v>2965</v>
      </c>
      <c r="E36" t="s">
        <v>2966</v>
      </c>
      <c r="F36" t="s">
        <v>2918</v>
      </c>
      <c r="G36" t="s">
        <v>1637</v>
      </c>
    </row>
    <row r="37" spans="1:7" ht="11.25" customHeight="1">
      <c r="A37" s="308" t="s">
        <v>16</v>
      </c>
      <c r="B37" t="s">
        <v>2967</v>
      </c>
      <c r="C37" t="s">
        <v>2968</v>
      </c>
      <c r="D37" t="s">
        <v>2967</v>
      </c>
      <c r="E37" t="s">
        <v>2968</v>
      </c>
      <c r="F37" t="s">
        <v>2895</v>
      </c>
      <c r="G37" t="s">
        <v>1641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
  <sheetViews>
    <sheetView showGridLines="0" workbookViewId="0"/>
  </sheetViews>
  <sheetFormatPr defaultColWidth="9.140625" defaultRowHeight="11.25" customHeight="1"/>
  <cols>
    <col min="1" max="1" width="13.85546875" style="4235" customWidth="1"/>
    <col min="2" max="2" width="10.42578125" style="4235" customWidth="1"/>
    <col min="3" max="3" width="7.5703125" style="4235" customWidth="1"/>
    <col min="4" max="4" width="13.85546875" style="4235" customWidth="1"/>
    <col min="5" max="5" width="11.5703125" style="4235" customWidth="1"/>
    <col min="6" max="6" width="16.28515625" style="4235" customWidth="1"/>
    <col min="7" max="7" width="16" style="4235" customWidth="1"/>
    <col min="8" max="9" width="16.140625" style="4235" customWidth="1"/>
  </cols>
  <sheetData>
    <row r="1" spans="1:9" ht="11.25" customHeight="1">
      <c r="A1" s="764" t="s">
        <v>2969</v>
      </c>
      <c r="B1" s="764" t="s">
        <v>2970</v>
      </c>
      <c r="C1" s="1077" t="s">
        <v>2971</v>
      </c>
      <c r="D1" s="764" t="s">
        <v>2972</v>
      </c>
      <c r="E1" s="764" t="s">
        <v>2973</v>
      </c>
      <c r="F1" s="1077" t="s">
        <v>2974</v>
      </c>
      <c r="G1" s="1077" t="s">
        <v>2975</v>
      </c>
      <c r="H1" s="1077" t="s">
        <v>2976</v>
      </c>
      <c r="I1" s="1077" t="s">
        <v>2977</v>
      </c>
    </row>
    <row r="2" spans="1:9" ht="11.25" customHeight="1">
      <c r="A2" s="4126" t="s">
        <v>113</v>
      </c>
      <c r="B2" s="4126" t="s">
        <v>2978</v>
      </c>
      <c r="C2" s="4126" t="s">
        <v>28</v>
      </c>
      <c r="D2" s="4126" t="s">
        <v>2979</v>
      </c>
      <c r="E2" s="4126" t="s">
        <v>2980</v>
      </c>
      <c r="F2" s="4126" t="s">
        <v>28</v>
      </c>
      <c r="G2" s="4126" t="s">
        <v>28</v>
      </c>
      <c r="H2" s="4126" t="s">
        <v>28</v>
      </c>
      <c r="I2" s="4126" t="s">
        <v>28</v>
      </c>
    </row>
    <row r="3" spans="1:9" ht="11.25" customHeight="1">
      <c r="A3" s="4126" t="s">
        <v>114</v>
      </c>
      <c r="B3" s="4126" t="s">
        <v>2981</v>
      </c>
      <c r="C3" s="4126" t="s">
        <v>28</v>
      </c>
      <c r="D3" s="4126" t="s">
        <v>2979</v>
      </c>
      <c r="E3" s="4126" t="s">
        <v>2982</v>
      </c>
      <c r="F3" s="4126" t="s">
        <v>28</v>
      </c>
      <c r="G3" s="4126" t="s">
        <v>28</v>
      </c>
      <c r="H3" s="4126" t="s">
        <v>28</v>
      </c>
      <c r="I3" s="4126" t="s">
        <v>28</v>
      </c>
    </row>
    <row r="4" spans="1:9" ht="11.25" customHeight="1">
      <c r="A4" s="4126" t="s">
        <v>94</v>
      </c>
      <c r="B4" s="4126" t="s">
        <v>2983</v>
      </c>
      <c r="C4" s="4126" t="s">
        <v>28</v>
      </c>
      <c r="D4" s="4126" t="s">
        <v>2984</v>
      </c>
      <c r="E4" s="4126" t="s">
        <v>2985</v>
      </c>
      <c r="F4" s="4126" t="s">
        <v>28</v>
      </c>
      <c r="G4" s="4126" t="s">
        <v>28</v>
      </c>
      <c r="H4" s="4126" t="s">
        <v>28</v>
      </c>
      <c r="I4" s="4126" t="s">
        <v>28</v>
      </c>
    </row>
    <row r="5" spans="1:9" ht="11.25" customHeight="1">
      <c r="A5" s="4126" t="s">
        <v>95</v>
      </c>
      <c r="B5" s="4126" t="s">
        <v>2986</v>
      </c>
      <c r="C5" s="4126" t="s">
        <v>28</v>
      </c>
      <c r="D5" s="4126" t="s">
        <v>2987</v>
      </c>
      <c r="E5" s="4126" t="s">
        <v>2988</v>
      </c>
      <c r="F5" s="4126" t="s">
        <v>28</v>
      </c>
      <c r="G5" s="4126" t="s">
        <v>28</v>
      </c>
      <c r="H5" s="4126" t="s">
        <v>28</v>
      </c>
      <c r="I5" s="4126" t="s">
        <v>28</v>
      </c>
    </row>
    <row r="6" spans="1:9" ht="11.25" customHeight="1">
      <c r="A6" s="4126" t="s">
        <v>103</v>
      </c>
      <c r="B6" s="4126" t="s">
        <v>2989</v>
      </c>
      <c r="C6" s="4126" t="s">
        <v>28</v>
      </c>
      <c r="D6" s="4126" t="s">
        <v>2984</v>
      </c>
      <c r="E6" s="4126" t="s">
        <v>2980</v>
      </c>
      <c r="F6" s="4126" t="s">
        <v>28</v>
      </c>
      <c r="G6" s="4126" t="s">
        <v>28</v>
      </c>
      <c r="H6" s="4126" t="s">
        <v>28</v>
      </c>
      <c r="I6" s="4126" t="s">
        <v>28</v>
      </c>
    </row>
    <row r="7" spans="1:9" ht="11.25" customHeight="1">
      <c r="A7" s="4126" t="s">
        <v>96</v>
      </c>
      <c r="B7" s="4126" t="s">
        <v>2990</v>
      </c>
      <c r="C7" s="4126" t="s">
        <v>28</v>
      </c>
      <c r="D7" s="4126" t="s">
        <v>2984</v>
      </c>
      <c r="E7" s="4126" t="s">
        <v>2991</v>
      </c>
      <c r="F7" s="4126" t="s">
        <v>28</v>
      </c>
      <c r="G7" s="4126" t="s">
        <v>28</v>
      </c>
      <c r="H7" s="4126" t="s">
        <v>28</v>
      </c>
      <c r="I7" s="4126" t="s">
        <v>28</v>
      </c>
    </row>
    <row r="8" spans="1:9" ht="11.25" customHeight="1">
      <c r="A8" s="4126" t="s">
        <v>97</v>
      </c>
      <c r="B8" s="4126" t="s">
        <v>2992</v>
      </c>
      <c r="C8" s="4126" t="s">
        <v>28</v>
      </c>
      <c r="D8" s="4126" t="s">
        <v>2984</v>
      </c>
      <c r="E8" s="4126" t="s">
        <v>2993</v>
      </c>
      <c r="F8" s="4126" t="s">
        <v>28</v>
      </c>
      <c r="G8" s="4126" t="s">
        <v>28</v>
      </c>
      <c r="H8" s="4126" t="s">
        <v>28</v>
      </c>
      <c r="I8" s="4126" t="s">
        <v>28</v>
      </c>
    </row>
    <row r="9" spans="1:9" ht="11.25" customHeight="1">
      <c r="A9" s="4126" t="s">
        <v>115</v>
      </c>
      <c r="B9" s="4126" t="s">
        <v>2994</v>
      </c>
      <c r="C9" s="4126" t="s">
        <v>28</v>
      </c>
      <c r="D9" s="4126" t="s">
        <v>2984</v>
      </c>
      <c r="E9" s="4126" t="s">
        <v>2993</v>
      </c>
      <c r="F9" s="4126" t="s">
        <v>28</v>
      </c>
      <c r="G9" s="4126" t="s">
        <v>28</v>
      </c>
      <c r="H9" s="4126" t="s">
        <v>28</v>
      </c>
      <c r="I9" s="4126" t="s">
        <v>28</v>
      </c>
    </row>
    <row r="10" spans="1:9" ht="11.25" customHeight="1">
      <c r="A10" s="4126" t="s">
        <v>151</v>
      </c>
      <c r="B10" s="4126" t="s">
        <v>2995</v>
      </c>
      <c r="C10" s="4126" t="s">
        <v>28</v>
      </c>
      <c r="D10" s="4126" t="s">
        <v>2996</v>
      </c>
      <c r="E10" s="4126" t="s">
        <v>2985</v>
      </c>
      <c r="F10" s="4126" t="s">
        <v>28</v>
      </c>
      <c r="G10" s="4126" t="s">
        <v>28</v>
      </c>
      <c r="H10" s="4126" t="s">
        <v>28</v>
      </c>
      <c r="I10" s="4126" t="s">
        <v>28</v>
      </c>
    </row>
    <row r="11" spans="1:9" ht="11.25" customHeight="1">
      <c r="A11" s="4126" t="s">
        <v>152</v>
      </c>
      <c r="B11" s="4126" t="s">
        <v>2997</v>
      </c>
      <c r="C11" s="4126" t="s">
        <v>28</v>
      </c>
      <c r="D11" s="4126" t="s">
        <v>2996</v>
      </c>
      <c r="E11" s="4126" t="s">
        <v>2985</v>
      </c>
      <c r="F11" s="4126" t="s">
        <v>28</v>
      </c>
      <c r="G11" s="4126" t="s">
        <v>28</v>
      </c>
      <c r="H11" s="4126" t="s">
        <v>28</v>
      </c>
      <c r="I11" s="4126" t="s">
        <v>28</v>
      </c>
    </row>
    <row r="12" spans="1:9" ht="11.25" customHeight="1">
      <c r="A12" s="4126" t="s">
        <v>153</v>
      </c>
      <c r="B12" s="4126" t="s">
        <v>2998</v>
      </c>
      <c r="C12" s="4126" t="s">
        <v>28</v>
      </c>
      <c r="D12" s="4126" t="s">
        <v>2996</v>
      </c>
      <c r="E12" s="4126" t="s">
        <v>2991</v>
      </c>
      <c r="F12" s="4126" t="s">
        <v>28</v>
      </c>
      <c r="G12" s="4126" t="s">
        <v>28</v>
      </c>
      <c r="H12" s="4126" t="s">
        <v>28</v>
      </c>
      <c r="I12" s="4126" t="s">
        <v>28</v>
      </c>
    </row>
    <row r="13" spans="1:9" ht="11.25" customHeight="1">
      <c r="A13" s="4126" t="s">
        <v>154</v>
      </c>
      <c r="B13" s="4126" t="s">
        <v>2999</v>
      </c>
      <c r="C13" s="4126" t="s">
        <v>28</v>
      </c>
      <c r="D13" s="4126" t="s">
        <v>3000</v>
      </c>
      <c r="E13" s="4126" t="s">
        <v>3001</v>
      </c>
      <c r="F13" s="4126" t="s">
        <v>28</v>
      </c>
      <c r="G13" s="4126" t="s">
        <v>28</v>
      </c>
      <c r="H13" s="4126" t="s">
        <v>28</v>
      </c>
      <c r="I13" s="4126" t="s">
        <v>28</v>
      </c>
    </row>
    <row r="14" spans="1:9" ht="11.25" customHeight="1">
      <c r="A14" s="4126" t="s">
        <v>155</v>
      </c>
      <c r="B14" s="4126" t="s">
        <v>3002</v>
      </c>
      <c r="C14" s="4126" t="s">
        <v>28</v>
      </c>
      <c r="D14" s="4126" t="s">
        <v>2984</v>
      </c>
      <c r="E14" s="4126" t="s">
        <v>2980</v>
      </c>
      <c r="F14" s="4126" t="s">
        <v>28</v>
      </c>
      <c r="G14" s="4126" t="s">
        <v>28</v>
      </c>
      <c r="H14" s="4126" t="s">
        <v>28</v>
      </c>
      <c r="I14" s="4126" t="s">
        <v>28</v>
      </c>
    </row>
    <row r="15" spans="1:9" ht="11.25" customHeight="1">
      <c r="A15" s="4126" t="s">
        <v>156</v>
      </c>
      <c r="B15" s="4126" t="s">
        <v>3003</v>
      </c>
      <c r="C15" s="4126" t="s">
        <v>28</v>
      </c>
      <c r="D15" s="4126" t="s">
        <v>2979</v>
      </c>
      <c r="E15" s="4126" t="s">
        <v>2991</v>
      </c>
      <c r="F15" s="4126" t="s">
        <v>28</v>
      </c>
      <c r="G15" s="4126" t="s">
        <v>28</v>
      </c>
      <c r="H15" s="4126" t="s">
        <v>28</v>
      </c>
      <c r="I15" s="4126" t="s">
        <v>28</v>
      </c>
    </row>
    <row r="16" spans="1:9" ht="11.25" customHeight="1">
      <c r="A16" s="4126" t="s">
        <v>1503</v>
      </c>
      <c r="B16" s="4126" t="s">
        <v>3004</v>
      </c>
      <c r="C16" s="4126" t="s">
        <v>28</v>
      </c>
      <c r="D16" s="4126" t="s">
        <v>2996</v>
      </c>
      <c r="E16" s="4126" t="s">
        <v>3005</v>
      </c>
      <c r="F16" s="4126" t="s">
        <v>28</v>
      </c>
      <c r="G16" s="4126" t="s">
        <v>28</v>
      </c>
      <c r="H16" s="4126" t="s">
        <v>28</v>
      </c>
      <c r="I16" s="4126" t="s">
        <v>28</v>
      </c>
    </row>
    <row r="17" spans="1:9" ht="11.25" customHeight="1">
      <c r="A17" s="4126" t="s">
        <v>1509</v>
      </c>
      <c r="B17" s="4126" t="s">
        <v>3006</v>
      </c>
      <c r="C17" s="4126" t="s">
        <v>28</v>
      </c>
      <c r="D17" s="4126" t="s">
        <v>2979</v>
      </c>
      <c r="E17" s="4126" t="s">
        <v>2991</v>
      </c>
      <c r="F17" s="4126" t="s">
        <v>28</v>
      </c>
      <c r="G17" s="4126" t="s">
        <v>28</v>
      </c>
      <c r="H17" s="4126" t="s">
        <v>28</v>
      </c>
      <c r="I17" s="4126" t="s">
        <v>28</v>
      </c>
    </row>
    <row r="18" spans="1:9" ht="11.25" customHeight="1">
      <c r="A18" s="4126" t="s">
        <v>1521</v>
      </c>
      <c r="B18" s="4126" t="s">
        <v>3007</v>
      </c>
      <c r="C18" s="4126" t="s">
        <v>28</v>
      </c>
      <c r="D18" s="4126" t="s">
        <v>3008</v>
      </c>
      <c r="E18" s="4126" t="s">
        <v>3009</v>
      </c>
      <c r="F18" s="4126" t="s">
        <v>28</v>
      </c>
      <c r="G18" s="4126" t="s">
        <v>28</v>
      </c>
      <c r="H18" s="4126" t="s">
        <v>28</v>
      </c>
      <c r="I18" s="4126" t="s">
        <v>28</v>
      </c>
    </row>
    <row r="19" spans="1:9" ht="11.25" customHeight="1">
      <c r="A19" s="4126" t="s">
        <v>1535</v>
      </c>
      <c r="B19" s="4126" t="s">
        <v>3010</v>
      </c>
      <c r="C19" s="4126" t="s">
        <v>28</v>
      </c>
      <c r="D19" s="4126" t="s">
        <v>3008</v>
      </c>
      <c r="E19" s="4126" t="s">
        <v>3005</v>
      </c>
      <c r="F19" s="4126" t="s">
        <v>28</v>
      </c>
      <c r="G19" s="4126" t="s">
        <v>28</v>
      </c>
      <c r="H19" s="4126" t="s">
        <v>28</v>
      </c>
      <c r="I19" s="4126" t="s">
        <v>28</v>
      </c>
    </row>
    <row r="20" spans="1:9" ht="11.25" customHeight="1">
      <c r="A20" s="4126" t="s">
        <v>1547</v>
      </c>
      <c r="B20" s="4126" t="s">
        <v>3011</v>
      </c>
      <c r="C20" s="4126" t="s">
        <v>28</v>
      </c>
      <c r="D20" s="4126" t="s">
        <v>3008</v>
      </c>
      <c r="E20" s="4126" t="s">
        <v>3005</v>
      </c>
      <c r="F20" s="4126" t="s">
        <v>28</v>
      </c>
      <c r="G20" s="4126" t="s">
        <v>28</v>
      </c>
      <c r="H20" s="4126" t="s">
        <v>28</v>
      </c>
      <c r="I20" s="4126" t="s">
        <v>28</v>
      </c>
    </row>
    <row r="21" spans="1:9" ht="11.25" customHeight="1">
      <c r="A21" s="4126" t="s">
        <v>1556</v>
      </c>
      <c r="B21" s="4126" t="s">
        <v>3012</v>
      </c>
      <c r="C21" s="4126" t="s">
        <v>28</v>
      </c>
      <c r="D21" s="4126" t="s">
        <v>3008</v>
      </c>
      <c r="E21" s="4126" t="s">
        <v>3005</v>
      </c>
      <c r="F21" s="4126" t="s">
        <v>28</v>
      </c>
      <c r="G21" s="4126" t="s">
        <v>28</v>
      </c>
      <c r="H21" s="4126" t="s">
        <v>28</v>
      </c>
      <c r="I21" s="4126" t="s">
        <v>28</v>
      </c>
    </row>
    <row r="22" spans="1:9" ht="11.25" customHeight="1">
      <c r="A22" s="4126" t="s">
        <v>1572</v>
      </c>
      <c r="B22" s="4126" t="s">
        <v>3013</v>
      </c>
      <c r="C22" s="4126" t="s">
        <v>28</v>
      </c>
      <c r="D22" s="4126" t="s">
        <v>3008</v>
      </c>
      <c r="E22" s="4126" t="s">
        <v>3005</v>
      </c>
      <c r="F22" s="4126" t="s">
        <v>28</v>
      </c>
      <c r="G22" s="4126" t="s">
        <v>28</v>
      </c>
      <c r="H22" s="4126" t="s">
        <v>28</v>
      </c>
      <c r="I22" s="4126" t="s">
        <v>28</v>
      </c>
    </row>
    <row r="23" spans="1:9" ht="11.25" customHeight="1">
      <c r="A23" s="4126" t="s">
        <v>1579</v>
      </c>
      <c r="B23" s="4126" t="s">
        <v>3014</v>
      </c>
      <c r="C23" s="4126" t="s">
        <v>28</v>
      </c>
      <c r="D23" s="4126" t="s">
        <v>3008</v>
      </c>
      <c r="E23" s="4126" t="s">
        <v>3005</v>
      </c>
      <c r="F23" s="4126" t="s">
        <v>28</v>
      </c>
      <c r="G23" s="4126" t="s">
        <v>28</v>
      </c>
      <c r="H23" s="4126" t="s">
        <v>28</v>
      </c>
      <c r="I23" s="4126" t="s">
        <v>28</v>
      </c>
    </row>
    <row r="24" spans="1:9" ht="11.25" customHeight="1">
      <c r="A24" s="4126" t="s">
        <v>1587</v>
      </c>
      <c r="B24" s="4126" t="s">
        <v>3015</v>
      </c>
      <c r="C24" s="4126" t="s">
        <v>28</v>
      </c>
      <c r="D24" s="4126" t="s">
        <v>2979</v>
      </c>
      <c r="E24" s="4126" t="s">
        <v>2980</v>
      </c>
      <c r="F24" s="4126" t="s">
        <v>28</v>
      </c>
      <c r="G24" s="4126" t="s">
        <v>28</v>
      </c>
      <c r="H24" s="4126" t="s">
        <v>28</v>
      </c>
      <c r="I24" s="4126" t="s">
        <v>28</v>
      </c>
    </row>
    <row r="25" spans="1:9" ht="11.25" customHeight="1">
      <c r="A25" s="4126" t="s">
        <v>1594</v>
      </c>
      <c r="B25" s="4126" t="s">
        <v>3016</v>
      </c>
      <c r="C25" s="4126" t="s">
        <v>28</v>
      </c>
      <c r="D25" s="4126" t="s">
        <v>2979</v>
      </c>
      <c r="E25" s="4126" t="s">
        <v>3017</v>
      </c>
      <c r="F25" s="4126" t="s">
        <v>28</v>
      </c>
      <c r="G25" s="4126" t="s">
        <v>28</v>
      </c>
      <c r="H25" s="4126" t="s">
        <v>28</v>
      </c>
      <c r="I25" s="4126" t="s">
        <v>28</v>
      </c>
    </row>
    <row r="26" spans="1:9" ht="11.25" customHeight="1">
      <c r="A26" s="4126" t="s">
        <v>1598</v>
      </c>
      <c r="B26" s="4126" t="s">
        <v>3018</v>
      </c>
      <c r="C26" s="4126" t="s">
        <v>28</v>
      </c>
      <c r="D26" s="4126" t="s">
        <v>3019</v>
      </c>
      <c r="E26" s="4126" t="s">
        <v>2991</v>
      </c>
      <c r="F26" s="4126" t="s">
        <v>28</v>
      </c>
      <c r="G26" s="4126" t="s">
        <v>28</v>
      </c>
      <c r="H26" s="4126" t="s">
        <v>28</v>
      </c>
      <c r="I26" s="4126" t="s">
        <v>28</v>
      </c>
    </row>
    <row r="27" spans="1:9" ht="11.25" customHeight="1">
      <c r="A27" s="4126" t="s">
        <v>1603</v>
      </c>
      <c r="B27" s="4126" t="s">
        <v>3020</v>
      </c>
      <c r="C27" s="4126" t="s">
        <v>28</v>
      </c>
      <c r="D27" s="4126" t="s">
        <v>3008</v>
      </c>
      <c r="E27" s="4126" t="s">
        <v>3021</v>
      </c>
      <c r="F27" s="4126" t="s">
        <v>28</v>
      </c>
      <c r="G27" s="4126" t="s">
        <v>28</v>
      </c>
      <c r="H27" s="4126" t="s">
        <v>28</v>
      </c>
      <c r="I27" s="4126" t="s">
        <v>28</v>
      </c>
    </row>
    <row r="28" spans="1:9" ht="11.25" customHeight="1">
      <c r="A28" s="4126" t="s">
        <v>1611</v>
      </c>
      <c r="B28" s="4126" t="s">
        <v>3022</v>
      </c>
      <c r="C28" s="4126" t="s">
        <v>28</v>
      </c>
      <c r="D28" s="4126" t="s">
        <v>2984</v>
      </c>
      <c r="E28" s="4126" t="s">
        <v>2980</v>
      </c>
      <c r="F28" s="4126" t="s">
        <v>28</v>
      </c>
      <c r="G28" s="4126" t="s">
        <v>28</v>
      </c>
      <c r="H28" s="4126" t="s">
        <v>28</v>
      </c>
      <c r="I28" s="4126" t="s">
        <v>28</v>
      </c>
    </row>
    <row r="29" spans="1:9" ht="11.25" customHeight="1">
      <c r="A29" s="4126" t="s">
        <v>1613</v>
      </c>
      <c r="B29" s="4126" t="s">
        <v>3023</v>
      </c>
      <c r="C29" s="4126" t="s">
        <v>28</v>
      </c>
      <c r="D29" s="4126" t="s">
        <v>2984</v>
      </c>
      <c r="E29" s="4126" t="s">
        <v>2980</v>
      </c>
      <c r="F29" s="4126" t="s">
        <v>28</v>
      </c>
      <c r="G29" s="4126" t="s">
        <v>28</v>
      </c>
      <c r="H29" s="4126" t="s">
        <v>28</v>
      </c>
      <c r="I29" s="4126" t="s">
        <v>28</v>
      </c>
    </row>
    <row r="30" spans="1:9" ht="11.25" customHeight="1">
      <c r="A30" s="4126" t="s">
        <v>1616</v>
      </c>
      <c r="B30" s="4126" t="s">
        <v>3024</v>
      </c>
      <c r="C30" s="4126" t="s">
        <v>28</v>
      </c>
      <c r="D30" s="4126" t="s">
        <v>2984</v>
      </c>
      <c r="E30" s="4126" t="s">
        <v>2980</v>
      </c>
      <c r="F30" s="4126" t="s">
        <v>28</v>
      </c>
      <c r="G30" s="4126" t="s">
        <v>28</v>
      </c>
      <c r="H30" s="4126" t="s">
        <v>28</v>
      </c>
      <c r="I30" s="4126" t="s">
        <v>28</v>
      </c>
    </row>
    <row r="31" spans="1:9" ht="11.25" customHeight="1">
      <c r="A31" s="4126" t="s">
        <v>1621</v>
      </c>
      <c r="B31" s="4126" t="s">
        <v>3025</v>
      </c>
      <c r="C31" s="4126" t="s">
        <v>28</v>
      </c>
      <c r="D31" s="4126" t="s">
        <v>2984</v>
      </c>
      <c r="E31" s="4126" t="s">
        <v>2980</v>
      </c>
      <c r="F31" s="4126" t="s">
        <v>28</v>
      </c>
      <c r="G31" s="4126" t="s">
        <v>28</v>
      </c>
      <c r="H31" s="4126" t="s">
        <v>28</v>
      </c>
      <c r="I31" s="4126" t="s">
        <v>28</v>
      </c>
    </row>
    <row r="32" spans="1:9" ht="11.25" customHeight="1">
      <c r="A32" s="4126" t="s">
        <v>1623</v>
      </c>
      <c r="B32" s="4126" t="s">
        <v>3026</v>
      </c>
      <c r="C32" s="4126" t="s">
        <v>28</v>
      </c>
      <c r="D32" s="4126" t="s">
        <v>2984</v>
      </c>
      <c r="E32" s="4126" t="s">
        <v>2991</v>
      </c>
      <c r="F32" s="4126" t="s">
        <v>28</v>
      </c>
      <c r="G32" s="4126" t="s">
        <v>28</v>
      </c>
      <c r="H32" s="4126" t="s">
        <v>28</v>
      </c>
      <c r="I32" s="4126" t="s">
        <v>28</v>
      </c>
    </row>
    <row r="33" spans="1:9" ht="11.25" customHeight="1">
      <c r="A33" s="4126" t="s">
        <v>1625</v>
      </c>
      <c r="B33" s="4126" t="s">
        <v>3027</v>
      </c>
      <c r="C33" s="4126" t="s">
        <v>28</v>
      </c>
      <c r="D33" s="4126" t="s">
        <v>2984</v>
      </c>
      <c r="E33" s="4126" t="s">
        <v>2980</v>
      </c>
      <c r="F33" s="4126" t="s">
        <v>28</v>
      </c>
      <c r="G33" s="4126" t="s">
        <v>28</v>
      </c>
      <c r="H33" s="4126" t="s">
        <v>28</v>
      </c>
      <c r="I33" s="4126" t="s">
        <v>28</v>
      </c>
    </row>
    <row r="34" spans="1:9" ht="11.25" customHeight="1">
      <c r="A34" s="4126" t="s">
        <v>1627</v>
      </c>
      <c r="B34" s="4126" t="s">
        <v>3028</v>
      </c>
      <c r="C34" s="4126" t="s">
        <v>28</v>
      </c>
      <c r="D34" s="4126" t="s">
        <v>2984</v>
      </c>
      <c r="E34" s="4126" t="s">
        <v>2980</v>
      </c>
      <c r="F34" s="4126" t="s">
        <v>28</v>
      </c>
      <c r="G34" s="4126" t="s">
        <v>28</v>
      </c>
      <c r="H34" s="4126" t="s">
        <v>28</v>
      </c>
      <c r="I34" s="4126" t="s">
        <v>28</v>
      </c>
    </row>
    <row r="35" spans="1:9" ht="11.25" customHeight="1">
      <c r="A35" s="4126" t="s">
        <v>1632</v>
      </c>
      <c r="B35" s="4126" t="s">
        <v>3029</v>
      </c>
      <c r="C35" s="4126" t="s">
        <v>28</v>
      </c>
      <c r="D35" s="4126" t="s">
        <v>2984</v>
      </c>
      <c r="E35" s="4126" t="s">
        <v>2982</v>
      </c>
      <c r="F35" s="4126" t="s">
        <v>28</v>
      </c>
      <c r="G35" s="4126" t="s">
        <v>28</v>
      </c>
      <c r="H35" s="4126" t="s">
        <v>28</v>
      </c>
      <c r="I35" s="4126" t="s">
        <v>28</v>
      </c>
    </row>
    <row r="36" spans="1:9" ht="11.25" customHeight="1">
      <c r="A36" s="4126" t="s">
        <v>1637</v>
      </c>
      <c r="B36" s="4126" t="s">
        <v>3030</v>
      </c>
      <c r="C36" s="4126" t="s">
        <v>28</v>
      </c>
      <c r="D36" s="4126" t="s">
        <v>2984</v>
      </c>
      <c r="E36" s="4126" t="s">
        <v>2982</v>
      </c>
      <c r="F36" s="4126" t="s">
        <v>28</v>
      </c>
      <c r="G36" s="4126" t="s">
        <v>28</v>
      </c>
      <c r="H36" s="4126" t="s">
        <v>28</v>
      </c>
      <c r="I36" s="4126" t="s">
        <v>28</v>
      </c>
    </row>
    <row r="37" spans="1:9" ht="11.25" customHeight="1">
      <c r="A37" s="4126" t="s">
        <v>1641</v>
      </c>
      <c r="B37" s="4126" t="s">
        <v>3031</v>
      </c>
      <c r="C37" s="4126" t="s">
        <v>28</v>
      </c>
      <c r="D37" s="4126" t="s">
        <v>2984</v>
      </c>
      <c r="E37" s="4126" t="s">
        <v>2980</v>
      </c>
      <c r="F37" s="4126" t="s">
        <v>28</v>
      </c>
      <c r="G37" s="4126" t="s">
        <v>28</v>
      </c>
      <c r="H37" s="4126" t="s">
        <v>28</v>
      </c>
      <c r="I37" s="4126" t="s">
        <v>28</v>
      </c>
    </row>
    <row r="38" spans="1:9" ht="11.25" customHeight="1">
      <c r="A38" s="4126" t="s">
        <v>1648</v>
      </c>
      <c r="B38" s="4126" t="s">
        <v>3032</v>
      </c>
      <c r="C38" s="4126" t="s">
        <v>28</v>
      </c>
      <c r="D38" s="4126" t="s">
        <v>3033</v>
      </c>
      <c r="E38" s="4126" t="s">
        <v>2993</v>
      </c>
      <c r="F38" s="4126" t="s">
        <v>28</v>
      </c>
      <c r="G38" s="4126" t="s">
        <v>28</v>
      </c>
      <c r="H38" s="4126" t="s">
        <v>28</v>
      </c>
      <c r="I38" s="4126" t="s">
        <v>28</v>
      </c>
    </row>
    <row r="39" spans="1:9" ht="11.25" customHeight="1">
      <c r="A39" s="4126" t="s">
        <v>1654</v>
      </c>
      <c r="B39" s="4126" t="s">
        <v>3034</v>
      </c>
      <c r="C39" s="4126" t="s">
        <v>28</v>
      </c>
      <c r="D39" s="4126" t="s">
        <v>3035</v>
      </c>
      <c r="E39" s="4126" t="s">
        <v>3036</v>
      </c>
      <c r="F39" s="4126" t="s">
        <v>28</v>
      </c>
      <c r="G39" s="4126" t="s">
        <v>28</v>
      </c>
      <c r="H39" s="4126" t="s">
        <v>28</v>
      </c>
      <c r="I39" s="4126" t="s">
        <v>28</v>
      </c>
    </row>
    <row r="40" spans="1:9" ht="11.25" customHeight="1">
      <c r="A40" s="4126" t="s">
        <v>1659</v>
      </c>
      <c r="B40" s="4126" t="s">
        <v>3037</v>
      </c>
      <c r="C40" s="4126" t="s">
        <v>28</v>
      </c>
      <c r="D40" s="4126" t="s">
        <v>2979</v>
      </c>
      <c r="E40" s="4126" t="s">
        <v>2991</v>
      </c>
      <c r="F40" s="4126" t="s">
        <v>28</v>
      </c>
      <c r="G40" s="4126" t="s">
        <v>28</v>
      </c>
      <c r="H40" s="4126" t="s">
        <v>28</v>
      </c>
      <c r="I40" s="4126" t="s">
        <v>28</v>
      </c>
    </row>
    <row r="41" spans="1:9" ht="11.25" customHeight="1">
      <c r="A41" s="4126" t="s">
        <v>1663</v>
      </c>
      <c r="B41" s="4126" t="s">
        <v>3038</v>
      </c>
      <c r="C41" s="4126" t="s">
        <v>28</v>
      </c>
      <c r="D41" s="4126" t="s">
        <v>2979</v>
      </c>
      <c r="E41" s="4126" t="s">
        <v>2991</v>
      </c>
      <c r="F41" s="4126" t="s">
        <v>28</v>
      </c>
      <c r="G41" s="4126" t="s">
        <v>28</v>
      </c>
      <c r="H41" s="4126" t="s">
        <v>28</v>
      </c>
      <c r="I41" s="4126" t="s">
        <v>28</v>
      </c>
    </row>
    <row r="42" spans="1:9" ht="11.25" customHeight="1">
      <c r="A42" s="4126" t="s">
        <v>1666</v>
      </c>
      <c r="B42" s="4126" t="s">
        <v>3039</v>
      </c>
      <c r="C42" s="4126" t="s">
        <v>28</v>
      </c>
      <c r="D42" s="4126" t="s">
        <v>3040</v>
      </c>
      <c r="E42" s="4126" t="s">
        <v>3041</v>
      </c>
      <c r="F42" s="4126" t="s">
        <v>28</v>
      </c>
      <c r="G42" s="4126" t="s">
        <v>28</v>
      </c>
      <c r="H42" s="4126" t="s">
        <v>28</v>
      </c>
      <c r="I42" s="4126" t="s">
        <v>28</v>
      </c>
    </row>
    <row r="43" spans="1:9" ht="11.25" customHeight="1">
      <c r="A43" s="4126" t="s">
        <v>1673</v>
      </c>
      <c r="B43" s="4126" t="s">
        <v>3042</v>
      </c>
      <c r="C43" s="4126" t="s">
        <v>28</v>
      </c>
      <c r="D43" s="4126" t="s">
        <v>3040</v>
      </c>
      <c r="E43" s="4126" t="s">
        <v>3041</v>
      </c>
      <c r="F43" s="4126" t="s">
        <v>28</v>
      </c>
      <c r="G43" s="4126" t="s">
        <v>28</v>
      </c>
      <c r="H43" s="4126" t="s">
        <v>28</v>
      </c>
      <c r="I43" s="4126" t="s">
        <v>28</v>
      </c>
    </row>
    <row r="44" spans="1:9" ht="11.25" customHeight="1">
      <c r="A44" s="4126" t="s">
        <v>1682</v>
      </c>
      <c r="B44" s="4126" t="s">
        <v>3043</v>
      </c>
      <c r="C44" s="4126" t="s">
        <v>28</v>
      </c>
      <c r="D44" s="4126" t="s">
        <v>2996</v>
      </c>
      <c r="E44" s="4126" t="s">
        <v>3044</v>
      </c>
      <c r="F44" s="4126" t="s">
        <v>28</v>
      </c>
      <c r="G44" s="4126" t="s">
        <v>28</v>
      </c>
      <c r="H44" s="4126" t="s">
        <v>28</v>
      </c>
      <c r="I44" s="4126" t="s">
        <v>28</v>
      </c>
    </row>
    <row r="45" spans="1:9" ht="11.25" customHeight="1">
      <c r="A45" s="4126" t="s">
        <v>1687</v>
      </c>
      <c r="B45" s="4126" t="s">
        <v>3045</v>
      </c>
      <c r="C45" s="4126" t="s">
        <v>28</v>
      </c>
      <c r="D45" s="4126" t="s">
        <v>3046</v>
      </c>
      <c r="E45" s="4126" t="s">
        <v>3044</v>
      </c>
      <c r="F45" s="4126" t="s">
        <v>28</v>
      </c>
      <c r="G45" s="4126" t="s">
        <v>28</v>
      </c>
      <c r="H45" s="4126" t="s">
        <v>28</v>
      </c>
      <c r="I45" s="4126" t="s">
        <v>28</v>
      </c>
    </row>
    <row r="46" spans="1:9" ht="11.25" customHeight="1">
      <c r="A46" s="4126" t="s">
        <v>1691</v>
      </c>
      <c r="B46" s="4126" t="s">
        <v>3047</v>
      </c>
      <c r="C46" s="4126" t="s">
        <v>28</v>
      </c>
      <c r="D46" s="4126" t="s">
        <v>3048</v>
      </c>
      <c r="E46" s="4126" t="s">
        <v>2980</v>
      </c>
      <c r="F46" s="4126" t="s">
        <v>28</v>
      </c>
      <c r="G46" s="4126" t="s">
        <v>28</v>
      </c>
      <c r="H46" s="4126" t="s">
        <v>28</v>
      </c>
      <c r="I46" s="4126" t="s">
        <v>28</v>
      </c>
    </row>
    <row r="47" spans="1:9" ht="11.25" customHeight="1">
      <c r="A47" s="4126" t="s">
        <v>1697</v>
      </c>
      <c r="B47" s="4126" t="s">
        <v>3049</v>
      </c>
      <c r="C47" s="4126" t="s">
        <v>28</v>
      </c>
      <c r="D47" s="4126" t="s">
        <v>3008</v>
      </c>
      <c r="E47" s="4126" t="s">
        <v>3021</v>
      </c>
      <c r="F47" s="4126" t="s">
        <v>28</v>
      </c>
      <c r="G47" s="4126" t="s">
        <v>28</v>
      </c>
      <c r="H47" s="4126" t="s">
        <v>28</v>
      </c>
      <c r="I47" s="4126" t="s">
        <v>28</v>
      </c>
    </row>
    <row r="48" spans="1:9" ht="11.25" customHeight="1">
      <c r="A48" s="4126" t="s">
        <v>1702</v>
      </c>
      <c r="B48" s="4126" t="s">
        <v>3050</v>
      </c>
      <c r="C48" s="4126" t="s">
        <v>28</v>
      </c>
      <c r="D48" s="4126" t="s">
        <v>2984</v>
      </c>
      <c r="E48" s="4126" t="s">
        <v>2993</v>
      </c>
      <c r="F48" s="4126" t="s">
        <v>28</v>
      </c>
      <c r="G48" s="4126" t="s">
        <v>28</v>
      </c>
      <c r="H48" s="4126" t="s">
        <v>28</v>
      </c>
      <c r="I48" s="4126" t="s">
        <v>28</v>
      </c>
    </row>
    <row r="49" spans="1:9" ht="11.25" customHeight="1">
      <c r="A49" s="4126" t="s">
        <v>1705</v>
      </c>
      <c r="B49" s="4126" t="s">
        <v>3051</v>
      </c>
      <c r="C49" s="4126" t="s">
        <v>28</v>
      </c>
      <c r="D49" s="4126" t="s">
        <v>2996</v>
      </c>
      <c r="E49" s="4126" t="s">
        <v>3005</v>
      </c>
      <c r="F49" s="4126" t="s">
        <v>28</v>
      </c>
      <c r="G49" s="4126" t="s">
        <v>28</v>
      </c>
      <c r="H49" s="4126" t="s">
        <v>28</v>
      </c>
      <c r="I49" s="412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4131" hidden="1" customWidth="1"/>
    <col min="2" max="2" width="9.140625" style="4133" hidden="1" customWidth="1"/>
    <col min="3" max="3" width="3" style="4145" customWidth="1"/>
    <col min="4" max="4" width="5" style="4133" customWidth="1"/>
    <col min="5" max="5" width="48" style="4133" customWidth="1"/>
    <col min="6" max="6" width="38" style="4133" customWidth="1"/>
    <col min="7" max="7" width="1.7109375" style="4133" hidden="1" customWidth="1"/>
    <col min="8" max="11" width="19.85546875" style="4133" customWidth="1"/>
    <col min="12" max="12" width="9.7109375" style="4133" customWidth="1"/>
    <col min="13" max="18" width="19.85546875" style="4133" customWidth="1"/>
    <col min="19" max="19" width="1.7109375" style="4133" hidden="1" customWidth="1"/>
    <col min="20" max="22" width="19.85546875" style="4133" hidden="1" customWidth="1"/>
    <col min="23" max="23" width="1.7109375" style="4133" hidden="1" customWidth="1"/>
    <col min="24" max="26" width="19.85546875" style="4133" hidden="1" customWidth="1"/>
    <col min="27" max="27" width="1.7109375" style="4133" hidden="1" customWidth="1"/>
    <col min="28" max="29" width="19.85546875" style="4133" hidden="1" customWidth="1"/>
    <col min="30" max="30" width="1.7109375" style="4133" hidden="1" customWidth="1"/>
    <col min="31" max="31" width="103.7109375" style="4133" customWidth="1"/>
    <col min="32" max="34" width="103.7109375" style="4133" hidden="1" customWidth="1"/>
    <col min="35" max="35" width="3" style="4142" customWidth="1"/>
    <col min="36" max="38" width="10" style="4140" customWidth="1"/>
    <col min="39" max="39" width="13.7109375" style="4140" hidden="1" customWidth="1"/>
    <col min="40" max="40" width="15" style="4140" customWidth="1"/>
    <col min="41" max="41" width="16" style="4140" customWidth="1"/>
    <col min="42" max="45" width="10" style="4140" customWidth="1"/>
    <col min="46" max="46" width="10.5703125" style="4133" hidden="1"/>
  </cols>
  <sheetData>
    <row r="1" spans="1:46" ht="22.5" hidden="1" customHeight="1">
      <c r="E1" s="347"/>
      <c r="F1" s="347"/>
      <c r="G1" s="347"/>
      <c r="H1" s="4390" t="s">
        <v>373</v>
      </c>
      <c r="I1" s="4390"/>
      <c r="J1" s="4390"/>
      <c r="K1" s="4390"/>
      <c r="L1" s="4390"/>
      <c r="M1" s="4390"/>
      <c r="N1" s="4390"/>
      <c r="O1" s="4390"/>
      <c r="P1" s="4390"/>
      <c r="Q1" s="4390"/>
      <c r="R1" s="4390"/>
      <c r="T1" s="4390" t="s">
        <v>374</v>
      </c>
      <c r="U1" s="4390"/>
      <c r="V1" s="4390"/>
      <c r="X1" s="4390" t="s">
        <v>375</v>
      </c>
      <c r="Y1" s="4390"/>
      <c r="Z1" s="4390"/>
      <c r="AB1" s="4390" t="s">
        <v>376</v>
      </c>
      <c r="AC1" s="4390"/>
      <c r="AT1" s="382" t="s">
        <v>14</v>
      </c>
    </row>
    <row r="2" spans="1:46" ht="14.25" hidden="1" customHeight="1">
      <c r="AT2" s="382">
        <v>0</v>
      </c>
    </row>
    <row r="3" spans="1:46" s="4163" customFormat="1" ht="5.25" customHeight="1">
      <c r="C3" s="636"/>
      <c r="D3" s="637"/>
      <c r="E3" s="637"/>
      <c r="F3" s="637"/>
      <c r="G3" s="637"/>
      <c r="H3" s="637" t="s">
        <v>377</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432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327"/>
      <c r="F4" s="4327"/>
      <c r="G4" s="4327"/>
      <c r="H4" s="4327"/>
      <c r="I4" s="4327"/>
      <c r="J4" s="4327"/>
      <c r="K4" s="4327"/>
      <c r="L4" s="4327"/>
      <c r="M4" s="4327"/>
      <c r="N4" s="4327"/>
      <c r="O4" s="4327"/>
      <c r="P4" s="4327"/>
      <c r="Q4" s="4327"/>
      <c r="R4" s="4328"/>
      <c r="S4" s="778"/>
      <c r="T4" s="634"/>
      <c r="U4" s="634"/>
      <c r="V4" s="634"/>
      <c r="W4" s="634"/>
      <c r="X4" s="634"/>
      <c r="Y4" s="634"/>
      <c r="Z4" s="634"/>
      <c r="AA4" s="634"/>
      <c r="AB4" s="634"/>
      <c r="AC4" s="634"/>
      <c r="AD4" s="634"/>
      <c r="AE4" s="426"/>
      <c r="AF4" s="426"/>
      <c r="AG4" s="426"/>
      <c r="AH4" s="426"/>
      <c r="AI4" s="423"/>
      <c r="AT4" s="382">
        <v>38</v>
      </c>
    </row>
    <row r="5" spans="1:46" s="4133" customFormat="1" ht="18" customHeight="1">
      <c r="A5" s="692"/>
      <c r="C5" s="751"/>
      <c r="D5" s="4387" t="str">
        <f>IF(org=0,"Не определено",org)</f>
        <v>АО "Мурманэнергосбыт"</v>
      </c>
      <c r="E5" s="4388"/>
      <c r="F5" s="4388"/>
      <c r="G5" s="4388"/>
      <c r="H5" s="4388"/>
      <c r="I5" s="4388"/>
      <c r="J5" s="4388"/>
      <c r="K5" s="4388"/>
      <c r="L5" s="4388"/>
      <c r="M5" s="4388"/>
      <c r="N5" s="4388"/>
      <c r="O5" s="4388"/>
      <c r="P5" s="4388"/>
      <c r="Q5" s="4388"/>
      <c r="R5" s="438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4132"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4378" t="s">
        <v>321</v>
      </c>
      <c r="E7" s="4391"/>
      <c r="F7" s="4391"/>
      <c r="G7" s="4391"/>
      <c r="H7" s="4391"/>
      <c r="I7" s="4391"/>
      <c r="J7" s="4391"/>
      <c r="K7" s="4391"/>
      <c r="L7" s="4391"/>
      <c r="M7" s="4391"/>
      <c r="N7" s="4391"/>
      <c r="O7" s="4391"/>
      <c r="P7" s="4391"/>
      <c r="Q7" s="4391"/>
      <c r="R7" s="4391"/>
      <c r="S7" s="4391"/>
      <c r="T7" s="4391"/>
      <c r="U7" s="4391"/>
      <c r="V7" s="4391"/>
      <c r="W7" s="4391"/>
      <c r="X7" s="4391"/>
      <c r="Y7" s="4391"/>
      <c r="Z7" s="4391"/>
      <c r="AA7" s="4391"/>
      <c r="AB7" s="4391"/>
      <c r="AC7" s="4391"/>
      <c r="AD7" s="4392"/>
      <c r="AE7" s="4333" t="s">
        <v>322</v>
      </c>
      <c r="AF7" s="4333" t="s">
        <v>322</v>
      </c>
      <c r="AG7" s="4333" t="s">
        <v>322</v>
      </c>
      <c r="AH7" s="4333" t="s">
        <v>322</v>
      </c>
      <c r="AT7" s="382">
        <v>14</v>
      </c>
    </row>
    <row r="8" spans="1:46" ht="27.4" customHeight="1">
      <c r="C8" s="385"/>
      <c r="D8" s="4274" t="s">
        <v>92</v>
      </c>
      <c r="E8" s="4333" t="str">
        <f>"Наименование "&amp;IF(TEMPLATE_SPHERE&lt;&gt;"HEAT","централизованной ","")&amp;"системы "&amp;TEMPLATE_SPHERE_RUS</f>
        <v>Наименование системы теплоснабжения</v>
      </c>
      <c r="F8" s="4333" t="str">
        <f>IF(TEMPLATE_SPHERE&lt;&gt;"HEAT","Регулируемый вид деятельности","Вид регулируемой деятельности")</f>
        <v>Вид регулируемой деятельности</v>
      </c>
      <c r="G8" s="757"/>
      <c r="H8" s="4379" t="s">
        <v>378</v>
      </c>
      <c r="I8" s="4383" t="s">
        <v>379</v>
      </c>
      <c r="J8" s="4333" t="s">
        <v>380</v>
      </c>
      <c r="K8" s="4333"/>
      <c r="L8" s="4333"/>
      <c r="M8" s="4378"/>
      <c r="N8" s="4333" t="s">
        <v>381</v>
      </c>
      <c r="O8" s="4333"/>
      <c r="P8" s="4333" t="s">
        <v>382</v>
      </c>
      <c r="Q8" s="4333"/>
      <c r="R8" s="4381" t="s">
        <v>383</v>
      </c>
      <c r="S8" s="753"/>
      <c r="T8" s="4379" t="s">
        <v>384</v>
      </c>
      <c r="U8" s="4379" t="s">
        <v>385</v>
      </c>
      <c r="V8" s="4379" t="s">
        <v>386</v>
      </c>
      <c r="W8" s="755"/>
      <c r="X8" s="4379" t="s">
        <v>387</v>
      </c>
      <c r="Y8" s="4379" t="s">
        <v>388</v>
      </c>
      <c r="Z8" s="4379" t="s">
        <v>389</v>
      </c>
      <c r="AA8" s="755"/>
      <c r="AB8" s="4379" t="s">
        <v>390</v>
      </c>
      <c r="AC8" s="4379" t="s">
        <v>383</v>
      </c>
      <c r="AD8" s="755"/>
      <c r="AE8" s="4333"/>
      <c r="AF8" s="4333"/>
      <c r="AG8" s="4333"/>
      <c r="AH8" s="4333"/>
      <c r="AT8" s="382">
        <v>26</v>
      </c>
    </row>
    <row r="9" spans="1:46" ht="46.15" customHeight="1">
      <c r="C9" s="385"/>
      <c r="D9" s="4274"/>
      <c r="E9" s="4333"/>
      <c r="F9" s="4333"/>
      <c r="G9" s="758"/>
      <c r="H9" s="4380"/>
      <c r="I9" s="4384"/>
      <c r="J9" s="360" t="s">
        <v>391</v>
      </c>
      <c r="K9" s="360" t="s">
        <v>392</v>
      </c>
      <c r="L9" s="360" t="s">
        <v>393</v>
      </c>
      <c r="M9" s="366" t="s">
        <v>394</v>
      </c>
      <c r="N9" s="360" t="s">
        <v>395</v>
      </c>
      <c r="O9" s="360" t="s">
        <v>394</v>
      </c>
      <c r="P9" s="360" t="s">
        <v>396</v>
      </c>
      <c r="Q9" s="360" t="s">
        <v>394</v>
      </c>
      <c r="R9" s="4382"/>
      <c r="S9" s="754"/>
      <c r="T9" s="4380"/>
      <c r="U9" s="4380"/>
      <c r="V9" s="4380"/>
      <c r="W9" s="756"/>
      <c r="X9" s="4380"/>
      <c r="Y9" s="4380"/>
      <c r="Z9" s="4380"/>
      <c r="AA9" s="756"/>
      <c r="AB9" s="4380"/>
      <c r="AC9" s="4380"/>
      <c r="AD9" s="756"/>
      <c r="AE9" s="4333"/>
      <c r="AF9" s="4333"/>
      <c r="AG9" s="4333"/>
      <c r="AH9" s="433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4164" customFormat="1" ht="11.25" hidden="1" customHeight="1">
      <c r="C11" s="433"/>
      <c r="D11" s="434" t="s">
        <v>397</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4385" t="s">
        <v>398</v>
      </c>
      <c r="AF12" s="4385" t="s">
        <v>399</v>
      </c>
      <c r="AG12" s="4385" t="s">
        <v>400</v>
      </c>
      <c r="AH12" s="4385" t="s">
        <v>401</v>
      </c>
      <c r="AI12" s="382"/>
      <c r="AM12" s="446"/>
      <c r="AP12" s="435" t="s">
        <v>402</v>
      </c>
      <c r="AQ12" s="435" t="s">
        <v>402</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4386"/>
      <c r="AF13" s="4386"/>
      <c r="AG13" s="4386"/>
      <c r="AH13" s="438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86</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4236"/>
  </cols>
  <sheetData>
    <row r="1" spans="1:2" ht="11.25" customHeight="1">
      <c r="A1" s="120" t="s">
        <v>133</v>
      </c>
      <c r="B1" s="120" t="s">
        <v>3052</v>
      </c>
    </row>
    <row r="2" spans="1:2" ht="11.25" customHeight="1">
      <c r="A2" s="3" t="s">
        <v>102</v>
      </c>
      <c r="B2" s="3" t="s">
        <v>3053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235"/>
    <col min="2" max="2" width="65.28515625" style="4235" customWidth="1"/>
  </cols>
  <sheetData>
    <row r="1" spans="1:2" ht="11.25" customHeight="1">
      <c r="A1" s="764" t="s">
        <v>3054</v>
      </c>
      <c r="B1" s="764" t="s">
        <v>3055</v>
      </c>
    </row>
    <row r="2" spans="1:2" ht="11.25" customHeight="1">
      <c r="A2" s="764">
        <v>4213775</v>
      </c>
      <c r="B2" s="764" t="s">
        <v>1262</v>
      </c>
    </row>
    <row r="3" spans="1:2" ht="11.25" customHeight="1">
      <c r="A3" s="764">
        <v>4213784</v>
      </c>
      <c r="B3" s="764" t="s">
        <v>1295</v>
      </c>
    </row>
    <row r="4" spans="1:2" ht="11.25" customHeight="1">
      <c r="A4" s="764">
        <v>4213781</v>
      </c>
      <c r="B4" s="764" t="s">
        <v>1288</v>
      </c>
    </row>
    <row r="5" spans="1:2" ht="11.25" customHeight="1">
      <c r="A5" s="764">
        <v>4213776</v>
      </c>
      <c r="B5" s="764" t="s">
        <v>189</v>
      </c>
    </row>
    <row r="6" spans="1:2" ht="11.25" customHeight="1">
      <c r="A6" s="764">
        <v>4213777</v>
      </c>
      <c r="B6" s="764" t="s">
        <v>195</v>
      </c>
    </row>
    <row r="7" spans="1:2" ht="11.25" customHeight="1">
      <c r="A7" s="764">
        <v>4213778</v>
      </c>
      <c r="B7" s="764" t="s">
        <v>201</v>
      </c>
    </row>
    <row r="8" spans="1:2" ht="11.25" customHeight="1">
      <c r="A8" s="764">
        <v>4213780</v>
      </c>
      <c r="B8" s="764" t="s">
        <v>207</v>
      </c>
    </row>
    <row r="9" spans="1:2" ht="11.25" customHeight="1">
      <c r="A9" s="764">
        <v>4213779</v>
      </c>
      <c r="B9" s="764" t="s">
        <v>1428</v>
      </c>
    </row>
    <row r="10" spans="1:2" ht="11.25" customHeight="1">
      <c r="A10" s="764">
        <v>4213783</v>
      </c>
      <c r="B10" s="764" t="s">
        <v>1443</v>
      </c>
    </row>
    <row r="11" spans="1:2" ht="11.25" customHeight="1">
      <c r="A11" s="764">
        <v>4213782</v>
      </c>
      <c r="B11" s="764" t="s">
        <v>213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4235"/>
    <col min="2" max="2" width="65.28515625" style="4235" customWidth="1"/>
  </cols>
  <sheetData>
    <row r="1" spans="1:2" ht="11.25" customHeight="1">
      <c r="A1" s="764" t="s">
        <v>3054</v>
      </c>
      <c r="B1" s="764" t="s">
        <v>3056</v>
      </c>
    </row>
    <row r="2" spans="1:2" ht="11.25" customHeight="1">
      <c r="A2" s="764" t="s">
        <v>3057</v>
      </c>
      <c r="B2" s="764" t="s">
        <v>1541</v>
      </c>
    </row>
    <row r="3" spans="1:2" ht="11.25" customHeight="1">
      <c r="A3" s="764" t="s">
        <v>3058</v>
      </c>
      <c r="B3" s="764" t="s">
        <v>1551</v>
      </c>
    </row>
    <row r="4" spans="1:2" ht="11.25" customHeight="1">
      <c r="A4" s="764" t="s">
        <v>3059</v>
      </c>
      <c r="B4" s="764" t="s">
        <v>1560</v>
      </c>
    </row>
    <row r="5" spans="1:2" ht="11.25" customHeight="1">
      <c r="A5" s="764" t="s">
        <v>3060</v>
      </c>
      <c r="B5" s="764" t="s">
        <v>1569</v>
      </c>
    </row>
    <row r="6" spans="1:2" ht="11.25" customHeight="1">
      <c r="A6" s="764" t="s">
        <v>3061</v>
      </c>
      <c r="B6" s="764" t="s">
        <v>1575</v>
      </c>
    </row>
    <row r="7" spans="1:2" ht="11.25" customHeight="1">
      <c r="A7" s="764" t="s">
        <v>3062</v>
      </c>
      <c r="B7" s="764" t="s">
        <v>1583</v>
      </c>
    </row>
    <row r="8" spans="1:2" ht="11.25" customHeight="1">
      <c r="A8" s="764" t="s">
        <v>3063</v>
      </c>
      <c r="B8" s="764" t="s">
        <v>1590</v>
      </c>
    </row>
    <row r="9" spans="1:2" ht="11.25" customHeight="1">
      <c r="A9" s="764" t="s">
        <v>3064</v>
      </c>
      <c r="B9" s="764" t="s">
        <v>1596</v>
      </c>
    </row>
    <row r="10" spans="1:2" ht="11.25" customHeight="1">
      <c r="A10" s="764" t="s">
        <v>3065</v>
      </c>
      <c r="B10" s="764" t="s">
        <v>1600</v>
      </c>
    </row>
    <row r="11" spans="1:2" ht="11.25" customHeight="1">
      <c r="A11" s="764" t="s">
        <v>3066</v>
      </c>
      <c r="B11" s="764" t="s">
        <v>1607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sheetData>
    <row r="1" spans="1:7" ht="11.25" customHeight="1">
      <c r="A1" s="308" t="s">
        <v>2886</v>
      </c>
      <c r="B1" s="308" t="s">
        <v>2887</v>
      </c>
      <c r="C1" s="308" t="s">
        <v>2888</v>
      </c>
      <c r="D1" s="308" t="s">
        <v>2889</v>
      </c>
      <c r="E1" t="s">
        <v>2890</v>
      </c>
      <c r="F1" t="s">
        <v>2891</v>
      </c>
      <c r="G1" t="s">
        <v>2892</v>
      </c>
    </row>
    <row r="2" spans="1:7" ht="11.25" customHeight="1">
      <c r="A2" t="s">
        <v>16</v>
      </c>
      <c r="B2" t="s">
        <v>2893</v>
      </c>
      <c r="C2" t="s">
        <v>2894</v>
      </c>
      <c r="D2" t="s">
        <v>2893</v>
      </c>
      <c r="E2" t="s">
        <v>2894</v>
      </c>
      <c r="F2" t="s">
        <v>2895</v>
      </c>
      <c r="G2" t="s">
        <v>113</v>
      </c>
    </row>
    <row r="3" spans="1:7" ht="11.25" customHeight="1">
      <c r="A3" t="s">
        <v>16</v>
      </c>
      <c r="B3" t="s">
        <v>2896</v>
      </c>
      <c r="C3" t="s">
        <v>2897</v>
      </c>
      <c r="D3" t="s">
        <v>2896</v>
      </c>
      <c r="E3" t="s">
        <v>2897</v>
      </c>
      <c r="F3" t="s">
        <v>2895</v>
      </c>
      <c r="G3" t="s">
        <v>114</v>
      </c>
    </row>
    <row r="4" spans="1:7" ht="11.25" customHeight="1">
      <c r="A4" t="s">
        <v>16</v>
      </c>
      <c r="B4" t="s">
        <v>2898</v>
      </c>
      <c r="C4" t="s">
        <v>2899</v>
      </c>
      <c r="D4" t="s">
        <v>2898</v>
      </c>
      <c r="E4" t="s">
        <v>2899</v>
      </c>
      <c r="F4" t="s">
        <v>2895</v>
      </c>
      <c r="G4" t="s">
        <v>94</v>
      </c>
    </row>
    <row r="5" spans="1:7" ht="11.25" customHeight="1">
      <c r="A5" t="s">
        <v>16</v>
      </c>
      <c r="B5" t="s">
        <v>2900</v>
      </c>
      <c r="C5" t="s">
        <v>2901</v>
      </c>
      <c r="D5" t="s">
        <v>2900</v>
      </c>
      <c r="E5" t="s">
        <v>2901</v>
      </c>
      <c r="F5" t="s">
        <v>2895</v>
      </c>
      <c r="G5" t="s">
        <v>95</v>
      </c>
    </row>
    <row r="6" spans="1:7" ht="11.25" customHeight="1">
      <c r="A6" t="s">
        <v>16</v>
      </c>
      <c r="B6" t="s">
        <v>104</v>
      </c>
      <c r="C6" t="s">
        <v>105</v>
      </c>
      <c r="D6" t="s">
        <v>104</v>
      </c>
      <c r="E6" t="s">
        <v>105</v>
      </c>
      <c r="F6" t="s">
        <v>2895</v>
      </c>
      <c r="G6" t="s">
        <v>103</v>
      </c>
    </row>
    <row r="7" spans="1:7" ht="11.25" customHeight="1">
      <c r="A7" t="s">
        <v>16</v>
      </c>
      <c r="B7" t="s">
        <v>2902</v>
      </c>
      <c r="C7" t="s">
        <v>2903</v>
      </c>
      <c r="D7" t="s">
        <v>2904</v>
      </c>
      <c r="E7" t="s">
        <v>2905</v>
      </c>
      <c r="F7" t="s">
        <v>2906</v>
      </c>
      <c r="G7" t="s">
        <v>96</v>
      </c>
    </row>
    <row r="8" spans="1:7" ht="11.25" customHeight="1">
      <c r="A8" t="s">
        <v>16</v>
      </c>
      <c r="B8" t="s">
        <v>2902</v>
      </c>
      <c r="C8" t="s">
        <v>2903</v>
      </c>
      <c r="D8" t="s">
        <v>2907</v>
      </c>
      <c r="E8" t="s">
        <v>2908</v>
      </c>
      <c r="F8" t="s">
        <v>2909</v>
      </c>
      <c r="G8" t="s">
        <v>97</v>
      </c>
    </row>
    <row r="9" spans="1:7" ht="11.25" customHeight="1">
      <c r="A9" t="s">
        <v>16</v>
      </c>
      <c r="B9" t="s">
        <v>2902</v>
      </c>
      <c r="C9" t="s">
        <v>2903</v>
      </c>
      <c r="D9" t="s">
        <v>2910</v>
      </c>
      <c r="E9" t="s">
        <v>2911</v>
      </c>
      <c r="F9" t="s">
        <v>2906</v>
      </c>
      <c r="G9" t="s">
        <v>115</v>
      </c>
    </row>
    <row r="10" spans="1:7" ht="11.25" customHeight="1">
      <c r="A10" t="s">
        <v>16</v>
      </c>
      <c r="B10" t="s">
        <v>2902</v>
      </c>
      <c r="C10" t="s">
        <v>2903</v>
      </c>
      <c r="D10" t="s">
        <v>2902</v>
      </c>
      <c r="E10" t="s">
        <v>2903</v>
      </c>
      <c r="F10" t="s">
        <v>2912</v>
      </c>
      <c r="G10" t="s">
        <v>151</v>
      </c>
    </row>
    <row r="11" spans="1:7" ht="11.25" customHeight="1">
      <c r="A11" t="s">
        <v>16</v>
      </c>
      <c r="B11" t="s">
        <v>2902</v>
      </c>
      <c r="C11" t="s">
        <v>2903</v>
      </c>
      <c r="D11" t="s">
        <v>2913</v>
      </c>
      <c r="E11" t="s">
        <v>2914</v>
      </c>
      <c r="F11" t="s">
        <v>2915</v>
      </c>
      <c r="G11" t="s">
        <v>152</v>
      </c>
    </row>
    <row r="12" spans="1:7" ht="11.25" customHeight="1">
      <c r="A12" t="s">
        <v>16</v>
      </c>
      <c r="B12" t="s">
        <v>2916</v>
      </c>
      <c r="C12" t="s">
        <v>2917</v>
      </c>
      <c r="D12" t="s">
        <v>2916</v>
      </c>
      <c r="E12" t="s">
        <v>2917</v>
      </c>
      <c r="F12" t="s">
        <v>2918</v>
      </c>
      <c r="G12" t="s">
        <v>153</v>
      </c>
    </row>
    <row r="13" spans="1:7" ht="11.25" customHeight="1">
      <c r="A13" t="s">
        <v>16</v>
      </c>
      <c r="B13" t="s">
        <v>2919</v>
      </c>
      <c r="C13" t="s">
        <v>2920</v>
      </c>
      <c r="D13" t="s">
        <v>2919</v>
      </c>
      <c r="E13" t="s">
        <v>2920</v>
      </c>
      <c r="F13" t="s">
        <v>2912</v>
      </c>
      <c r="G13" t="s">
        <v>154</v>
      </c>
    </row>
    <row r="14" spans="1:7" ht="11.25" customHeight="1">
      <c r="A14" t="s">
        <v>16</v>
      </c>
      <c r="B14" t="s">
        <v>2919</v>
      </c>
      <c r="C14" t="s">
        <v>2920</v>
      </c>
      <c r="D14" t="s">
        <v>2921</v>
      </c>
      <c r="E14" t="s">
        <v>2922</v>
      </c>
      <c r="F14" t="s">
        <v>2906</v>
      </c>
      <c r="G14" t="s">
        <v>155</v>
      </c>
    </row>
    <row r="15" spans="1:7" ht="11.25" customHeight="1">
      <c r="A15" t="s">
        <v>16</v>
      </c>
      <c r="B15" t="s">
        <v>2919</v>
      </c>
      <c r="C15" t="s">
        <v>2920</v>
      </c>
      <c r="D15" t="s">
        <v>2923</v>
      </c>
      <c r="E15" t="s">
        <v>2924</v>
      </c>
      <c r="F15" t="s">
        <v>2915</v>
      </c>
      <c r="G15" t="s">
        <v>156</v>
      </c>
    </row>
    <row r="16" spans="1:7" ht="11.25" customHeight="1">
      <c r="A16" t="s">
        <v>16</v>
      </c>
      <c r="B16" t="s">
        <v>2919</v>
      </c>
      <c r="C16" t="s">
        <v>2920</v>
      </c>
      <c r="D16" t="s">
        <v>2925</v>
      </c>
      <c r="E16" t="s">
        <v>2926</v>
      </c>
      <c r="F16" t="s">
        <v>2915</v>
      </c>
      <c r="G16" t="s">
        <v>1503</v>
      </c>
    </row>
    <row r="17" spans="1:7" ht="11.25" customHeight="1">
      <c r="A17" t="s">
        <v>16</v>
      </c>
      <c r="B17" t="s">
        <v>2919</v>
      </c>
      <c r="C17" t="s">
        <v>2920</v>
      </c>
      <c r="D17" t="s">
        <v>2927</v>
      </c>
      <c r="E17" t="s">
        <v>2928</v>
      </c>
      <c r="F17" t="s">
        <v>2915</v>
      </c>
      <c r="G17" t="s">
        <v>1509</v>
      </c>
    </row>
    <row r="18" spans="1:7" ht="11.25" customHeight="1">
      <c r="A18" t="s">
        <v>16</v>
      </c>
      <c r="B18" t="s">
        <v>2919</v>
      </c>
      <c r="C18" t="s">
        <v>2920</v>
      </c>
      <c r="D18" t="s">
        <v>2929</v>
      </c>
      <c r="E18" t="s">
        <v>2930</v>
      </c>
      <c r="F18" t="s">
        <v>2915</v>
      </c>
      <c r="G18" t="s">
        <v>1521</v>
      </c>
    </row>
    <row r="19" spans="1:7" ht="11.25" customHeight="1">
      <c r="A19" t="s">
        <v>16</v>
      </c>
      <c r="B19" t="s">
        <v>2919</v>
      </c>
      <c r="C19" t="s">
        <v>2920</v>
      </c>
      <c r="D19" t="s">
        <v>2931</v>
      </c>
      <c r="E19" t="s">
        <v>2932</v>
      </c>
      <c r="F19" t="s">
        <v>2906</v>
      </c>
      <c r="G19" t="s">
        <v>1535</v>
      </c>
    </row>
    <row r="20" spans="1:7" ht="11.25" customHeight="1">
      <c r="A20" t="s">
        <v>16</v>
      </c>
      <c r="B20" t="s">
        <v>2919</v>
      </c>
      <c r="C20" t="s">
        <v>2920</v>
      </c>
      <c r="D20" t="s">
        <v>2933</v>
      </c>
      <c r="E20" t="s">
        <v>2934</v>
      </c>
      <c r="F20" t="s">
        <v>2906</v>
      </c>
      <c r="G20" t="s">
        <v>1547</v>
      </c>
    </row>
    <row r="21" spans="1:7" ht="11.25" customHeight="1">
      <c r="A21" t="s">
        <v>16</v>
      </c>
      <c r="B21" t="s">
        <v>2919</v>
      </c>
      <c r="C21" t="s">
        <v>2920</v>
      </c>
      <c r="D21" t="s">
        <v>2935</v>
      </c>
      <c r="E21" t="s">
        <v>2936</v>
      </c>
      <c r="F21" t="s">
        <v>2906</v>
      </c>
      <c r="G21" t="s">
        <v>1556</v>
      </c>
    </row>
    <row r="22" spans="1:7" ht="11.25" customHeight="1">
      <c r="A22" t="s">
        <v>16</v>
      </c>
      <c r="B22" t="s">
        <v>2919</v>
      </c>
      <c r="C22" t="s">
        <v>2920</v>
      </c>
      <c r="D22" t="s">
        <v>2937</v>
      </c>
      <c r="E22" t="s">
        <v>2938</v>
      </c>
      <c r="F22" t="s">
        <v>2909</v>
      </c>
      <c r="G22" t="s">
        <v>1572</v>
      </c>
    </row>
    <row r="23" spans="1:7" ht="11.25" customHeight="1">
      <c r="A23" t="s">
        <v>16</v>
      </c>
      <c r="B23" t="s">
        <v>2919</v>
      </c>
      <c r="C23" t="s">
        <v>2920</v>
      </c>
      <c r="D23" t="s">
        <v>2939</v>
      </c>
      <c r="E23" t="s">
        <v>2940</v>
      </c>
      <c r="F23" t="s">
        <v>2915</v>
      </c>
      <c r="G23" t="s">
        <v>1579</v>
      </c>
    </row>
    <row r="24" spans="1:7" ht="11.25" customHeight="1">
      <c r="A24" t="s">
        <v>16</v>
      </c>
      <c r="B24" t="s">
        <v>2919</v>
      </c>
      <c r="C24" t="s">
        <v>2920</v>
      </c>
      <c r="D24" t="s">
        <v>2941</v>
      </c>
      <c r="E24" t="s">
        <v>2942</v>
      </c>
      <c r="F24" t="s">
        <v>2906</v>
      </c>
      <c r="G24" t="s">
        <v>1587</v>
      </c>
    </row>
    <row r="25" spans="1:7" ht="11.25" customHeight="1">
      <c r="A25" t="s">
        <v>16</v>
      </c>
      <c r="B25" t="s">
        <v>2943</v>
      </c>
      <c r="C25" t="s">
        <v>2944</v>
      </c>
      <c r="D25" t="s">
        <v>2943</v>
      </c>
      <c r="E25" t="s">
        <v>2944</v>
      </c>
      <c r="F25" t="s">
        <v>2912</v>
      </c>
      <c r="G25" t="s">
        <v>1594</v>
      </c>
    </row>
    <row r="26" spans="1:7" ht="11.25" customHeight="1">
      <c r="A26" t="s">
        <v>16</v>
      </c>
      <c r="B26" t="s">
        <v>2943</v>
      </c>
      <c r="C26" t="s">
        <v>2944</v>
      </c>
      <c r="D26" t="s">
        <v>2945</v>
      </c>
      <c r="E26" t="s">
        <v>2946</v>
      </c>
      <c r="F26" t="s">
        <v>2915</v>
      </c>
      <c r="G26" t="s">
        <v>1598</v>
      </c>
    </row>
    <row r="27" spans="1:7" ht="11.25" customHeight="1">
      <c r="A27" t="s">
        <v>16</v>
      </c>
      <c r="B27" t="s">
        <v>2943</v>
      </c>
      <c r="C27" t="s">
        <v>2944</v>
      </c>
      <c r="D27" t="s">
        <v>2947</v>
      </c>
      <c r="E27" t="s">
        <v>2948</v>
      </c>
      <c r="F27" t="s">
        <v>2906</v>
      </c>
      <c r="G27" t="s">
        <v>1603</v>
      </c>
    </row>
    <row r="28" spans="1:7" ht="11.25" customHeight="1">
      <c r="A28" t="s">
        <v>16</v>
      </c>
      <c r="B28" t="s">
        <v>2949</v>
      </c>
      <c r="C28" t="s">
        <v>2950</v>
      </c>
      <c r="D28" t="s">
        <v>2949</v>
      </c>
      <c r="E28" t="s">
        <v>2950</v>
      </c>
      <c r="F28" t="s">
        <v>2918</v>
      </c>
      <c r="G28" t="s">
        <v>1611</v>
      </c>
    </row>
    <row r="29" spans="1:7" ht="11.25" customHeight="1">
      <c r="A29" t="s">
        <v>16</v>
      </c>
      <c r="B29" t="s">
        <v>2951</v>
      </c>
      <c r="C29" t="s">
        <v>2952</v>
      </c>
      <c r="D29" t="s">
        <v>2953</v>
      </c>
      <c r="E29" t="s">
        <v>2954</v>
      </c>
      <c r="F29" t="s">
        <v>2906</v>
      </c>
      <c r="G29" t="s">
        <v>1613</v>
      </c>
    </row>
    <row r="30" spans="1:7" ht="11.25" customHeight="1">
      <c r="A30" t="s">
        <v>16</v>
      </c>
      <c r="B30" t="s">
        <v>2951</v>
      </c>
      <c r="C30" t="s">
        <v>2952</v>
      </c>
      <c r="D30" t="s">
        <v>2955</v>
      </c>
      <c r="E30" t="s">
        <v>2956</v>
      </c>
      <c r="F30" t="s">
        <v>2915</v>
      </c>
      <c r="G30" t="s">
        <v>1616</v>
      </c>
    </row>
    <row r="31" spans="1:7" ht="11.25" customHeight="1">
      <c r="A31" t="s">
        <v>16</v>
      </c>
      <c r="B31" t="s">
        <v>2951</v>
      </c>
      <c r="C31" t="s">
        <v>2952</v>
      </c>
      <c r="D31" t="s">
        <v>2951</v>
      </c>
      <c r="E31" t="s">
        <v>2952</v>
      </c>
      <c r="F31" t="s">
        <v>2912</v>
      </c>
      <c r="G31" t="s">
        <v>1621</v>
      </c>
    </row>
    <row r="32" spans="1:7" ht="11.25" customHeight="1">
      <c r="A32" t="s">
        <v>16</v>
      </c>
      <c r="B32" t="s">
        <v>2957</v>
      </c>
      <c r="C32" t="s">
        <v>2958</v>
      </c>
      <c r="D32" t="s">
        <v>2957</v>
      </c>
      <c r="E32" t="s">
        <v>2958</v>
      </c>
      <c r="F32" t="s">
        <v>2918</v>
      </c>
      <c r="G32" t="s">
        <v>1623</v>
      </c>
    </row>
    <row r="33" spans="1:7" ht="11.25" customHeight="1">
      <c r="A33" t="s">
        <v>16</v>
      </c>
      <c r="B33" t="s">
        <v>2959</v>
      </c>
      <c r="C33" t="s">
        <v>2960</v>
      </c>
      <c r="D33" t="s">
        <v>2959</v>
      </c>
      <c r="E33" t="s">
        <v>2960</v>
      </c>
      <c r="F33" t="s">
        <v>2918</v>
      </c>
      <c r="G33" t="s">
        <v>1625</v>
      </c>
    </row>
    <row r="34" spans="1:7" ht="11.25" customHeight="1">
      <c r="A34" t="s">
        <v>16</v>
      </c>
      <c r="B34" t="s">
        <v>2961</v>
      </c>
      <c r="C34" t="s">
        <v>2962</v>
      </c>
      <c r="D34" t="s">
        <v>2961</v>
      </c>
      <c r="E34" t="s">
        <v>2962</v>
      </c>
      <c r="F34" t="s">
        <v>2918</v>
      </c>
      <c r="G34" t="s">
        <v>1627</v>
      </c>
    </row>
    <row r="35" spans="1:7" ht="11.25" customHeight="1">
      <c r="A35" t="s">
        <v>16</v>
      </c>
      <c r="B35" t="s">
        <v>2963</v>
      </c>
      <c r="C35" t="s">
        <v>2964</v>
      </c>
      <c r="D35" t="s">
        <v>2963</v>
      </c>
      <c r="E35" t="s">
        <v>2964</v>
      </c>
      <c r="F35" t="s">
        <v>2918</v>
      </c>
      <c r="G35" t="s">
        <v>1632</v>
      </c>
    </row>
    <row r="36" spans="1:7" ht="11.25" customHeight="1">
      <c r="A36" t="s">
        <v>16</v>
      </c>
      <c r="B36" t="s">
        <v>2965</v>
      </c>
      <c r="C36" t="s">
        <v>2966</v>
      </c>
      <c r="D36" t="s">
        <v>2965</v>
      </c>
      <c r="E36" t="s">
        <v>2966</v>
      </c>
      <c r="F36" t="s">
        <v>2918</v>
      </c>
      <c r="G36" t="s">
        <v>1637</v>
      </c>
    </row>
    <row r="37" spans="1:7" ht="11.25" customHeight="1">
      <c r="A37" t="s">
        <v>16</v>
      </c>
      <c r="B37" t="s">
        <v>2967</v>
      </c>
      <c r="C37" t="s">
        <v>2968</v>
      </c>
      <c r="D37" t="s">
        <v>2967</v>
      </c>
      <c r="E37" t="s">
        <v>2968</v>
      </c>
      <c r="F37" t="s">
        <v>2895</v>
      </c>
      <c r="G37" t="s">
        <v>1641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4235"/>
    <col min="2" max="2" width="84.28515625" style="4235" customWidth="1"/>
    <col min="3" max="3" width="9.140625" style="4235"/>
  </cols>
  <sheetData>
    <row r="1" spans="1:3" ht="11.25" customHeight="1">
      <c r="A1" s="764" t="s">
        <v>3067</v>
      </c>
      <c r="B1" s="764" t="s">
        <v>3068</v>
      </c>
      <c r="C1" s="764" t="s">
        <v>1208</v>
      </c>
    </row>
    <row r="2" spans="1:3" ht="11.25" customHeight="1">
      <c r="A2" s="764">
        <v>4189678</v>
      </c>
      <c r="B2" s="764" t="s">
        <v>3069</v>
      </c>
      <c r="C2" s="764" t="s">
        <v>3070</v>
      </c>
    </row>
    <row r="3" spans="1:3" ht="11.25" customHeight="1">
      <c r="A3" s="764">
        <v>4190415</v>
      </c>
      <c r="B3" s="764" t="s">
        <v>3071</v>
      </c>
      <c r="C3" s="764" t="s">
        <v>3070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4237" customWidth="1"/>
    <col min="2" max="5" width="9.140625" style="4237"/>
  </cols>
  <sheetData>
    <row r="1" spans="1:5" ht="15" customHeight="1">
      <c r="A1" s="100" t="s">
        <v>3072</v>
      </c>
      <c r="B1" s="100" t="s">
        <v>3073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3074</v>
      </c>
      <c r="B1" t="b">
        <v>1</v>
      </c>
    </row>
    <row r="2" spans="1:2" ht="11.25" customHeight="1">
      <c r="A2" t="s">
        <v>3075</v>
      </c>
      <c r="B2" t="b">
        <v>0</v>
      </c>
    </row>
    <row r="3" spans="1:2" ht="11.25" customHeight="1">
      <c r="A3" t="s">
        <v>3076</v>
      </c>
      <c r="B3" t="b">
        <v>1</v>
      </c>
    </row>
    <row r="4" spans="1:2" ht="11.25" customHeight="1">
      <c r="A4" t="s">
        <v>3077</v>
      </c>
      <c r="B4" t="b">
        <v>0</v>
      </c>
    </row>
    <row r="5" spans="1:2" ht="11.25" customHeight="1">
      <c r="A5" t="s">
        <v>3078</v>
      </c>
      <c r="B5" t="b">
        <v>0</v>
      </c>
    </row>
    <row r="6" spans="1:2" ht="11.25" customHeight="1">
      <c r="A6" t="s">
        <v>3079</v>
      </c>
      <c r="B6" t="b">
        <v>0</v>
      </c>
    </row>
    <row r="7" spans="1:2" ht="11.25" customHeight="1">
      <c r="A7" t="s">
        <v>3080</v>
      </c>
      <c r="B7" t="b">
        <v>0</v>
      </c>
    </row>
    <row r="8" spans="1:2" ht="11.25" customHeight="1">
      <c r="A8" t="s">
        <v>3081</v>
      </c>
      <c r="B8" t="b">
        <v>0</v>
      </c>
    </row>
    <row r="9" spans="1:2" ht="11.25" customHeight="1">
      <c r="A9" t="s">
        <v>3082</v>
      </c>
      <c r="B9" t="b">
        <v>1</v>
      </c>
    </row>
    <row r="10" spans="1:2" ht="11.25" customHeight="1">
      <c r="A10" t="s">
        <v>3083</v>
      </c>
      <c r="B10" t="b">
        <v>0</v>
      </c>
    </row>
    <row r="11" spans="1:2" ht="11.25" customHeight="1">
      <c r="A11" t="s">
        <v>3084</v>
      </c>
      <c r="B11" t="b">
        <v>0</v>
      </c>
    </row>
    <row r="12" spans="1:2" ht="11.25" customHeight="1">
      <c r="A12" t="s">
        <v>3085</v>
      </c>
      <c r="B12" t="b">
        <v>0</v>
      </c>
    </row>
    <row r="13" spans="1:2" ht="11.25" customHeight="1">
      <c r="A13" t="s">
        <v>3086</v>
      </c>
      <c r="B13" t="b">
        <v>0</v>
      </c>
    </row>
    <row r="14" spans="1:2" ht="11.25" customHeight="1">
      <c r="A14" t="s">
        <v>3087</v>
      </c>
      <c r="B14" t="b">
        <v>0</v>
      </c>
    </row>
    <row r="15" spans="1:2" ht="11.25" customHeight="1">
      <c r="A15" t="s">
        <v>3088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412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4143" customWidth="1"/>
    <col min="2" max="2" width="21.140625" style="4143" customWidth="1"/>
  </cols>
  <sheetData>
    <row r="1" spans="1:2" ht="11.25" customHeight="1">
      <c r="A1" s="7" t="s">
        <v>3089</v>
      </c>
      <c r="B1" s="7" t="s">
        <v>3090</v>
      </c>
    </row>
    <row r="2" spans="1:2" ht="11.25" customHeight="1">
      <c r="A2" s="3" t="s">
        <v>3091</v>
      </c>
      <c r="B2" s="3" t="s">
        <v>3092</v>
      </c>
    </row>
    <row r="3" spans="1:2" ht="11.25" customHeight="1">
      <c r="A3" s="3" t="s">
        <v>3093</v>
      </c>
      <c r="B3" s="3" t="s">
        <v>3094</v>
      </c>
    </row>
    <row r="4" spans="1:2" ht="11.25" customHeight="1">
      <c r="A4" s="3" t="s">
        <v>3095</v>
      </c>
      <c r="B4" s="3" t="s">
        <v>3096</v>
      </c>
    </row>
    <row r="5" spans="1:2" ht="11.25" customHeight="1">
      <c r="A5" s="3" t="s">
        <v>3097</v>
      </c>
      <c r="B5" s="3" t="s">
        <v>3098</v>
      </c>
    </row>
    <row r="6" spans="1:2" ht="11.25" customHeight="1">
      <c r="A6" s="3" t="s">
        <v>3099</v>
      </c>
      <c r="B6" s="3" t="s">
        <v>3100</v>
      </c>
    </row>
    <row r="7" spans="1:2" ht="11.25" customHeight="1">
      <c r="A7" s="3" t="s">
        <v>3101</v>
      </c>
      <c r="B7" s="3" t="s">
        <v>3102</v>
      </c>
    </row>
    <row r="8" spans="1:2" ht="11.25" customHeight="1">
      <c r="A8" s="3" t="s">
        <v>3103</v>
      </c>
      <c r="B8" s="3" t="s">
        <v>3104</v>
      </c>
    </row>
    <row r="9" spans="1:2" ht="11.25" customHeight="1">
      <c r="A9" s="3" t="s">
        <v>3105</v>
      </c>
      <c r="B9" s="3" t="s">
        <v>3106</v>
      </c>
    </row>
    <row r="10" spans="1:2" ht="11.25" customHeight="1">
      <c r="A10" s="3" t="s">
        <v>3107</v>
      </c>
      <c r="B10" s="3" t="s">
        <v>3108</v>
      </c>
    </row>
    <row r="11" spans="1:2" ht="11.25" customHeight="1">
      <c r="A11" s="3" t="s">
        <v>3109</v>
      </c>
      <c r="B11" s="3" t="s">
        <v>3110</v>
      </c>
    </row>
    <row r="12" spans="1:2" ht="11.25" customHeight="1">
      <c r="A12" s="3" t="s">
        <v>3111</v>
      </c>
      <c r="B12" s="3" t="s">
        <v>3112</v>
      </c>
    </row>
    <row r="13" spans="1:2" ht="11.25" customHeight="1">
      <c r="A13" s="3" t="s">
        <v>3113</v>
      </c>
      <c r="B13" s="3" t="s">
        <v>3114</v>
      </c>
    </row>
    <row r="14" spans="1:2" ht="11.25" customHeight="1">
      <c r="A14" s="3" t="s">
        <v>3115</v>
      </c>
      <c r="B14" s="3" t="s">
        <v>3116</v>
      </c>
    </row>
    <row r="15" spans="1:2" ht="11.25" customHeight="1">
      <c r="A15" s="3" t="s">
        <v>3117</v>
      </c>
      <c r="B15" s="3" t="s">
        <v>3118</v>
      </c>
    </row>
    <row r="16" spans="1:2" ht="11.25" customHeight="1">
      <c r="A16" s="3" t="s">
        <v>3119</v>
      </c>
      <c r="B16" s="3" t="s">
        <v>3120</v>
      </c>
    </row>
    <row r="17" spans="1:2" ht="11.25" customHeight="1">
      <c r="A17" s="3" t="s">
        <v>3121</v>
      </c>
      <c r="B17" s="3" t="s">
        <v>3122</v>
      </c>
    </row>
    <row r="18" spans="1:2" ht="11.25" customHeight="1">
      <c r="A18" s="3" t="s">
        <v>3123</v>
      </c>
      <c r="B18" s="3" t="s">
        <v>3124</v>
      </c>
    </row>
    <row r="19" spans="1:2" ht="11.25" customHeight="1">
      <c r="A19" s="3" t="s">
        <v>3125</v>
      </c>
      <c r="B19" s="3" t="s">
        <v>3126</v>
      </c>
    </row>
    <row r="20" spans="1:2" ht="11.25" customHeight="1">
      <c r="A20" s="3" t="s">
        <v>3127</v>
      </c>
      <c r="B20" s="3" t="s">
        <v>3128</v>
      </c>
    </row>
    <row r="21" spans="1:2" ht="11.25" customHeight="1">
      <c r="A21" s="3" t="s">
        <v>3129</v>
      </c>
      <c r="B21" s="3" t="s">
        <v>3130</v>
      </c>
    </row>
    <row r="22" spans="1:2" ht="11.25" customHeight="1">
      <c r="A22" s="3" t="s">
        <v>3131</v>
      </c>
      <c r="B22" s="3" t="s">
        <v>3132</v>
      </c>
    </row>
    <row r="23" spans="1:2" ht="11.25" customHeight="1">
      <c r="A23" s="3" t="s">
        <v>3133</v>
      </c>
      <c r="B23" s="3" t="s">
        <v>3134</v>
      </c>
    </row>
    <row r="24" spans="1:2" ht="11.25" customHeight="1">
      <c r="A24" s="3" t="s">
        <v>3135</v>
      </c>
      <c r="B24" s="3" t="s">
        <v>3136</v>
      </c>
    </row>
    <row r="25" spans="1:2" ht="11.25" customHeight="1">
      <c r="A25" s="3" t="s">
        <v>3137</v>
      </c>
      <c r="B25" s="3" t="s">
        <v>3138</v>
      </c>
    </row>
    <row r="26" spans="1:2" ht="11.25" customHeight="1">
      <c r="A26" s="3" t="s">
        <v>3139</v>
      </c>
      <c r="B26" s="3" t="s">
        <v>3140</v>
      </c>
    </row>
    <row r="27" spans="1:2" ht="11.25" customHeight="1">
      <c r="A27" s="3" t="s">
        <v>3141</v>
      </c>
      <c r="B27" s="3" t="s">
        <v>3142</v>
      </c>
    </row>
    <row r="28" spans="1:2" ht="11.25" customHeight="1">
      <c r="A28" s="3" t="s">
        <v>3143</v>
      </c>
      <c r="B28" s="3" t="s">
        <v>3144</v>
      </c>
    </row>
    <row r="29" spans="1:2" ht="11.25" customHeight="1">
      <c r="A29" s="3" t="s">
        <v>3145</v>
      </c>
      <c r="B29" s="3" t="s">
        <v>3146</v>
      </c>
    </row>
    <row r="30" spans="1:2" ht="11.25" customHeight="1">
      <c r="A30" s="3" t="s">
        <v>3147</v>
      </c>
      <c r="B30" s="3" t="s">
        <v>3148</v>
      </c>
    </row>
    <row r="31" spans="1:2" ht="11.25" customHeight="1">
      <c r="A31" s="3" t="s">
        <v>3149</v>
      </c>
      <c r="B31" s="3" t="s">
        <v>3150</v>
      </c>
    </row>
    <row r="32" spans="1:2" ht="11.25" customHeight="1">
      <c r="A32" s="3" t="s">
        <v>3151</v>
      </c>
      <c r="B32" s="3" t="s">
        <v>3152</v>
      </c>
    </row>
    <row r="33" spans="1:2" ht="11.25" customHeight="1">
      <c r="A33" s="3" t="s">
        <v>3153</v>
      </c>
      <c r="B33" s="3" t="s">
        <v>3154</v>
      </c>
    </row>
    <row r="34" spans="1:2" ht="11.25" customHeight="1">
      <c r="A34" s="3" t="s">
        <v>3155</v>
      </c>
      <c r="B34" s="3" t="s">
        <v>3156</v>
      </c>
    </row>
    <row r="35" spans="1:2" ht="11.25" customHeight="1">
      <c r="A35" s="3" t="s">
        <v>3157</v>
      </c>
      <c r="B35" s="3" t="s">
        <v>3158</v>
      </c>
    </row>
    <row r="36" spans="1:2" ht="11.25" customHeight="1">
      <c r="A36" s="3" t="s">
        <v>3159</v>
      </c>
      <c r="B36" s="3" t="s">
        <v>3160</v>
      </c>
    </row>
    <row r="37" spans="1:2" ht="11.25" customHeight="1">
      <c r="A37" s="3" t="s">
        <v>3161</v>
      </c>
      <c r="B37" s="3" t="s">
        <v>3162</v>
      </c>
    </row>
    <row r="38" spans="1:2" ht="11.25" customHeight="1">
      <c r="A38" s="3" t="s">
        <v>3163</v>
      </c>
      <c r="B38" s="3" t="s">
        <v>3164</v>
      </c>
    </row>
    <row r="39" spans="1:2" ht="11.25" customHeight="1">
      <c r="A39" s="3" t="s">
        <v>3165</v>
      </c>
      <c r="B39" s="3" t="s">
        <v>3166</v>
      </c>
    </row>
    <row r="40" spans="1:2" ht="11.25" customHeight="1">
      <c r="A40" s="3" t="s">
        <v>3167</v>
      </c>
      <c r="B40" s="3" t="s">
        <v>3168</v>
      </c>
    </row>
    <row r="41" spans="1:2" ht="11.25" customHeight="1">
      <c r="A41" s="3" t="s">
        <v>3169</v>
      </c>
      <c r="B41" s="3" t="s">
        <v>3170</v>
      </c>
    </row>
    <row r="42" spans="1:2" ht="11.25" customHeight="1">
      <c r="A42" s="3" t="s">
        <v>3171</v>
      </c>
      <c r="B42" s="3" t="s">
        <v>3172</v>
      </c>
    </row>
    <row r="43" spans="1:2" ht="11.25" customHeight="1">
      <c r="A43" s="3" t="s">
        <v>3173</v>
      </c>
      <c r="B43" s="3" t="s">
        <v>3174</v>
      </c>
    </row>
    <row r="44" spans="1:2" ht="11.25" customHeight="1">
      <c r="A44" s="3" t="s">
        <v>3175</v>
      </c>
      <c r="B44" s="3" t="s">
        <v>3176</v>
      </c>
    </row>
    <row r="45" spans="1:2" ht="11.25" customHeight="1">
      <c r="A45" s="3" t="s">
        <v>3177</v>
      </c>
      <c r="B45" s="3" t="s">
        <v>3178</v>
      </c>
    </row>
    <row r="46" spans="1:2" ht="11.25" customHeight="1">
      <c r="A46" s="3" t="s">
        <v>3179</v>
      </c>
      <c r="B46" s="3" t="s">
        <v>3180</v>
      </c>
    </row>
    <row r="47" spans="1:2" ht="11.25" customHeight="1">
      <c r="A47" s="3" t="s">
        <v>3181</v>
      </c>
      <c r="B47" s="3" t="s">
        <v>3182</v>
      </c>
    </row>
    <row r="48" spans="1:2" ht="11.25" customHeight="1">
      <c r="A48" s="3" t="s">
        <v>3183</v>
      </c>
      <c r="B48" s="3" t="s">
        <v>3184</v>
      </c>
    </row>
    <row r="49" spans="1:2" ht="11.25" customHeight="1">
      <c r="A49" s="3" t="s">
        <v>3185</v>
      </c>
      <c r="B49" s="3" t="s">
        <v>3186</v>
      </c>
    </row>
    <row r="50" spans="1:2" ht="11.25" customHeight="1">
      <c r="A50" s="3" t="s">
        <v>3187</v>
      </c>
      <c r="B50" s="3" t="s">
        <v>3188</v>
      </c>
    </row>
    <row r="51" spans="1:2" ht="11.25" customHeight="1">
      <c r="A51" s="3" t="s">
        <v>3189</v>
      </c>
      <c r="B51" s="3" t="s">
        <v>3190</v>
      </c>
    </row>
    <row r="52" spans="1:2" ht="11.25" customHeight="1">
      <c r="A52" s="3" t="s">
        <v>3191</v>
      </c>
      <c r="B52" s="3" t="s">
        <v>3192</v>
      </c>
    </row>
    <row r="53" spans="1:2" ht="11.25" customHeight="1">
      <c r="A53" s="3" t="s">
        <v>3193</v>
      </c>
      <c r="B53" s="3" t="s">
        <v>3194</v>
      </c>
    </row>
    <row r="54" spans="1:2" ht="11.25" customHeight="1">
      <c r="A54" s="3" t="s">
        <v>3195</v>
      </c>
      <c r="B54" s="3" t="s">
        <v>3196</v>
      </c>
    </row>
    <row r="55" spans="1:2" ht="11.25" customHeight="1">
      <c r="A55" s="3" t="s">
        <v>3197</v>
      </c>
      <c r="B55" s="3" t="s">
        <v>3198</v>
      </c>
    </row>
    <row r="56" spans="1:2" ht="11.25" customHeight="1">
      <c r="A56" s="3" t="s">
        <v>3199</v>
      </c>
      <c r="B56" s="3" t="s">
        <v>3200</v>
      </c>
    </row>
    <row r="57" spans="1:2" ht="11.25" customHeight="1">
      <c r="A57" s="3" t="s">
        <v>3201</v>
      </c>
      <c r="B57" s="3" t="s">
        <v>3202</v>
      </c>
    </row>
    <row r="58" spans="1:2" ht="11.25" customHeight="1">
      <c r="A58" s="3" t="s">
        <v>3203</v>
      </c>
      <c r="B58" s="3" t="s">
        <v>3204</v>
      </c>
    </row>
    <row r="59" spans="1:2" ht="11.25" customHeight="1">
      <c r="A59" s="3" t="s">
        <v>3205</v>
      </c>
      <c r="B59" s="3" t="s">
        <v>3206</v>
      </c>
    </row>
    <row r="60" spans="1:2" ht="11.25" customHeight="1">
      <c r="A60" s="3" t="s">
        <v>3207</v>
      </c>
      <c r="B60" s="3" t="s">
        <v>3208</v>
      </c>
    </row>
    <row r="61" spans="1:2" ht="11.25" customHeight="1">
      <c r="A61" s="3"/>
      <c r="B61" s="3" t="s">
        <v>3209</v>
      </c>
    </row>
    <row r="62" spans="1:2" ht="11.25" customHeight="1">
      <c r="A62" s="3"/>
      <c r="B62" s="3" t="s">
        <v>3210</v>
      </c>
    </row>
    <row r="63" spans="1:2" ht="11.25" customHeight="1">
      <c r="A63" s="3"/>
      <c r="B63" s="3" t="s">
        <v>3211</v>
      </c>
    </row>
    <row r="64" spans="1:2" ht="11.25" customHeight="1">
      <c r="A64" s="3"/>
      <c r="B64" s="3" t="s">
        <v>3212</v>
      </c>
    </row>
    <row r="65" spans="1:2" ht="11.25" customHeight="1">
      <c r="A65" s="3"/>
      <c r="B65" s="3" t="s">
        <v>3213</v>
      </c>
    </row>
    <row r="66" spans="1:2" ht="11.25" customHeight="1">
      <c r="A66" s="3"/>
      <c r="B66" s="3" t="s">
        <v>3214</v>
      </c>
    </row>
    <row r="67" spans="1:2" ht="11.25" customHeight="1">
      <c r="A67" s="3"/>
      <c r="B67" s="3" t="s">
        <v>3215</v>
      </c>
    </row>
    <row r="68" spans="1:2" ht="11.25" customHeight="1">
      <c r="A68" s="3"/>
      <c r="B68" s="3" t="s">
        <v>3216</v>
      </c>
    </row>
    <row r="69" spans="1:2" ht="11.25" customHeight="1">
      <c r="A69" s="3"/>
      <c r="B69" s="3" t="s">
        <v>3217</v>
      </c>
    </row>
    <row r="70" spans="1:2" ht="11.25" customHeight="1">
      <c r="A70" s="3"/>
      <c r="B70" s="3" t="s">
        <v>3218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4143" customWidth="1"/>
    <col min="2" max="2" width="90.7109375" style="4143" customWidth="1"/>
    <col min="3" max="4" width="9.140625" style="4143"/>
  </cols>
  <sheetData>
    <row r="1" spans="2:4" ht="11.25" customHeight="1">
      <c r="B1" s="33" t="s">
        <v>3219</v>
      </c>
    </row>
    <row r="2" spans="2:4" ht="90" customHeight="1">
      <c r="B2" s="34" t="s">
        <v>3220</v>
      </c>
    </row>
    <row r="3" spans="2:4" ht="67.5" customHeight="1">
      <c r="B3" s="34" t="s">
        <v>3221</v>
      </c>
    </row>
    <row r="4" spans="2:4" ht="33.75" customHeight="1">
      <c r="B4" s="34" t="s">
        <v>3222</v>
      </c>
    </row>
    <row r="5" spans="2:4" ht="11.25" customHeight="1">
      <c r="B5" s="34" t="s">
        <v>3223</v>
      </c>
    </row>
    <row r="6" spans="2:4" ht="22.5" customHeight="1">
      <c r="B6" s="34" t="s">
        <v>3224</v>
      </c>
    </row>
    <row r="7" spans="2:4" ht="22.5" customHeight="1">
      <c r="B7" s="34" t="s">
        <v>3225</v>
      </c>
    </row>
    <row r="8" spans="2:4" ht="22.5" customHeight="1">
      <c r="B8" s="34" t="s">
        <v>3226</v>
      </c>
    </row>
    <row r="9" spans="2:4" ht="22.5" customHeight="1">
      <c r="B9" s="34" t="s">
        <v>3227</v>
      </c>
    </row>
    <row r="10" spans="2:4" ht="56.25" customHeight="1">
      <c r="B10" s="34" t="s">
        <v>3228</v>
      </c>
    </row>
    <row r="11" spans="2:4" ht="12.75" customHeight="1">
      <c r="B11" s="97" t="s">
        <v>3229</v>
      </c>
    </row>
    <row r="12" spans="2:4" ht="11.25" customHeight="1">
      <c r="B12" s="33" t="s">
        <v>3230</v>
      </c>
    </row>
    <row r="13" spans="2:4" ht="22.5" customHeight="1">
      <c r="B13" s="34" t="s">
        <v>3231</v>
      </c>
    </row>
    <row r="14" spans="2:4" ht="67.5" customHeight="1">
      <c r="B14" s="34" t="s">
        <v>3232</v>
      </c>
    </row>
    <row r="15" spans="2:4" ht="22.5" customHeight="1">
      <c r="B15" s="34" t="s">
        <v>3233</v>
      </c>
    </row>
    <row r="16" spans="2:4" ht="11.25" customHeight="1">
      <c r="B16" s="33" t="s">
        <v>3234</v>
      </c>
      <c r="D16" s="40"/>
    </row>
    <row r="17" spans="1:2" ht="33.75" customHeight="1">
      <c r="B17" s="34" t="s">
        <v>3235</v>
      </c>
    </row>
    <row r="18" spans="1:2" ht="33.75" customHeight="1">
      <c r="B18" s="34" t="s">
        <v>3236</v>
      </c>
    </row>
    <row r="19" spans="1:2" ht="11.25" customHeight="1">
      <c r="B19" s="34" t="s">
        <v>3237</v>
      </c>
    </row>
    <row r="20" spans="1:2" ht="33.75" customHeight="1">
      <c r="B20" s="34" t="s">
        <v>3238</v>
      </c>
    </row>
    <row r="21" spans="1:2" ht="11.25" customHeight="1">
      <c r="B21" s="33" t="s">
        <v>3239</v>
      </c>
    </row>
    <row r="22" spans="1:2" ht="11.25" customHeight="1">
      <c r="B22" s="34" t="s">
        <v>3240</v>
      </c>
    </row>
    <row r="24" spans="1:2" ht="22.5" customHeight="1">
      <c r="B24" s="99" t="s">
        <v>3241</v>
      </c>
    </row>
    <row r="26" spans="1:2" ht="11.25" customHeight="1">
      <c r="B26" s="33" t="s">
        <v>3242</v>
      </c>
    </row>
    <row r="27" spans="1:2" ht="22.5" customHeight="1">
      <c r="B27" s="98" t="s">
        <v>417</v>
      </c>
    </row>
    <row r="28" spans="1:2" ht="56.25" customHeight="1">
      <c r="B28" s="98" t="s">
        <v>3243</v>
      </c>
    </row>
    <row r="29" spans="1:2" ht="11.25" customHeight="1">
      <c r="B29" s="147" t="s">
        <v>3244</v>
      </c>
    </row>
    <row r="30" spans="1:2" ht="22.5" customHeight="1">
      <c r="B30" s="98" t="s">
        <v>3245</v>
      </c>
    </row>
    <row r="32" spans="1:2" ht="11.25" customHeight="1">
      <c r="A32" s="125"/>
      <c r="B32" s="126" t="s">
        <v>3246</v>
      </c>
    </row>
    <row r="33" spans="1:2" ht="14.25" customHeight="1">
      <c r="A33" s="127">
        <v>1</v>
      </c>
      <c r="B33" s="128" t="s">
        <v>3247</v>
      </c>
    </row>
    <row r="34" spans="1:2" ht="14.25" customHeight="1">
      <c r="A34" s="127">
        <v>2</v>
      </c>
      <c r="B34" s="128" t="s">
        <v>3248</v>
      </c>
    </row>
    <row r="35" spans="1:2" ht="11.25" customHeight="1">
      <c r="B35" s="126" t="s">
        <v>3249</v>
      </c>
    </row>
    <row r="36" spans="1:2" ht="11.25" customHeight="1">
      <c r="B36" s="128" t="s">
        <v>3250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4131" hidden="1" customWidth="1"/>
    <col min="2" max="2" width="9.140625" style="4133" hidden="1" customWidth="1"/>
    <col min="3" max="3" width="3" style="4145" customWidth="1"/>
    <col min="4" max="4" width="5" style="4133" customWidth="1"/>
    <col min="5" max="5" width="38" style="4133" customWidth="1"/>
    <col min="6" max="7" width="3" style="4133" customWidth="1"/>
    <col min="8" max="8" width="38" style="4133" customWidth="1"/>
    <col min="9" max="9" width="35" style="4133" customWidth="1"/>
    <col min="10" max="10" width="103" style="4133" customWidth="1"/>
    <col min="11" max="11" width="3" style="4142" customWidth="1"/>
    <col min="12" max="14" width="10" style="4140" customWidth="1"/>
    <col min="15" max="15" width="13" style="4140" customWidth="1"/>
    <col min="16" max="16" width="15" style="4140" customWidth="1"/>
    <col min="17" max="17" width="16" style="4140" customWidth="1"/>
    <col min="18" max="21" width="10" style="4140" customWidth="1"/>
    <col min="22" max="22" width="10.5703125" style="4133" hidden="1"/>
  </cols>
  <sheetData>
    <row r="1" spans="1:22" ht="22.5" hidden="1" customHeight="1">
      <c r="E1" s="347"/>
      <c r="F1" s="347"/>
      <c r="G1" s="347"/>
      <c r="H1" s="4390" t="s">
        <v>373</v>
      </c>
      <c r="I1" s="4390"/>
      <c r="V1" s="1525" t="s">
        <v>14</v>
      </c>
    </row>
    <row r="2" spans="1:22" s="4133" customFormat="1" ht="14.25" hidden="1" customHeight="1">
      <c r="C2" s="1537"/>
      <c r="D2" s="4394" t="s">
        <v>113</v>
      </c>
      <c r="E2" s="4396"/>
      <c r="F2" s="1543"/>
      <c r="G2" s="1538" t="s">
        <v>113</v>
      </c>
      <c r="H2" s="1541"/>
      <c r="I2" s="1539"/>
      <c r="L2" s="1540"/>
      <c r="M2" s="1540"/>
      <c r="N2" s="1540"/>
      <c r="O2" s="1540" t="s">
        <v>403</v>
      </c>
      <c r="P2" s="1540"/>
      <c r="Q2" s="1540"/>
      <c r="R2" s="1542" t="s">
        <v>402</v>
      </c>
      <c r="S2" s="1542" t="s">
        <v>402</v>
      </c>
      <c r="T2" s="1540"/>
      <c r="U2" s="1540"/>
      <c r="V2" s="1536">
        <v>0</v>
      </c>
    </row>
    <row r="3" spans="1:22" s="4133" customFormat="1" ht="14.25" hidden="1" customHeight="1">
      <c r="C3" s="1537"/>
      <c r="D3" s="4395"/>
      <c r="E3" s="4397"/>
      <c r="F3" s="340"/>
      <c r="G3" s="794"/>
      <c r="H3" s="794" t="s">
        <v>404</v>
      </c>
      <c r="I3" s="249"/>
      <c r="L3" s="1540"/>
      <c r="M3" s="1540"/>
      <c r="N3" s="1540"/>
      <c r="O3" s="1540"/>
      <c r="P3" s="1540"/>
      <c r="Q3" s="1540"/>
      <c r="R3" s="1542"/>
      <c r="S3" s="1542"/>
      <c r="T3" s="1540"/>
      <c r="U3" s="1540"/>
      <c r="V3" s="1536">
        <v>0</v>
      </c>
    </row>
    <row r="4" spans="1:22" ht="14.25" hidden="1" customHeight="1">
      <c r="V4" s="1525">
        <v>0</v>
      </c>
    </row>
    <row r="5" spans="1:22" s="4163" customFormat="1" ht="5.25" customHeight="1">
      <c r="C5" s="636"/>
      <c r="D5" s="637"/>
      <c r="E5" s="637"/>
      <c r="F5" s="637"/>
      <c r="G5" s="637"/>
      <c r="H5" s="637" t="s">
        <v>377</v>
      </c>
      <c r="I5" s="637"/>
      <c r="J5" s="637"/>
      <c r="L5" s="1532"/>
      <c r="M5" s="1532"/>
      <c r="N5" s="1532"/>
      <c r="O5" s="1532"/>
      <c r="P5" s="1532"/>
      <c r="Q5" s="1532"/>
      <c r="R5" s="1532"/>
      <c r="S5" s="1532"/>
      <c r="T5" s="1532"/>
      <c r="U5" s="1532"/>
      <c r="V5" s="1531">
        <v>5</v>
      </c>
    </row>
    <row r="6" spans="1:22" ht="29.25" customHeight="1">
      <c r="C6" s="1434"/>
      <c r="D6" s="4393" t="s">
        <v>405</v>
      </c>
      <c r="E6" s="4393"/>
      <c r="F6" s="4393"/>
      <c r="G6" s="4393"/>
      <c r="H6" s="4393"/>
      <c r="I6" s="4393"/>
      <c r="J6" s="426"/>
      <c r="K6" s="1533"/>
      <c r="V6" s="1525">
        <v>28</v>
      </c>
    </row>
    <row r="7" spans="1:22" ht="18" customHeight="1">
      <c r="C7" s="1434"/>
      <c r="D7" s="4365" t="str">
        <f>IF(org=0,"Не определено",org)</f>
        <v>АО "Мурманэнергосбыт"</v>
      </c>
      <c r="E7" s="4365"/>
      <c r="F7" s="4365"/>
      <c r="G7" s="4365"/>
      <c r="H7" s="4365"/>
      <c r="I7" s="4365"/>
      <c r="J7" s="426"/>
      <c r="K7" s="1533"/>
      <c r="V7" s="1525">
        <v>17</v>
      </c>
    </row>
    <row r="8" spans="1:22" s="4132"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4132"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4378" t="s">
        <v>321</v>
      </c>
      <c r="E10" s="4391"/>
      <c r="F10" s="4391"/>
      <c r="G10" s="4391"/>
      <c r="H10" s="4391"/>
      <c r="I10" s="4391"/>
      <c r="J10" s="4333" t="s">
        <v>322</v>
      </c>
      <c r="V10" s="1525">
        <v>14</v>
      </c>
    </row>
    <row r="11" spans="1:22" ht="27.4" customHeight="1">
      <c r="C11" s="1434"/>
      <c r="D11" s="4274" t="s">
        <v>92</v>
      </c>
      <c r="E11" s="4333" t="s">
        <v>109</v>
      </c>
      <c r="F11" s="4346" t="s">
        <v>92</v>
      </c>
      <c r="G11" s="4347"/>
      <c r="H11" s="4345" t="s">
        <v>406</v>
      </c>
      <c r="I11" s="4345" t="s">
        <v>407</v>
      </c>
      <c r="J11" s="4333"/>
      <c r="V11" s="1525">
        <v>26</v>
      </c>
    </row>
    <row r="12" spans="1:22" ht="14.65" customHeight="1">
      <c r="C12" s="1434"/>
      <c r="D12" s="4274"/>
      <c r="E12" s="4333"/>
      <c r="F12" s="4351"/>
      <c r="G12" s="4352"/>
      <c r="H12" s="4398"/>
      <c r="I12" s="4398"/>
      <c r="J12" s="4333"/>
      <c r="V12" s="1525">
        <v>14</v>
      </c>
    </row>
    <row r="13" spans="1:22" s="4164" customFormat="1" ht="11.25" hidden="1" customHeight="1">
      <c r="C13" s="433"/>
      <c r="D13" s="434" t="s">
        <v>397</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4394" t="s">
        <v>113</v>
      </c>
      <c r="E14" s="4396"/>
      <c r="F14" s="1535"/>
      <c r="G14" s="1534" t="s">
        <v>113</v>
      </c>
      <c r="H14" s="1541"/>
      <c r="I14" s="1539"/>
      <c r="J14" s="4318" t="s">
        <v>408</v>
      </c>
      <c r="K14" s="1525"/>
      <c r="R14" s="435" t="s">
        <v>402</v>
      </c>
      <c r="S14" s="435" t="s">
        <v>402</v>
      </c>
      <c r="V14" s="1525">
        <v>14</v>
      </c>
    </row>
    <row r="15" spans="1:22" ht="14.65" customHeight="1">
      <c r="A15" s="1525"/>
      <c r="C15" s="1434"/>
      <c r="D15" s="4395"/>
      <c r="E15" s="4397"/>
      <c r="F15" s="340"/>
      <c r="G15" s="794"/>
      <c r="H15" s="794" t="s">
        <v>404</v>
      </c>
      <c r="I15" s="249"/>
      <c r="J15" s="4319"/>
      <c r="K15" s="1525"/>
      <c r="R15" s="435"/>
      <c r="S15" s="435"/>
      <c r="V15" s="1525">
        <v>14</v>
      </c>
    </row>
    <row r="16" spans="1:22" ht="14.65" customHeight="1">
      <c r="A16" s="1525"/>
      <c r="C16" s="1434"/>
      <c r="D16" s="340"/>
      <c r="E16" s="794" t="s">
        <v>124</v>
      </c>
      <c r="F16" s="249"/>
      <c r="G16" s="249"/>
      <c r="H16" s="341"/>
      <c r="I16" s="341"/>
      <c r="J16" s="4320"/>
      <c r="K16" s="1525"/>
      <c r="V16" s="1525">
        <v>14</v>
      </c>
    </row>
    <row r="17" spans="1:22" ht="14.65" customHeight="1">
      <c r="K17" s="1525"/>
      <c r="V17" s="1525">
        <v>14</v>
      </c>
    </row>
    <row r="18" spans="1:22" ht="22.5" hidden="1" customHeight="1">
      <c r="A18" s="1526" t="s">
        <v>86</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Луханина Ольга Викторовна</cp:lastModifiedBy>
  <cp:lastPrinted>2013-08-29T08:11:20Z</cp:lastPrinted>
  <dcterms:created xsi:type="dcterms:W3CDTF">2004-05-21T07:18:45Z</dcterms:created>
  <dcterms:modified xsi:type="dcterms:W3CDTF">2025-01-14T10:06:07Z</dcterms:modified>
</cp:coreProperties>
</file>