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958" firstSheet="11" activeTab="18"/>
  </bookViews>
  <sheets>
    <sheet name="г. Мурманск" sheetId="1" r:id="rId1"/>
    <sheet name="г.п. Кола" sheetId="2" r:id="rId2"/>
    <sheet name="г.п. Мурмаши" sheetId="3" r:id="rId3"/>
    <sheet name="г.п. Молочный" sheetId="4" r:id="rId4"/>
    <sheet name="г.п. Верхнетуломский" sheetId="5" r:id="rId5"/>
    <sheet name="г.п. Кильдинстрой" sheetId="6" r:id="rId6"/>
    <sheet name="с.п. Ловозеро" sheetId="7" r:id="rId7"/>
    <sheet name="г.п. Ревда" sheetId="8" r:id="rId8"/>
    <sheet name="н.п. Высокий" sheetId="9" r:id="rId9"/>
    <sheet name="г. Гаджиево" sheetId="10" r:id="rId10"/>
    <sheet name="ЗАТО г. Североморск" sheetId="11" r:id="rId11"/>
    <sheet name="г.п. Никель " sheetId="12" r:id="rId12"/>
    <sheet name="Полярный" sheetId="13" r:id="rId13"/>
    <sheet name="г. Снежногорск" sheetId="14" r:id="rId14"/>
    <sheet name="с.п. Корзуново" sheetId="15" r:id="rId15"/>
    <sheet name="г. Кандалакша" sheetId="18" r:id="rId16"/>
    <sheet name="с.п. Умба" sheetId="19" r:id="rId17"/>
    <sheet name="с.п. Зеленоборский" sheetId="20" r:id="rId18"/>
    <sheet name="Производство тепловой энергии" sheetId="16" r:id="rId19"/>
    <sheet name="Передача тепловой энергии" sheetId="17" r:id="rId20"/>
  </sheets>
  <calcPr calcId="145621"/>
</workbook>
</file>

<file path=xl/calcChain.xml><?xml version="1.0" encoding="utf-8"?>
<calcChain xmlns="http://schemas.openxmlformats.org/spreadsheetml/2006/main">
  <c r="E62" i="16" l="1"/>
  <c r="E61" i="16"/>
  <c r="E51" i="16"/>
  <c r="E50" i="16"/>
  <c r="E58" i="10"/>
  <c r="E58" i="9"/>
  <c r="E58" i="8"/>
  <c r="E58" i="7"/>
  <c r="E58" i="6"/>
  <c r="E58" i="5"/>
  <c r="E58" i="4"/>
  <c r="E58" i="16" s="1"/>
  <c r="E58" i="3"/>
  <c r="E58" i="2"/>
  <c r="E44" i="16"/>
  <c r="E55" i="17"/>
  <c r="E42" i="17"/>
  <c r="E39" i="17"/>
  <c r="E36" i="17"/>
  <c r="E35" i="17"/>
  <c r="E43" i="17" s="1"/>
  <c r="E31" i="17"/>
  <c r="E30" i="17"/>
  <c r="E29" i="17"/>
  <c r="E27" i="17"/>
  <c r="E12" i="17"/>
  <c r="E10" i="17"/>
  <c r="E64" i="15"/>
  <c r="E55" i="14"/>
  <c r="E53" i="14"/>
  <c r="E52" i="14"/>
  <c r="E31" i="5"/>
  <c r="E36" i="5"/>
  <c r="E39" i="5"/>
  <c r="E16" i="6"/>
  <c r="E10" i="13"/>
  <c r="E55" i="1"/>
  <c r="E55" i="16" s="1"/>
  <c r="E53" i="1"/>
  <c r="E52" i="1"/>
  <c r="E42" i="1"/>
  <c r="E39" i="1"/>
  <c r="E39" i="16" s="1"/>
  <c r="E36" i="1"/>
  <c r="E35" i="1"/>
  <c r="E43" i="1"/>
  <c r="E31" i="1"/>
  <c r="E31" i="16" s="1"/>
  <c r="E30" i="1"/>
  <c r="E29" i="1"/>
  <c r="E27" i="1"/>
  <c r="E16" i="1"/>
  <c r="E16" i="16" s="1"/>
  <c r="E17" i="16" s="1"/>
  <c r="E15" i="1"/>
  <c r="E10" i="1"/>
  <c r="E63" i="16"/>
  <c r="E41" i="16"/>
  <c r="E40" i="16"/>
  <c r="E38" i="18"/>
  <c r="E37" i="18"/>
  <c r="E37" i="16" s="1"/>
  <c r="E38" i="20"/>
  <c r="E33" i="20"/>
  <c r="E36" i="20"/>
  <c r="E37" i="20"/>
  <c r="E32" i="20"/>
  <c r="E38" i="19"/>
  <c r="E38" i="16" s="1"/>
  <c r="E33" i="19"/>
  <c r="E36" i="19"/>
  <c r="E37" i="19"/>
  <c r="E32" i="19"/>
  <c r="E33" i="18"/>
  <c r="E33" i="16" s="1"/>
  <c r="E36" i="18"/>
  <c r="E32" i="18"/>
  <c r="E32" i="16" s="1"/>
  <c r="E30" i="20"/>
  <c r="E55" i="20"/>
  <c r="E53" i="20"/>
  <c r="E52" i="20"/>
  <c r="E65" i="20" s="1"/>
  <c r="E42" i="20"/>
  <c r="E39" i="20"/>
  <c r="E35" i="20"/>
  <c r="E43" i="20"/>
  <c r="E31" i="20"/>
  <c r="E29" i="20"/>
  <c r="E27" i="20"/>
  <c r="E28" i="20" s="1"/>
  <c r="E23" i="20"/>
  <c r="E25" i="20" s="1"/>
  <c r="E15" i="20"/>
  <c r="E17" i="20"/>
  <c r="E10" i="20"/>
  <c r="E55" i="19"/>
  <c r="E53" i="19"/>
  <c r="E52" i="19"/>
  <c r="E65" i="19" s="1"/>
  <c r="E42" i="19"/>
  <c r="E39" i="19"/>
  <c r="E35" i="19"/>
  <c r="E43" i="19" s="1"/>
  <c r="E31" i="19"/>
  <c r="E30" i="19"/>
  <c r="E29" i="19"/>
  <c r="E27" i="19"/>
  <c r="E28" i="19" s="1"/>
  <c r="E17" i="19"/>
  <c r="E15" i="19"/>
  <c r="E10" i="19"/>
  <c r="E42" i="18"/>
  <c r="E55" i="18"/>
  <c r="E53" i="18"/>
  <c r="E52" i="18"/>
  <c r="E39" i="18"/>
  <c r="E35" i="18"/>
  <c r="E43" i="18" s="1"/>
  <c r="E34" i="18"/>
  <c r="E34" i="16" s="1"/>
  <c r="E31" i="18"/>
  <c r="E30" i="18"/>
  <c r="E29" i="18"/>
  <c r="E27" i="18"/>
  <c r="E28" i="18"/>
  <c r="E15" i="18"/>
  <c r="E13" i="18" s="1"/>
  <c r="E10" i="18"/>
  <c r="E65" i="18"/>
  <c r="E23" i="18"/>
  <c r="E19" i="18"/>
  <c r="E17" i="18"/>
  <c r="E39" i="14"/>
  <c r="E31" i="14"/>
  <c r="E30" i="14"/>
  <c r="E29" i="14"/>
  <c r="E28" i="14" s="1"/>
  <c r="E27" i="14"/>
  <c r="E16" i="14"/>
  <c r="E15" i="14"/>
  <c r="E13" i="14"/>
  <c r="E11" i="14" s="1"/>
  <c r="E10" i="14"/>
  <c r="E10" i="15"/>
  <c r="E55" i="15"/>
  <c r="E53" i="15"/>
  <c r="E52" i="15"/>
  <c r="E39" i="15"/>
  <c r="E35" i="15"/>
  <c r="E43" i="15" s="1"/>
  <c r="E30" i="15"/>
  <c r="E29" i="15"/>
  <c r="E65" i="15" s="1"/>
  <c r="E27" i="15"/>
  <c r="E19" i="15"/>
  <c r="E42" i="14"/>
  <c r="E42" i="16" s="1"/>
  <c r="E35" i="14"/>
  <c r="E43" i="14" s="1"/>
  <c r="E55" i="13"/>
  <c r="E53" i="13"/>
  <c r="E52" i="13"/>
  <c r="E56" i="13" s="1"/>
  <c r="E31" i="13"/>
  <c r="E39" i="13"/>
  <c r="E35" i="13"/>
  <c r="E43" i="13" s="1"/>
  <c r="E30" i="13"/>
  <c r="E29" i="13"/>
  <c r="E27" i="13"/>
  <c r="E15" i="13"/>
  <c r="E13" i="13" s="1"/>
  <c r="E11" i="13" s="1"/>
  <c r="E45" i="13" s="1"/>
  <c r="E31" i="12"/>
  <c r="E55" i="12"/>
  <c r="E53" i="12"/>
  <c r="E52" i="12"/>
  <c r="E56" i="12" s="1"/>
  <c r="E39" i="12"/>
  <c r="E36" i="12"/>
  <c r="E35" i="12"/>
  <c r="E43" i="12" s="1"/>
  <c r="E30" i="12"/>
  <c r="E29" i="12"/>
  <c r="E27" i="12"/>
  <c r="E28" i="12" s="1"/>
  <c r="E15" i="12"/>
  <c r="E10" i="12"/>
  <c r="E55" i="11"/>
  <c r="E53" i="11"/>
  <c r="E52" i="11"/>
  <c r="E42" i="11"/>
  <c r="E39" i="11"/>
  <c r="E36" i="11"/>
  <c r="E35" i="11"/>
  <c r="E43" i="11"/>
  <c r="E31" i="11"/>
  <c r="E30" i="11"/>
  <c r="E29" i="11"/>
  <c r="E27" i="11"/>
  <c r="E24" i="11"/>
  <c r="E24" i="16"/>
  <c r="E23" i="11"/>
  <c r="E20" i="11"/>
  <c r="E20" i="16"/>
  <c r="E19" i="11"/>
  <c r="E13" i="11" s="1"/>
  <c r="E11" i="11" s="1"/>
  <c r="E45" i="11" s="1"/>
  <c r="E15" i="11"/>
  <c r="E10" i="11"/>
  <c r="E55" i="10"/>
  <c r="E53" i="10"/>
  <c r="E52" i="10"/>
  <c r="E42" i="10"/>
  <c r="E43" i="10"/>
  <c r="E39" i="10"/>
  <c r="E35" i="10"/>
  <c r="E31" i="10"/>
  <c r="E30" i="10"/>
  <c r="E29" i="10"/>
  <c r="E28" i="10" s="1"/>
  <c r="E27" i="10"/>
  <c r="E15" i="10"/>
  <c r="E10" i="10"/>
  <c r="E45" i="10" s="1"/>
  <c r="E31" i="9"/>
  <c r="E55" i="9"/>
  <c r="E53" i="9"/>
  <c r="E52" i="9"/>
  <c r="E36" i="9"/>
  <c r="E42" i="9"/>
  <c r="E39" i="9"/>
  <c r="E35" i="9"/>
  <c r="E43" i="9"/>
  <c r="E30" i="9"/>
  <c r="E29" i="9"/>
  <c r="E27" i="9"/>
  <c r="E28" i="9" s="1"/>
  <c r="E15" i="9"/>
  <c r="E10" i="9"/>
  <c r="E55" i="8"/>
  <c r="E56" i="8"/>
  <c r="E53" i="8"/>
  <c r="E52" i="8"/>
  <c r="E36" i="8"/>
  <c r="E39" i="8"/>
  <c r="E35" i="8"/>
  <c r="E43" i="8"/>
  <c r="E31" i="8"/>
  <c r="E30" i="8"/>
  <c r="E29" i="8"/>
  <c r="E27" i="8"/>
  <c r="E15" i="8"/>
  <c r="E10" i="8"/>
  <c r="E31" i="7"/>
  <c r="E55" i="7"/>
  <c r="E53" i="7"/>
  <c r="E52" i="7"/>
  <c r="E36" i="7"/>
  <c r="E39" i="7"/>
  <c r="E35" i="7"/>
  <c r="E43" i="7" s="1"/>
  <c r="E30" i="7"/>
  <c r="E29" i="7"/>
  <c r="E65" i="7" s="1"/>
  <c r="E27" i="7"/>
  <c r="E13" i="19"/>
  <c r="E15" i="7"/>
  <c r="E10" i="7"/>
  <c r="E36" i="6"/>
  <c r="E43" i="6"/>
  <c r="E30" i="6"/>
  <c r="E29" i="6"/>
  <c r="E27" i="6"/>
  <c r="E28" i="6" s="1"/>
  <c r="E55" i="6"/>
  <c r="E53" i="6"/>
  <c r="E52" i="6"/>
  <c r="E39" i="6"/>
  <c r="E35" i="6"/>
  <c r="E31" i="6"/>
  <c r="E15" i="6"/>
  <c r="E17" i="6" s="1"/>
  <c r="E10" i="6"/>
  <c r="E45" i="6" s="1"/>
  <c r="E55" i="5"/>
  <c r="E53" i="5"/>
  <c r="E52" i="5"/>
  <c r="E35" i="5"/>
  <c r="E43" i="5" s="1"/>
  <c r="E30" i="5"/>
  <c r="E29" i="5"/>
  <c r="E27" i="5"/>
  <c r="E28" i="5" s="1"/>
  <c r="E15" i="5"/>
  <c r="E13" i="5" s="1"/>
  <c r="E11" i="5" s="1"/>
  <c r="E45" i="5" s="1"/>
  <c r="E10" i="5"/>
  <c r="E36" i="4"/>
  <c r="E55" i="4"/>
  <c r="E53" i="4"/>
  <c r="E52" i="4"/>
  <c r="E43" i="4"/>
  <c r="E39" i="4"/>
  <c r="E35" i="4"/>
  <c r="E31" i="4"/>
  <c r="E30" i="4"/>
  <c r="E29" i="4"/>
  <c r="E65" i="4" s="1"/>
  <c r="E27" i="4"/>
  <c r="E15" i="4"/>
  <c r="E10" i="4"/>
  <c r="E10" i="16" s="1"/>
  <c r="E31" i="3"/>
  <c r="E55" i="3"/>
  <c r="E53" i="3"/>
  <c r="E53" i="16" s="1"/>
  <c r="E52" i="3"/>
  <c r="E43" i="3"/>
  <c r="E39" i="3"/>
  <c r="E36" i="3"/>
  <c r="E36" i="16" s="1"/>
  <c r="E35" i="3"/>
  <c r="E30" i="3"/>
  <c r="E29" i="3"/>
  <c r="E28" i="3"/>
  <c r="E27" i="3"/>
  <c r="E15" i="3"/>
  <c r="E10" i="3"/>
  <c r="E31" i="2"/>
  <c r="E36" i="2"/>
  <c r="E43" i="2"/>
  <c r="E55" i="2"/>
  <c r="E53" i="2"/>
  <c r="E52" i="2"/>
  <c r="E52" i="16" s="1"/>
  <c r="E39" i="2"/>
  <c r="E35" i="2"/>
  <c r="E35" i="16" s="1"/>
  <c r="E30" i="2"/>
  <c r="E30" i="16" s="1"/>
  <c r="E29" i="2"/>
  <c r="E27" i="2"/>
  <c r="E27" i="16"/>
  <c r="E28" i="16" s="1"/>
  <c r="E15" i="2"/>
  <c r="E10" i="2"/>
  <c r="E17" i="10"/>
  <c r="E19" i="10"/>
  <c r="E23" i="10"/>
  <c r="E13" i="10"/>
  <c r="E11" i="10"/>
  <c r="E17" i="1"/>
  <c r="E19" i="1"/>
  <c r="E13" i="1" s="1"/>
  <c r="E11" i="1" s="1"/>
  <c r="E45" i="1" s="1"/>
  <c r="E23" i="1"/>
  <c r="E28" i="1"/>
  <c r="E65" i="1"/>
  <c r="E17" i="14"/>
  <c r="E19" i="14"/>
  <c r="E23" i="14"/>
  <c r="E65" i="14"/>
  <c r="E19" i="5"/>
  <c r="E23" i="5"/>
  <c r="E65" i="5"/>
  <c r="E19" i="6"/>
  <c r="E23" i="6"/>
  <c r="E13" i="6"/>
  <c r="E11" i="6" s="1"/>
  <c r="E65" i="6"/>
  <c r="A3" i="2"/>
  <c r="A3" i="3" s="1"/>
  <c r="A3" i="4" s="1"/>
  <c r="A3" i="5" s="1"/>
  <c r="A3" i="6" s="1"/>
  <c r="A3" i="7" s="1"/>
  <c r="A3" i="8" s="1"/>
  <c r="A3" i="9" s="1"/>
  <c r="A3" i="10" s="1"/>
  <c r="A3" i="11" s="1"/>
  <c r="A3" i="12" s="1"/>
  <c r="A3" i="13" s="1"/>
  <c r="E17" i="2"/>
  <c r="E19" i="2"/>
  <c r="E19" i="16" s="1"/>
  <c r="E21" i="16" s="1"/>
  <c r="E23" i="2"/>
  <c r="E23" i="16" s="1"/>
  <c r="E25" i="16" s="1"/>
  <c r="E17" i="4"/>
  <c r="E19" i="4"/>
  <c r="E23" i="4"/>
  <c r="E28" i="4"/>
  <c r="E56" i="4"/>
  <c r="E17" i="3"/>
  <c r="E19" i="3"/>
  <c r="E23" i="3"/>
  <c r="E13" i="3"/>
  <c r="E11" i="3" s="1"/>
  <c r="E45" i="3" s="1"/>
  <c r="E17" i="12"/>
  <c r="E19" i="12"/>
  <c r="E13" i="12" s="1"/>
  <c r="E11" i="12" s="1"/>
  <c r="E45" i="12" s="1"/>
  <c r="E23" i="12"/>
  <c r="E17" i="8"/>
  <c r="E19" i="8"/>
  <c r="E13" i="8" s="1"/>
  <c r="E11" i="8" s="1"/>
  <c r="E45" i="8" s="1"/>
  <c r="E23" i="8"/>
  <c r="E28" i="8"/>
  <c r="E65" i="8"/>
  <c r="E17" i="11"/>
  <c r="E21" i="11"/>
  <c r="E28" i="11"/>
  <c r="E56" i="11"/>
  <c r="E65" i="11"/>
  <c r="E17" i="9"/>
  <c r="E19" i="9"/>
  <c r="E13" i="9" s="1"/>
  <c r="E11" i="9" s="1"/>
  <c r="E45" i="9" s="1"/>
  <c r="E23" i="9"/>
  <c r="E13" i="17"/>
  <c r="E11" i="17" s="1"/>
  <c r="E28" i="17"/>
  <c r="E19" i="13"/>
  <c r="E23" i="13"/>
  <c r="E28" i="13"/>
  <c r="E21" i="15"/>
  <c r="E23" i="15"/>
  <c r="E13" i="15" s="1"/>
  <c r="E11" i="15" s="1"/>
  <c r="E45" i="15" s="1"/>
  <c r="E28" i="15"/>
  <c r="E17" i="7"/>
  <c r="E19" i="7"/>
  <c r="E13" i="7"/>
  <c r="E11" i="7" s="1"/>
  <c r="E45" i="7" s="1"/>
  <c r="E23" i="7"/>
  <c r="E28" i="7"/>
  <c r="E13" i="4"/>
  <c r="E13" i="2"/>
  <c r="E11" i="2" s="1"/>
  <c r="E45" i="2" s="1"/>
  <c r="E11" i="4"/>
  <c r="E45" i="4"/>
  <c r="E17" i="5"/>
  <c r="E15" i="16"/>
  <c r="E13" i="16" s="1"/>
  <c r="E29" i="16"/>
  <c r="E65" i="9"/>
  <c r="E25" i="11"/>
  <c r="E28" i="2"/>
  <c r="E13" i="20"/>
  <c r="E11" i="20" s="1"/>
  <c r="E45" i="20" s="1"/>
  <c r="E11" i="18" l="1"/>
  <c r="E45" i="18" s="1"/>
  <c r="E43" i="16"/>
  <c r="E11" i="16" s="1"/>
  <c r="E45" i="16" s="1"/>
  <c r="E45" i="14"/>
  <c r="E45" i="17"/>
  <c r="E65" i="16"/>
  <c r="E11" i="19"/>
  <c r="E45" i="19" s="1"/>
  <c r="E65" i="3"/>
  <c r="E17" i="13"/>
  <c r="E65" i="2"/>
  <c r="E65" i="13"/>
  <c r="E65" i="12"/>
  <c r="E65" i="10"/>
  <c r="A3" i="14"/>
  <c r="A3" i="15" s="1"/>
  <c r="A3" i="18"/>
  <c r="A3" i="16" l="1"/>
  <c r="A3" i="17"/>
  <c r="A3" i="19"/>
  <c r="A3" i="20"/>
</calcChain>
</file>

<file path=xl/sharedStrings.xml><?xml version="1.0" encoding="utf-8"?>
<sst xmlns="http://schemas.openxmlformats.org/spreadsheetml/2006/main" count="3120" uniqueCount="128">
  <si>
    <t xml:space="preserve">ИНФОРМАЦИЯ </t>
  </si>
  <si>
    <t>ОБ ОСНОВНЫХ ПОКАЗАТЕЛЯХ ФИНАНСОВО-ХОЗЯЙСТВЕННОЙ</t>
  </si>
  <si>
    <t>г. Мурманск</t>
  </si>
  <si>
    <t>№ п/п</t>
  </si>
  <si>
    <t>Наименование показателей</t>
  </si>
  <si>
    <t>Единица измерения</t>
  </si>
  <si>
    <t>Значения</t>
  </si>
  <si>
    <t>Вид регулируемой деятельности (производство,передача тепловой энергии)</t>
  </si>
  <si>
    <t>Х</t>
  </si>
  <si>
    <t>производство тепловой энергии</t>
  </si>
  <si>
    <t>Выручка от регулируемой деятельности</t>
  </si>
  <si>
    <t>тыс.руб.</t>
  </si>
  <si>
    <t>Себестоимость производимых товаров (оказываемых услуг) по регулируемому виду деятельности, в том числе:</t>
  </si>
  <si>
    <t>3.1.</t>
  </si>
  <si>
    <t>Расходы на покупаемую тепловую энергию (мощность)</t>
  </si>
  <si>
    <t>3.2.</t>
  </si>
  <si>
    <t>Расходы на топливо, всего</t>
  </si>
  <si>
    <t>в том числе по видам топлив</t>
  </si>
  <si>
    <t>3.2.1.</t>
  </si>
  <si>
    <t>мазут М-100</t>
  </si>
  <si>
    <t>Стоимость</t>
  </si>
  <si>
    <t>Объем</t>
  </si>
  <si>
    <t>тн</t>
  </si>
  <si>
    <t>Стоимость 1 -й единицы объема с учетом (транспортировки)</t>
  </si>
  <si>
    <t>Способ приобретения</t>
  </si>
  <si>
    <t>3.2.2.</t>
  </si>
  <si>
    <t>уголь каменный</t>
  </si>
  <si>
    <t>3.2.3.</t>
  </si>
  <si>
    <t>прочие виды топлив (ДТ, флотский мазут)</t>
  </si>
  <si>
    <t>3.3.</t>
  </si>
  <si>
    <t>Расходы на покупаемую электрическую энергию (мощность), потребляемую оборудованием, используемым в технологическом процессе</t>
  </si>
  <si>
    <t>3.3.1.</t>
  </si>
  <si>
    <t>Средневзвешенная стоимость 1 кВт/ч</t>
  </si>
  <si>
    <t>руб.</t>
  </si>
  <si>
    <t>3.3.2.</t>
  </si>
  <si>
    <t>Объем приобретенной электрической энергии</t>
  </si>
  <si>
    <t>тыс. кВт/ч</t>
  </si>
  <si>
    <t>3.4.</t>
  </si>
  <si>
    <t>Расходы на приобретение холодной воды, используемой в технологическом процессе</t>
  </si>
  <si>
    <t>3.5.</t>
  </si>
  <si>
    <t>Расходы на материалы на производственные нужды</t>
  </si>
  <si>
    <t>3.6.1.</t>
  </si>
  <si>
    <t>Расходы на оплату труда основного производственного персонала</t>
  </si>
  <si>
    <t>3.6.2.</t>
  </si>
  <si>
    <t>Отчисления на социальные нужды основного производственного персонала</t>
  </si>
  <si>
    <t>3.7.1.</t>
  </si>
  <si>
    <t>Расходы на амортизацию основных производственных средств, используемых в технологическом процессе</t>
  </si>
  <si>
    <t>3.7.2.</t>
  </si>
  <si>
    <t>Аренда имущества, используемого в технологическом процессе</t>
  </si>
  <si>
    <t>3.8.</t>
  </si>
  <si>
    <t>Общепроизводственные (цеховые) расходы, в том числе</t>
  </si>
  <si>
    <t>3.8.1.</t>
  </si>
  <si>
    <t>Расходы на оплату труда</t>
  </si>
  <si>
    <t>3.8.2.</t>
  </si>
  <si>
    <t xml:space="preserve">Отчисления на социальные нужды </t>
  </si>
  <si>
    <t>3.9.</t>
  </si>
  <si>
    <t>Общепроизводственные (управленческие) расходы</t>
  </si>
  <si>
    <t>3.9.1.</t>
  </si>
  <si>
    <t>3.9.2.</t>
  </si>
  <si>
    <t>3.10.</t>
  </si>
  <si>
    <t>Расходы на ремонт (капитальный и текущий) основных производственных средств</t>
  </si>
  <si>
    <t>3.11.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</si>
  <si>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</si>
  <si>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3.12.</t>
  </si>
  <si>
    <t>Выпадающие доходы, сложившиеся в результате установления тарифов в рамках предельного  уровня роста</t>
  </si>
  <si>
    <t>Валовая прибыль от продажи товаров и  услуг по регулируемому виду деятельности</t>
  </si>
  <si>
    <t>Чистая прибыль от регулируемого вида деятельности</t>
  </si>
  <si>
    <t>5.1.</t>
  </si>
  <si>
    <t>В том числе чистая прибыль на финансирование мероприятий, предусмотренных инвестиционной программой по развитию системы теплоснабжения</t>
  </si>
  <si>
    <t>6.</t>
  </si>
  <si>
    <t>Изменение стоимости основных фондов</t>
  </si>
  <si>
    <t>6.1.</t>
  </si>
  <si>
    <t>В том числе за счёт ввода (вывода) их из эксплуатации</t>
  </si>
  <si>
    <t>Установленная тепловая мощность</t>
  </si>
  <si>
    <t>Гкал/ч</t>
  </si>
  <si>
    <t>Присоединенная нагрузка</t>
  </si>
  <si>
    <t>Объём вырабатываемой регулируемой организацией тепловой энергии</t>
  </si>
  <si>
    <t>тыс. Гкал</t>
  </si>
  <si>
    <t>9.1.</t>
  </si>
  <si>
    <t>Справочно объем тепловой энергии на технлогические нужды производства</t>
  </si>
  <si>
    <t>Объем покупаемой регулируемой организацией тепловой энергии</t>
  </si>
  <si>
    <t>Объем тепловой энергии, отпускаемой потребителям</t>
  </si>
  <si>
    <t>Технологические потери тепловой энергии при передаче по тепловым сетям</t>
  </si>
  <si>
    <t>%</t>
  </si>
  <si>
    <t>Справочно потери тепла через изоляцию труб</t>
  </si>
  <si>
    <t>Протяженность магистральных сетей и тепловых вводов ( в двухтрубном исчислении)</t>
  </si>
  <si>
    <t>км</t>
  </si>
  <si>
    <t>Протяженность разводящих сетей ( в однотрубном исчислении)</t>
  </si>
  <si>
    <t>Количество теплоэлектростанций</t>
  </si>
  <si>
    <t>ед.</t>
  </si>
  <si>
    <t>Количество тепловых станций и котельных</t>
  </si>
  <si>
    <t>Количество тепловых пунктов</t>
  </si>
  <si>
    <t>Среднесписочная численность основного производственного персонала</t>
  </si>
  <si>
    <t>чел.</t>
  </si>
  <si>
    <t>Удельный расход условного топлива на единицу тепловой энергии, отпускаемой в тепловую сеть</t>
  </si>
  <si>
    <t>кг у.т./Гкал</t>
  </si>
  <si>
    <t>Удельный расход электрической энергии на единицу тепловой энергии, оптускаемой в тепловую сеть</t>
  </si>
  <si>
    <t>кВт.ч/Гкал</t>
  </si>
  <si>
    <t>Удельный расход холодной воды на единицу тепловой энергии, отпускаемой в тепловую сеть</t>
  </si>
  <si>
    <t>м3/Гкал</t>
  </si>
  <si>
    <t>не устанавливается</t>
  </si>
  <si>
    <t>Комментарии</t>
  </si>
  <si>
    <t>Регулируемая деятельность осуществляется с 01.09.2011 года по договору эксплуатации. Производственный персонал состоит в штате эксплуатирующей организации</t>
  </si>
  <si>
    <t>г.п. Кола Кольского района</t>
  </si>
  <si>
    <t>Объем тепловой энергии, отпускаемой потребителям,  в том числе:</t>
  </si>
  <si>
    <t>г.п. Мурмаши Кольского района</t>
  </si>
  <si>
    <t>г.п. Молочный Кольского района</t>
  </si>
  <si>
    <t>г.п. Верхнетуломский Кольского района</t>
  </si>
  <si>
    <t>Городское поселение Кильдинстрой Кольского района (п.г.т. Кильдинстрой, н.п. Шонгуй)</t>
  </si>
  <si>
    <t>с.п. Ловозеро Ловозерского района</t>
  </si>
  <si>
    <t>г.п. Ревда Ловозерского района</t>
  </si>
  <si>
    <t>г. Оленегорск (н.п.Высокий)</t>
  </si>
  <si>
    <t>г.Гаджиево ЗАТО Александровск</t>
  </si>
  <si>
    <t>ЗАТО город Североморск</t>
  </si>
  <si>
    <t>г.п. Никель Печенгского района</t>
  </si>
  <si>
    <t>г. Полярный ЗАТО Александровск</t>
  </si>
  <si>
    <t>г. Снежногорск ЗАТО Александровск</t>
  </si>
  <si>
    <t>с.п. Корзуново Печенгского района</t>
  </si>
  <si>
    <t>в том числе по видам топлива</t>
  </si>
  <si>
    <t>МО город Мурманск</t>
  </si>
  <si>
    <t>передача тепловой энергии</t>
  </si>
  <si>
    <t>ДЕЯТЕЛЬНОСТИ  ОАО "МУРМАНЭНЕРГОСБЫТ" ЗА  2012 ГОД</t>
  </si>
  <si>
    <t>прочие виды топлива (ДТ, флотский мазут)</t>
  </si>
  <si>
    <t>г. Кандалакша</t>
  </si>
  <si>
    <t>с.п. Умба</t>
  </si>
  <si>
    <t>с.п. Зеленоборский</t>
  </si>
  <si>
    <t>Регулируемая деятельность осуществляется с 01.10.2011 года по договору эксплуатации. Производственный персонал состоит в штате эксплуатирующей организации</t>
  </si>
  <si>
    <t xml:space="preserve">Регулируемая деятельность осуществляется с 30.05.2012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</si>
</sst>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.000"/>
    <numFmt numFmtId="166" formatCode="#,##0.0"/>
    <numFmt numFmtId="167" formatCode="#,##0.00000"/>
    <numFmt numFmtId="168" formatCode="0.00000"/>
  </numFmts>
  <fonts count="6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2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/>
    <xf numFmtId="3" fontId="1" fillId="0" borderId="2" xfId="0" applyNumberFormat="1" applyFont="1" applyBorder="1" applyAlignment="1">
      <alignment horizontal="center"/>
    </xf>
    <xf numFmtId="16" fontId="0" fillId="0" borderId="2" xfId="0" applyNumberFormat="1" applyFont="1" applyBorder="1" applyAlignment="1">
      <alignment horizontal="center" vertical="top"/>
    </xf>
    <xf numFmtId="164" fontId="0" fillId="0" borderId="2" xfId="0" applyNumberFormat="1" applyBorder="1" applyAlignment="1">
      <alignment horizontal="center"/>
    </xf>
    <xf numFmtId="3" fontId="0" fillId="0" borderId="0" xfId="0" applyNumberFormat="1"/>
    <xf numFmtId="4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/>
    <xf numFmtId="165" fontId="3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0" fillId="0" borderId="2" xfId="0" applyFont="1" applyBorder="1"/>
    <xf numFmtId="4" fontId="0" fillId="0" borderId="2" xfId="0" applyNumberFormat="1" applyBorder="1"/>
    <xf numFmtId="165" fontId="0" fillId="0" borderId="2" xfId="0" applyNumberFormat="1" applyBorder="1"/>
    <xf numFmtId="4" fontId="1" fillId="0" borderId="0" xfId="0" applyNumberFormat="1" applyFont="1"/>
    <xf numFmtId="167" fontId="0" fillId="0" borderId="0" xfId="0" applyNumberFormat="1"/>
    <xf numFmtId="3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3" fillId="0" borderId="0" xfId="0" applyNumberFormat="1" applyFont="1"/>
    <xf numFmtId="3" fontId="0" fillId="0" borderId="2" xfId="0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Font="1"/>
    <xf numFmtId="167" fontId="1" fillId="0" borderId="0" xfId="0" applyNumberFormat="1" applyFont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165" fontId="0" fillId="0" borderId="2" xfId="0" applyNumberFormat="1" applyFill="1" applyBorder="1"/>
    <xf numFmtId="4" fontId="0" fillId="0" borderId="2" xfId="0" applyNumberFormat="1" applyFill="1" applyBorder="1"/>
    <xf numFmtId="0" fontId="0" fillId="0" borderId="0" xfId="0" applyFill="1"/>
    <xf numFmtId="0" fontId="3" fillId="0" borderId="0" xfId="0" applyFont="1" applyFill="1"/>
    <xf numFmtId="165" fontId="0" fillId="0" borderId="2" xfId="0" applyNumberFormat="1" applyFill="1" applyBorder="1" applyAlignment="1">
      <alignment horizontal="center"/>
    </xf>
    <xf numFmtId="165" fontId="0" fillId="0" borderId="2" xfId="0" applyNumberFormat="1" applyFont="1" applyFill="1" applyBorder="1" applyAlignment="1">
      <alignment horizontal="center"/>
    </xf>
    <xf numFmtId="3" fontId="0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2" xfId="0" applyNumberFormat="1" applyFill="1" applyBorder="1"/>
    <xf numFmtId="166" fontId="0" fillId="0" borderId="2" xfId="0" applyNumberFormat="1" applyFill="1" applyBorder="1"/>
    <xf numFmtId="10" fontId="0" fillId="0" borderId="2" xfId="0" applyNumberFormat="1" applyFill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1" fillId="3" borderId="0" xfId="0" applyFont="1" applyFill="1" applyBorder="1" applyAlignment="1">
      <alignment horizontal="center" wrapText="1"/>
    </xf>
    <xf numFmtId="0" fontId="0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8" workbookViewId="0">
      <selection activeCell="E50" sqref="E50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3.140625" customWidth="1"/>
    <col min="4" max="4" width="20.140625" customWidth="1"/>
    <col min="5" max="5" width="19" style="1" customWidth="1"/>
    <col min="6" max="6" width="16.85546875" customWidth="1"/>
  </cols>
  <sheetData>
    <row r="1" spans="1:6" ht="18.75" customHeight="1" x14ac:dyDescent="0.2">
      <c r="A1" s="72" t="s">
        <v>0</v>
      </c>
      <c r="B1" s="72"/>
      <c r="C1" s="72"/>
      <c r="D1" s="72"/>
      <c r="E1" s="72"/>
    </row>
    <row r="2" spans="1:6" ht="19.5" customHeight="1" x14ac:dyDescent="0.2">
      <c r="A2" s="72" t="s">
        <v>1</v>
      </c>
      <c r="B2" s="72"/>
      <c r="C2" s="72"/>
      <c r="D2" s="72"/>
      <c r="E2" s="72"/>
    </row>
    <row r="3" spans="1:6" ht="32.25" customHeight="1" x14ac:dyDescent="0.2">
      <c r="A3" s="73" t="s">
        <v>121</v>
      </c>
      <c r="B3" s="73"/>
      <c r="C3" s="73"/>
      <c r="D3" s="73"/>
      <c r="E3" s="73"/>
    </row>
    <row r="4" spans="1:6" ht="12.75" customHeight="1" x14ac:dyDescent="0.2">
      <c r="A4" s="74" t="s">
        <v>2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25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68" t="s">
        <v>10</v>
      </c>
      <c r="C10" s="68"/>
      <c r="D10" s="13" t="s">
        <v>11</v>
      </c>
      <c r="E10" s="14">
        <f>(1151538859.503+25978269.72+174095508.72)/1000</f>
        <v>1351612.6379430001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1638204.6729900001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66" t="s">
        <v>16</v>
      </c>
      <c r="C13" s="66"/>
      <c r="D13" s="10" t="s">
        <v>11</v>
      </c>
      <c r="E13" s="18">
        <f>E15+E19+E23</f>
        <v>1079459.3287500001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8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(902734237.89+28525773.49+148199317.37)/1000</f>
        <v>1079459.3287500001</v>
      </c>
    </row>
    <row r="16" spans="1:6" s="24" customFormat="1" ht="17.25" customHeight="1" x14ac:dyDescent="0.2">
      <c r="A16" s="69"/>
      <c r="B16" s="70"/>
      <c r="C16" s="21" t="s">
        <v>21</v>
      </c>
      <c r="D16" s="22" t="s">
        <v>22</v>
      </c>
      <c r="E16" s="23">
        <f>77245.152+2455.666+12708.474</f>
        <v>92409.292000000001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11.681285565416951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38.2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(35515244.85+2579438.18+9526166.26)/1000</f>
        <v>47620.849289999998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2.0594793714297355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23122761/1000</f>
        <v>23122.760999999999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(6174681.18+237096.81+1512481.98)/1000</f>
        <v>7924.2599699999992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(7707769.05+319528.35+1871601.27+55480.07+51834.25+5219357.42+175331.88+1176675.96)/1000</f>
        <v>16577.578249999999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27.7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24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(17000609.5+41305874.44+1485097.49+436883.14+1695487.64+4125930.07)/1000</f>
        <v>66049.882280000005</v>
      </c>
    </row>
    <row r="36" spans="1:5" ht="27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(39477.86+1034075.73+69602.27+85379.48+346498.51+27320.07+136380.84)/1000</f>
        <v>1738.7347600000003</v>
      </c>
    </row>
    <row r="37" spans="1:5" ht="16.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7.2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24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(22630567.1+985746.06+3964032.76)/1000</f>
        <v>27580.345920000003</v>
      </c>
    </row>
    <row r="40" spans="1:5" ht="19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19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(1304323.86+23808.94)/1000</f>
        <v>1328.1328000000001</v>
      </c>
    </row>
    <row r="43" spans="1:5" ht="51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(360841197.87+25183746.76+69950498.62)/1000-E35</f>
        <v>389925.56096999999</v>
      </c>
    </row>
    <row r="44" spans="1:5" ht="43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-286592.03504700004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24.7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27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22.5" customHeight="1" x14ac:dyDescent="0.2">
      <c r="A50" s="9">
        <v>7</v>
      </c>
      <c r="B50" s="66" t="s">
        <v>73</v>
      </c>
      <c r="C50" s="66"/>
      <c r="D50" s="10" t="s">
        <v>74</v>
      </c>
      <c r="E50" s="53">
        <v>552</v>
      </c>
    </row>
    <row r="51" spans="1:5" ht="20.25" customHeight="1" x14ac:dyDescent="0.2">
      <c r="A51" s="9">
        <v>8</v>
      </c>
      <c r="B51" s="66" t="s">
        <v>75</v>
      </c>
      <c r="C51" s="66"/>
      <c r="D51" s="10" t="s">
        <v>74</v>
      </c>
      <c r="E51" s="53">
        <v>264.64999999999998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(661600+16323+109661)/1000</f>
        <v>787.58399999999995</v>
      </c>
    </row>
    <row r="53" spans="1:5" ht="30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(22346+1280+6828)/1000</f>
        <v>30.454000000000001</v>
      </c>
    </row>
    <row r="54" spans="1:5" ht="12.75" customHeight="1" x14ac:dyDescent="0.2">
      <c r="A54" s="9">
        <v>10</v>
      </c>
      <c r="B54" s="66" t="s">
        <v>80</v>
      </c>
      <c r="C54" s="66"/>
      <c r="D54" s="10" t="s">
        <v>77</v>
      </c>
      <c r="E54" s="29">
        <v>0</v>
      </c>
    </row>
    <row r="55" spans="1:5" ht="30" customHeight="1" x14ac:dyDescent="0.2">
      <c r="A55" s="9">
        <v>11</v>
      </c>
      <c r="B55" s="66" t="s">
        <v>81</v>
      </c>
      <c r="C55" s="66"/>
      <c r="D55" s="10" t="s">
        <v>77</v>
      </c>
      <c r="E55" s="30">
        <f>(580765+13134+88009)/1000</f>
        <v>681.90800000000002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9.9000000000000005E-2</v>
      </c>
    </row>
    <row r="57" spans="1:5" ht="16.5" customHeight="1" x14ac:dyDescent="0.2">
      <c r="A57" s="9">
        <v>13</v>
      </c>
      <c r="B57" s="66" t="s">
        <v>84</v>
      </c>
      <c r="C57" s="66"/>
      <c r="D57" s="10" t="s">
        <v>77</v>
      </c>
      <c r="E57" s="29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217.9</v>
      </c>
    </row>
    <row r="59" spans="1:5" ht="27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6.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5" customHeight="1" x14ac:dyDescent="0.2">
      <c r="A61" s="9">
        <v>17</v>
      </c>
      <c r="B61" s="66" t="s">
        <v>90</v>
      </c>
      <c r="C61" s="66"/>
      <c r="D61" s="10" t="s">
        <v>89</v>
      </c>
      <c r="E61" s="63">
        <v>3</v>
      </c>
    </row>
    <row r="62" spans="1:5" ht="17.25" customHeight="1" x14ac:dyDescent="0.2">
      <c r="A62" s="9">
        <v>18</v>
      </c>
      <c r="B62" s="66" t="s">
        <v>91</v>
      </c>
      <c r="C62" s="66"/>
      <c r="D62" s="10" t="s">
        <v>89</v>
      </c>
      <c r="E62" s="53">
        <v>34</v>
      </c>
    </row>
    <row r="63" spans="1:5" ht="27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6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167.09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30.540014264393168</v>
      </c>
    </row>
    <row r="66" spans="1:5" ht="36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2.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3.5703125" customWidth="1"/>
    <col min="5" max="5" width="22.7109375" style="1" customWidth="1"/>
    <col min="6" max="6" width="17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'н.п. Высокий'!A3:E3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112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158613441.74/1000</f>
        <v>158613.44174000001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218899.27163999999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143477.78047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143477780.47/1000</f>
        <v>143477.78047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12283.309000000001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11.680710830444792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6241954.17/1000</f>
        <v>6241.95417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2.6031722777215696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2397826/1000</f>
        <v>2397.826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685672.42/1000</f>
        <v>685.67241999999999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(742649.66+877539.22)/1000</f>
        <v>1620.1888799999999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12457214.26/1000</f>
        <v>12457.214260000001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/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2624944.18/1000</f>
        <v>2624.94418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95.28/1000</f>
        <v>9.5280000000000004E-2</v>
      </c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64248636.24/1000-E35</f>
        <v>51791.421979999999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-60285.829899999982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82.5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28.93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99446/1000</f>
        <v>99.445999999999998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5602/1000</f>
        <v>5.6020000000000003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75283/1000</f>
        <v>75.283000000000001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0.1968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12549/1000</f>
        <v>12.548999999999999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179.09455947511933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25.551191338817613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1.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9" workbookViewId="0">
      <selection activeCell="G72" sqref="G72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9.28515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 Гаджиево'!A3:E3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113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1563754960.342/1000</f>
        <v>1563754.960342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1948370.4012275201</v>
      </c>
      <c r="F11" s="34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1237353.28997752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1176330939.8/1000</f>
        <v>1176330.9398000001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100694.56899999999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11.682168675849839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26062755.17/1000</f>
        <v>26062.75517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>
        <f>6632.265</f>
        <v>6632.2650000000003</v>
      </c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5">
        <f>E19/E20</f>
        <v>3.9296914658868425</v>
      </c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(4808285.13752+30151309.87)/1000</f>
        <v>34959.595007520002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>
        <f>163.673+1557.573</f>
        <v>1721.2460000000001</v>
      </c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5">
        <f>E23/E24</f>
        <v>20.310632534524409</v>
      </c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67697292.35/1000</f>
        <v>67697.292349999989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2.4486890453242975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27646341/1000</f>
        <v>27646.341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47">
        <f>9347443.94/1000</f>
        <v>9347.4439399999992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(2669314.27+476639.96)/1000</f>
        <v>3145.9542299999998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24796726.89/1000</f>
        <v>24796.726890000002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12133.87/1000</f>
        <v>12.13387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34722593.02/1000</f>
        <v>34722.59302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8686401.09/1000</f>
        <v>8686.4010899999994</v>
      </c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587405292.75/1000-E35</f>
        <v>562608.56585999997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-384615.44088552007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545.76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224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52">
        <f>876242/1000</f>
        <v>876.24199999999996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52">
        <f>94606/1000</f>
        <v>94.605999999999995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53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52">
        <f>682044/1000</f>
        <v>682.04399999999998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f>(E52-E53-E55)/(E52-E53)</f>
        <v>0.12741480689221069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94.125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10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8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53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184.88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35.369840948983928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71.25" customHeight="1" x14ac:dyDescent="0.2">
      <c r="A67" s="9">
        <v>23</v>
      </c>
      <c r="B67" s="66" t="s">
        <v>101</v>
      </c>
      <c r="C67" s="66"/>
      <c r="D67" s="67" t="s">
        <v>126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H67"/>
  <sheetViews>
    <sheetView topLeftCell="A43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21.710937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'ЗАТО г. Североморск'!A3:E3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114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243377037.19/1000</f>
        <v>243377.03719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517087.47610999993</v>
      </c>
      <c r="F11" s="35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1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399559.65489000001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399559654.89/1000</f>
        <v>399559.65489000001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34252.671999999999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11.665065279870721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16341917.5/1000</f>
        <v>16341.9175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1.4993927437906367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10899024/1000</f>
        <v>10899.023999999999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1459274.29/1000</f>
        <v>1459.2742900000001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(1695981.01+2099.25)/1000</f>
        <v>1698.08026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8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8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8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24840994.24/1000</f>
        <v>24840.99424</v>
      </c>
    </row>
    <row r="36" spans="1:8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8.79/1000</f>
        <v>8.7899999999999992E-3</v>
      </c>
    </row>
    <row r="37" spans="1:8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8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8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7454174.38/1000</f>
        <v>7454.1743799999995</v>
      </c>
    </row>
    <row r="40" spans="1:8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8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8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8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90574366/1000-E35</f>
        <v>65733.371759999995</v>
      </c>
    </row>
    <row r="44" spans="1:8" ht="41.2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8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-273710.43891999993</v>
      </c>
      <c r="H45" s="33"/>
    </row>
    <row r="46" spans="1:8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8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8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188.63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61.305999999999997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243097/1000</f>
        <v>243.09700000000001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23033/1000</f>
        <v>23.033000000000001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164636/1000</f>
        <v>164.636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f>(E52-E53-E55)/(E52-E53)</f>
        <v>0.25187218263777822</v>
      </c>
    </row>
    <row r="57" spans="1:5" ht="18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32.51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1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53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213.23855787407297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49.5266104405991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71.2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4.28515625" customWidth="1"/>
    <col min="5" max="5" width="20.5703125" style="1" customWidth="1"/>
    <col min="6" max="6" width="15.425781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Никель 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115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419197146.9/1000</f>
        <v>419197.14689999999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502130.89158000005</v>
      </c>
      <c r="F11" s="34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308105.27405000001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308105274.05/1000</f>
        <v>308105.27405000001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26404.887999999999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11.6684938807542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22568276.16/1000</f>
        <v>22568.276160000001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2.589627658372073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8714873/1000</f>
        <v>8714.8729999999996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3531430.95/1000</f>
        <v>3531.4309500000004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(574604.76+1813303.87)/1000</f>
        <v>2387.9086299999999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11172269.88/1000</f>
        <v>11172.269880000002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/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11161945.82/1000</f>
        <v>11161.945820000001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154376055.97/1000-E35</f>
        <v>143203.78608999998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-82933.744680000062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102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53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227246/1000</f>
        <v>227.24600000000001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24188/1000</f>
        <v>24.187999999999999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180751/1000</f>
        <v>180.751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f>(E52-E53-E55)/(E52-E53)</f>
        <v>0.10985531227531058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19.5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178.14957795309712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42.918146539412383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7.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7.57031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Полярный!A3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116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(271196556.672+17149892.02)/1000</f>
        <v>288346.44869199995</v>
      </c>
    </row>
    <row r="11" spans="1:6" s="15" customFormat="1" ht="38.25" customHeight="1" x14ac:dyDescent="0.2">
      <c r="A11" s="12"/>
      <c r="B11" s="68" t="s">
        <v>12</v>
      </c>
      <c r="C11" s="68"/>
      <c r="D11" s="13" t="s">
        <v>11</v>
      </c>
      <c r="E11" s="16">
        <f>E12+E13+E27+E30+E31+E32+E33+E34+E35+E36+E39+E42+E43</f>
        <v>368540.19765000005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225420.45566000001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(212274206.37+13146249.29)/1000</f>
        <v>225420.45566000001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f>18134.343+1122.6</f>
        <v>19256.942999999999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11.705931500134783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(11557269.44+1381973.04)/1000</f>
        <v>12939.242480000001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2.6286755067657821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(4391946+530397)/1000</f>
        <v>4922.3429999999998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(1100499.24+7017.69)/1000</f>
        <v>1107.51693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(534721.77+1424378.56+84030)/1000</f>
        <v>2043.1303300000002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(4817575.64+3619198.44)/1000</f>
        <v>8436.7740799999992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/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(171299.23+8385570.86+106500.51)/1000</f>
        <v>8663.3706000000002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949513/1000</f>
        <v>949.51300000000003</v>
      </c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(3619198.44+112980188.29+817581.92)/1000-E35</f>
        <v>108980.19457000001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-80193.748958000098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110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46.3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52">
        <f>(155478+9715)/1000</f>
        <v>165.19300000000001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52">
        <f>(13028+697)/1000</f>
        <v>13.725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53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52">
        <f>(130125+8250)/1000</f>
        <v>138.375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8.5099999999999995E-2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15.035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2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1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53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174.44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32.497577045976705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9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52" workbookViewId="0">
      <selection activeCell="E64" sqref="E64:E65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6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 Снежногорск'!A3:E3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117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5390763.53/1000</f>
        <v>5390.7635300000002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13341.923606</v>
      </c>
      <c r="F11" s="35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3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7724.9334660000004</v>
      </c>
    </row>
    <row r="14" spans="1:6" ht="12.75" customHeight="1" x14ac:dyDescent="0.2">
      <c r="A14" s="9"/>
      <c r="B14" s="66" t="s">
        <v>17</v>
      </c>
      <c r="C14" s="66"/>
      <c r="D14" s="10"/>
      <c r="E14" s="20"/>
      <c r="F14" s="36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/>
      <c r="F15" s="37"/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/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/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7724933.466/1000</f>
        <v>7724.9334660000004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>
        <v>1969.3</v>
      </c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5">
        <f>E19/E20</f>
        <v>3.9226798689889812</v>
      </c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188390.17/1000</f>
        <v>188.39017000000001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2.604232374896323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72340/1000</f>
        <v>72.34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184544.45/1000</f>
        <v>184.54445000000001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/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6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6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6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61399.92/1000</f>
        <v>61.399920000000002</v>
      </c>
    </row>
    <row r="36" spans="1:6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/>
    </row>
    <row r="37" spans="1:6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6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6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245820.59/1000</f>
        <v>245.82059000000001</v>
      </c>
    </row>
    <row r="40" spans="1:6" ht="12.7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6" ht="12.7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6" ht="12.7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6" ht="55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4998234.93/1000-E35</f>
        <v>4936.8350099999998</v>
      </c>
    </row>
    <row r="44" spans="1:6" ht="42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6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-7951.1600760000001</v>
      </c>
      <c r="F45" s="31"/>
    </row>
    <row r="46" spans="1:6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6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6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2.38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0.94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3291/1000</f>
        <v>3.2909999999999999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60/1000</f>
        <v>0.06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3084/1000</f>
        <v>3.0840000000000001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4.58E-2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78" t="s">
        <v>85</v>
      </c>
      <c r="C58" s="79"/>
      <c r="D58" s="10" t="s">
        <v>86</v>
      </c>
      <c r="E58" s="53">
        <v>2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5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f>469.171</f>
        <v>469.17099999999999</v>
      </c>
    </row>
    <row r="65" spans="1:5" ht="45.7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22.389353141442278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7.5" customHeight="1" x14ac:dyDescent="0.2">
      <c r="A67" s="9">
        <v>23</v>
      </c>
      <c r="B67" s="66" t="s">
        <v>101</v>
      </c>
      <c r="C67" s="66"/>
      <c r="D67" s="67" t="s">
        <v>126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67"/>
  <sheetViews>
    <sheetView topLeftCell="A49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7.57031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Полярный!A3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123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268161786.84/1000</f>
        <v>268161.78684000002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E12+E13+E27+E30+E31+E32+E33+E34+E35+E36+E39+E42+E43+E37+E38</f>
        <v>324568.70880000002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192507.59533000001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192507595.33/1000</f>
        <v>192507.59533000001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17723.659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10.861616968031264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12283258.53/1000</f>
        <v>12283.258529999999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2.7466821100460974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4472035/1000</f>
        <v>4472.0349999999999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4202180.65/1000</f>
        <v>4202.1806500000002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(8879748.74+2415811.74)/1000</f>
        <v>11295.56048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>
        <f>30008113.09/1000</f>
        <v>30008.113089999999</v>
      </c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>
        <f>8943113.6/1000</f>
        <v>8943.1135999999988</v>
      </c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>
        <f>21510.76/1000</f>
        <v>21.510759999999998</v>
      </c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6465714.71/1000</f>
        <v>6465.7147100000002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(75181.08+927449.39+77523.01+283074.25+329905.44+799183.62+151965.27)/1000</f>
        <v>2644.28206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f>(19505351.47+10851)/1000</f>
        <v>19516.20247</v>
      </c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f>5814854.06/1000</f>
        <v>5814.8540599999997</v>
      </c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20516546.77/1000</f>
        <v>20516.546770000001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3373988.85/1000</f>
        <v>3373.9888500000002</v>
      </c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13441502.15/1000-E35</f>
        <v>6975.7874400000001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-56406.921960000007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165.94900000000001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101.55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139577/1000</f>
        <v>139.577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10407/1000</f>
        <v>10.407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107041/1000</f>
        <v>107.041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0.16600000000000001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42.47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4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>
        <v>156</v>
      </c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187.98025857397226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34.621312998374236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9" customHeight="1" x14ac:dyDescent="0.2">
      <c r="A67" s="9">
        <v>23</v>
      </c>
      <c r="B67" s="66" t="s">
        <v>101</v>
      </c>
      <c r="C67" s="66"/>
      <c r="D67" s="67" t="s">
        <v>127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67"/>
  <sheetViews>
    <sheetView topLeftCell="A40" workbookViewId="0">
      <selection activeCell="H63" sqref="H63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6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 Кандалакша'!A3:E3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80" t="s">
        <v>124</v>
      </c>
      <c r="B4" s="80"/>
      <c r="C4" s="80"/>
      <c r="D4" s="80"/>
      <c r="E4" s="80"/>
    </row>
    <row r="5" spans="1:6" ht="1.5" customHeight="1" x14ac:dyDescent="0.2">
      <c r="A5" s="80"/>
      <c r="B5" s="80"/>
      <c r="C5" s="80"/>
      <c r="D5" s="80"/>
      <c r="E5" s="8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46459614.94/1000</f>
        <v>46459.614939999999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E12+E13+E27+E30+E31+E32+E33+E34+E35+E36+E39+E42+E43+E37+E38</f>
        <v>62525.815769999994</v>
      </c>
      <c r="F11" s="35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3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31722.452559999998</v>
      </c>
    </row>
    <row r="14" spans="1:6" ht="12.75" customHeight="1" x14ac:dyDescent="0.2">
      <c r="A14" s="9"/>
      <c r="B14" s="66" t="s">
        <v>17</v>
      </c>
      <c r="C14" s="66"/>
      <c r="D14" s="10"/>
      <c r="E14" s="20"/>
      <c r="F14" s="36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31722452.56/1000</f>
        <v>31722.452559999998</v>
      </c>
      <c r="F15" s="37"/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2917.3739999999998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10.873632437939051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>
        <v>0</v>
      </c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/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5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1958239.8/1000</f>
        <v>1958.2398000000001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3.461181889524402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565772/1000</f>
        <v>565.77200000000005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255366.48/1000</f>
        <v>255.36648000000002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(1846485.33+201178.99)/1000</f>
        <v>2047.6643200000001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>
        <f>9184596.34/1000</f>
        <v>9184.5963400000001</v>
      </c>
    </row>
    <row r="33" spans="1:6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>
        <f>2738372.95/1000</f>
        <v>2738.3729500000004</v>
      </c>
    </row>
    <row r="34" spans="1:6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6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781812.28/1000</f>
        <v>781.81227999999999</v>
      </c>
    </row>
    <row r="36" spans="1:6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(1216049.63+284956.35+14031.78+35060.96+28034.77+186554.25+32670.31)/1000</f>
        <v>1797.35805</v>
      </c>
    </row>
    <row r="37" spans="1:6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f>3045028.28/1000</f>
        <v>3045.02828</v>
      </c>
    </row>
    <row r="38" spans="1:6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f>907594.56/1000</f>
        <v>907.59456</v>
      </c>
    </row>
    <row r="39" spans="1:6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4571342.1/1000</f>
        <v>4571.3420999999998</v>
      </c>
    </row>
    <row r="40" spans="1:6" ht="12.7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6" ht="12.7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6" ht="12.7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296216.15/1000</f>
        <v>296.21615000000003</v>
      </c>
    </row>
    <row r="43" spans="1:6" ht="55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4001584.18/1000-E35</f>
        <v>3219.7719000000002</v>
      </c>
    </row>
    <row r="44" spans="1:6" ht="42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6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-16066.200829999994</v>
      </c>
      <c r="F45" s="31"/>
    </row>
    <row r="46" spans="1:6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6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6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19.38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13.79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52">
        <f>21351/1000</f>
        <v>21.350999999999999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52">
        <f>1685/1000</f>
        <v>1.6850000000000001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53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52">
        <f>16026/1000</f>
        <v>16.026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0.18099999999999999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9.2620000000000005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2</v>
      </c>
    </row>
    <row r="62" spans="1:5" ht="15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53">
        <v>39</v>
      </c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203.23349944065899</v>
      </c>
    </row>
    <row r="65" spans="1:5" ht="45.7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28.769043018407405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7.5" customHeight="1" x14ac:dyDescent="0.2">
      <c r="A67" s="9">
        <v>23</v>
      </c>
      <c r="B67" s="66" t="s">
        <v>101</v>
      </c>
      <c r="C67" s="66"/>
      <c r="D67" s="67" t="s">
        <v>127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67"/>
  <sheetViews>
    <sheetView topLeftCell="A46" workbookViewId="0">
      <selection activeCell="F65" sqref="F65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6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 Кандалакша'!A3:E3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80" t="s">
        <v>125</v>
      </c>
      <c r="B4" s="80"/>
      <c r="C4" s="80"/>
      <c r="D4" s="80"/>
      <c r="E4" s="80"/>
    </row>
    <row r="5" spans="1:6" ht="1.5" customHeight="1" x14ac:dyDescent="0.2">
      <c r="A5" s="80"/>
      <c r="B5" s="80"/>
      <c r="C5" s="80"/>
      <c r="D5" s="80"/>
      <c r="E5" s="8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57592365.38/1000</f>
        <v>57592.365380000003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E12+E13+E27+E30+E31+E32+E33+E34+E35+E36+E39+E42+E43+E37+E38</f>
        <v>73238.811662660024</v>
      </c>
      <c r="F11" s="35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3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38102.208762660004</v>
      </c>
    </row>
    <row r="14" spans="1:6" ht="12.75" customHeight="1" x14ac:dyDescent="0.2">
      <c r="A14" s="9"/>
      <c r="B14" s="66" t="s">
        <v>17</v>
      </c>
      <c r="C14" s="66"/>
      <c r="D14" s="10"/>
      <c r="E14" s="20"/>
      <c r="F14" s="36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37324554.1/1000</f>
        <v>37324.554100000001</v>
      </c>
      <c r="F15" s="37"/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3430.761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10.87938043483647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/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5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777654.66266/1000</f>
        <v>777.65466265999999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>
        <v>26.677999999999997</v>
      </c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5">
        <f>E23/E24</f>
        <v>29.149661243721422</v>
      </c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1448438.3/1000</f>
        <v>1448.4383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2.8724265055844653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504256/1000</f>
        <v>504.25599999999997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682802.05/1000</f>
        <v>682.80205000000001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(3951092.17+449798.71)/1000</f>
        <v>4400.8908799999999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>
        <f>8585618.13/1000</f>
        <v>8585.6181300000007</v>
      </c>
    </row>
    <row r="33" spans="1:6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>
        <f>2558096.51/1000</f>
        <v>2558.0965099999999</v>
      </c>
    </row>
    <row r="34" spans="1:6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6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2317829.72/1000</f>
        <v>2317.8297200000002</v>
      </c>
    </row>
    <row r="36" spans="1:6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(684094.36+163801.94+33655.08+46643.64+54240.05+177096.33+56440.3)/1000</f>
        <v>1215.9717000000003</v>
      </c>
    </row>
    <row r="37" spans="1:6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f>3618231.88/1000</f>
        <v>3618.2318799999998</v>
      </c>
    </row>
    <row r="38" spans="1:6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f>1077527.56/1000</f>
        <v>1077.52756</v>
      </c>
    </row>
    <row r="39" spans="1:6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5260488.26/1000</f>
        <v>5260.4882600000001</v>
      </c>
    </row>
    <row r="40" spans="1:6" ht="12.7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6" ht="12.7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6" ht="12.7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759109.02/1000</f>
        <v>759.10901999999999</v>
      </c>
    </row>
    <row r="43" spans="1:6" ht="55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5529428.61/1000-E35</f>
        <v>3211.5988899999998</v>
      </c>
    </row>
    <row r="44" spans="1:6" ht="42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6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-15646.446282660021</v>
      </c>
      <c r="F45" s="31"/>
    </row>
    <row r="46" spans="1:6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6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6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19.18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14.5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52">
        <f>26683/1000</f>
        <v>26.683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52">
        <f>1472/1000</f>
        <v>1.472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53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52">
        <f>18594/1000</f>
        <v>18.594000000000001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0.25390000000000001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v>21.05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2</v>
      </c>
    </row>
    <row r="62" spans="1:5" ht="15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3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53">
        <v>41</v>
      </c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187.95724088691446</v>
      </c>
    </row>
    <row r="65" spans="1:5" ht="45.7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20.001427948117886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7.5" customHeight="1" x14ac:dyDescent="0.2">
      <c r="A67" s="9">
        <v>23</v>
      </c>
      <c r="B67" s="66" t="s">
        <v>101</v>
      </c>
      <c r="C67" s="66"/>
      <c r="D67" s="67" t="s">
        <v>127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G67"/>
  <sheetViews>
    <sheetView tabSelected="1" topLeftCell="A31" workbookViewId="0">
      <selection activeCell="F54" sqref="F54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6.85546875" style="38" customWidth="1"/>
  </cols>
  <sheetData>
    <row r="1" spans="1:7" x14ac:dyDescent="0.2">
      <c r="A1" s="72" t="s">
        <v>0</v>
      </c>
      <c r="B1" s="72"/>
      <c r="C1" s="72"/>
      <c r="D1" s="72"/>
      <c r="E1" s="72"/>
    </row>
    <row r="2" spans="1:7" ht="15" customHeight="1" x14ac:dyDescent="0.2">
      <c r="A2" s="72" t="s">
        <v>1</v>
      </c>
      <c r="B2" s="72"/>
      <c r="C2" s="72"/>
      <c r="D2" s="72"/>
      <c r="E2" s="72"/>
    </row>
    <row r="3" spans="1:7" ht="41.25" customHeight="1" x14ac:dyDescent="0.2">
      <c r="A3" s="73" t="str">
        <f>'с.п. Корзуново'!A3:E3</f>
        <v>ДЕЯТЕЛЬНОСТИ  ОАО "МУРМАНЭНЕРГОСБЫТ" ЗА  2012 ГОД</v>
      </c>
      <c r="B3" s="73"/>
      <c r="C3" s="73"/>
      <c r="D3" s="73"/>
      <c r="E3" s="73"/>
    </row>
    <row r="4" spans="1:7" x14ac:dyDescent="0.2">
      <c r="A4" s="77"/>
      <c r="B4" s="77"/>
      <c r="C4" s="77"/>
      <c r="D4" s="77"/>
      <c r="E4" s="77"/>
    </row>
    <row r="5" spans="1:7" ht="1.5" customHeight="1" x14ac:dyDescent="0.2">
      <c r="A5" s="77"/>
      <c r="B5" s="77"/>
      <c r="C5" s="77"/>
      <c r="D5" s="77"/>
      <c r="E5" s="77"/>
    </row>
    <row r="6" spans="1:7" x14ac:dyDescent="0.2">
      <c r="A6" s="2"/>
      <c r="B6" s="2"/>
      <c r="C6" s="2"/>
      <c r="D6" s="2"/>
      <c r="E6" s="3"/>
    </row>
    <row r="7" spans="1:7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7" x14ac:dyDescent="0.2">
      <c r="A8" s="6">
        <v>1</v>
      </c>
      <c r="B8" s="76">
        <v>2</v>
      </c>
      <c r="C8" s="76"/>
      <c r="D8" s="6">
        <v>3</v>
      </c>
      <c r="E8" s="7">
        <v>4</v>
      </c>
      <c r="F8" s="39"/>
    </row>
    <row r="9" spans="1:7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7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48">
        <f>'г. Мурманск'!E10+'г.п. Кола'!E10+'г.п. Мурмаши'!E10+'г.п. Молочный'!E10+'г.п. Верхнетуломский'!E10+'г.п. Кильдинстрой'!E10+'с.п. Ловозеро'!E10+'г.п. Ревда'!E10+'н.п. Высокий'!E10+'г. Гаджиево'!E10+'ЗАТО г. Североморск'!E10+'г.п. Никель '!E10+Полярный!E10+'г. Снежногорск'!E10+'с.п. Корзуново'!E10+'г. Кандалакша'!E10+'с.п. Умба'!E10+'с.п. Зеленоборский'!E10</f>
        <v>5121783.9453919996</v>
      </c>
      <c r="F10" s="31"/>
      <c r="G10" s="31"/>
    </row>
    <row r="11" spans="1:7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E12+E13+E27+E30+E31+E32+E33+E34+E35+E36+E39+E42+E43+E37+E38</f>
        <v>6637875.0543261804</v>
      </c>
      <c r="F11" s="35"/>
    </row>
    <row r="12" spans="1:7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>
        <v>0</v>
      </c>
    </row>
    <row r="13" spans="1:7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4227164.2306061797</v>
      </c>
    </row>
    <row r="14" spans="1:7" ht="12.75" customHeight="1" x14ac:dyDescent="0.2">
      <c r="A14" s="9"/>
      <c r="B14" s="66" t="s">
        <v>118</v>
      </c>
      <c r="C14" s="66"/>
      <c r="D14" s="10"/>
      <c r="E14" s="20"/>
    </row>
    <row r="15" spans="1:7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59">
        <f>'г. Мурманск'!E15+'г.п. Кола'!E15+'г.п. Мурмаши'!E15+'г.п. Молочный'!E15+'г.п. Верхнетуломский'!E15+'г.п. Кильдинстрой'!E15+'с.п. Ловозеро'!E15+'г.п. Ревда'!E15+'н.п. Высокий'!E15+'г. Гаджиево'!E15+'ЗАТО г. Североморск'!E15+'г.п. Никель '!E15+Полярный!E15+'г. Снежногорск'!E15+'с.п. Корзуново'!E15+'г. Кандалакша'!E15+'с.п. Умба'!E15+'с.п. Зеленоборский'!E15</f>
        <v>4157639.2922999999</v>
      </c>
      <c r="F15" s="41"/>
    </row>
    <row r="16" spans="1:7" s="24" customFormat="1" x14ac:dyDescent="0.2">
      <c r="A16" s="69"/>
      <c r="B16" s="70"/>
      <c r="C16" s="21" t="s">
        <v>21</v>
      </c>
      <c r="D16" s="22" t="s">
        <v>22</v>
      </c>
      <c r="E16" s="60">
        <f>'г. Мурманск'!E16+'г.п. Кола'!E16+'г.п. Мурмаши'!E16+'г.п. Молочный'!E16+'г.п. Верхнетуломский'!E16+'г.п. Кильдинстрой'!E16+'с.п. Ловозеро'!E16+'г.п. Ревда'!E16+'н.п. Высокий'!E16+'г. Гаджиево'!E16+'ЗАТО г. Североморск'!E16+'г.п. Никель '!E16+Полярный!E16+'г. Снежногорск'!E16+'с.п. Корзуново'!E16+'г. Кандалакша'!E16+'с.п. Умба'!E16+'с.п. Зеленоборский'!E16</f>
        <v>357552.18299999996</v>
      </c>
      <c r="F16" s="41"/>
    </row>
    <row r="17" spans="1:6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11.628062951303532</v>
      </c>
      <c r="F17" s="41"/>
    </row>
    <row r="18" spans="1:6" s="24" customFormat="1" ht="12" x14ac:dyDescent="0.2">
      <c r="A18" s="69"/>
      <c r="B18" s="70"/>
      <c r="C18" s="21" t="s">
        <v>24</v>
      </c>
      <c r="D18" s="22" t="s">
        <v>8</v>
      </c>
      <c r="E18" s="23"/>
      <c r="F18" s="41"/>
    </row>
    <row r="19" spans="1:6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59">
        <f>'г. Мурманск'!E19+'г.п. Кола'!E19+'г.п. Мурмаши'!E19+'г.п. Молочный'!E19+'г.п. Верхнетуломский'!E19+'г.п. Кильдинстрой'!E19+'с.п. Ловозеро'!E19+'г.п. Ревда'!E19+'н.п. Высокий'!E19+'г. Гаджиево'!E19+'ЗАТО г. Североморск'!E19+'г.п. Никель '!E19+Полярный!E19+'г. Снежногорск'!E19+'с.п. Корзуново'!E19+'г. Кандалакша'!E19+'с.п. Умба'!E19+'с.п. Зеленоборский'!E19</f>
        <v>33787.688635999999</v>
      </c>
      <c r="F19" s="41"/>
    </row>
    <row r="20" spans="1:6" s="24" customFormat="1" x14ac:dyDescent="0.2">
      <c r="A20" s="69"/>
      <c r="B20" s="70"/>
      <c r="C20" s="21" t="s">
        <v>21</v>
      </c>
      <c r="D20" s="22" t="s">
        <v>22</v>
      </c>
      <c r="E20" s="60">
        <f>'г. Мурманск'!E20+'г.п. Кола'!E20+'г.п. Мурмаши'!E20+'г.п. Молочный'!E20+'г.п. Верхнетуломский'!E20+'г.п. Кильдинстрой'!E20+'с.п. Ловозеро'!E20+'г.п. Ревда'!E20+'н.п. Высокий'!E20+'г. Гаджиево'!E20+'ЗАТО г. Североморск'!E20+'г.п. Никель '!E20+Полярный!E20+'г. Снежногорск'!E20+'с.п. Корзуново'!E20+'г. Кандалакша'!E20+'с.п. Умба'!E20+'с.п. Зеленоборский'!E20</f>
        <v>8601.5650000000005</v>
      </c>
      <c r="F20" s="41"/>
    </row>
    <row r="21" spans="1:6" s="24" customFormat="1" ht="36" x14ac:dyDescent="0.2">
      <c r="A21" s="69"/>
      <c r="B21" s="70"/>
      <c r="C21" s="21" t="s">
        <v>23</v>
      </c>
      <c r="D21" s="22" t="s">
        <v>11</v>
      </c>
      <c r="E21" s="25">
        <f>E19/E20</f>
        <v>3.9280861838514265</v>
      </c>
      <c r="F21" s="41"/>
    </row>
    <row r="22" spans="1:6" s="24" customFormat="1" ht="12" x14ac:dyDescent="0.2">
      <c r="A22" s="69"/>
      <c r="B22" s="70"/>
      <c r="C22" s="21" t="s">
        <v>24</v>
      </c>
      <c r="D22" s="22" t="s">
        <v>8</v>
      </c>
      <c r="E22" s="23"/>
      <c r="F22" s="41"/>
    </row>
    <row r="23" spans="1:6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59">
        <f>'г. Мурманск'!E23+'г.п. Кола'!E23+'г.п. Мурмаши'!E23+'г.п. Молочный'!E23+'г.п. Верхнетуломский'!E23+'г.п. Кильдинстрой'!E23+'с.п. Ловозеро'!E23+'г.п. Ревда'!E23+'н.п. Высокий'!E23+'г. Гаджиево'!E23+'ЗАТО г. Североморск'!E23+'г.п. Никель '!E23+Полярный!E23+'г. Снежногорск'!E23+'с.п. Корзуново'!E23+'г. Кандалакша'!E23+'с.п. Умба'!E23+'с.п. Зеленоборский'!E23</f>
        <v>35737.249670180005</v>
      </c>
      <c r="F23" s="41"/>
    </row>
    <row r="24" spans="1:6" s="24" customFormat="1" x14ac:dyDescent="0.2">
      <c r="A24" s="69"/>
      <c r="B24" s="70"/>
      <c r="C24" s="21" t="s">
        <v>21</v>
      </c>
      <c r="D24" s="22" t="s">
        <v>22</v>
      </c>
      <c r="E24" s="60">
        <f>'г. Мурманск'!E24+'г.п. Кола'!E24+'г.п. Мурмаши'!E24+'г.п. Молочный'!E24+'г.п. Верхнетуломский'!E24+'г.п. Кильдинстрой'!E24+'с.п. Ловозеро'!E24+'г.п. Ревда'!E24+'н.п. Высокий'!E24+'г. Гаджиево'!E24+'ЗАТО г. Североморск'!E24+'г.п. Никель '!E24+Полярный!E24+'г. Снежногорск'!E24+'с.п. Корзуново'!E24+'г. Кандалакша'!E24+'с.п. Умба'!E24+'с.п. Зеленоборский'!E24</f>
        <v>1747.924</v>
      </c>
      <c r="F24" s="41"/>
    </row>
    <row r="25" spans="1:6" s="24" customFormat="1" ht="36" x14ac:dyDescent="0.2">
      <c r="A25" s="69"/>
      <c r="B25" s="70"/>
      <c r="C25" s="21" t="s">
        <v>23</v>
      </c>
      <c r="D25" s="22" t="s">
        <v>11</v>
      </c>
      <c r="E25" s="25">
        <f>E23/E24</f>
        <v>20.445539777576144</v>
      </c>
      <c r="F25" s="41"/>
    </row>
    <row r="26" spans="1:6" s="24" customFormat="1" ht="12" x14ac:dyDescent="0.2">
      <c r="A26" s="69"/>
      <c r="B26" s="70"/>
      <c r="C26" s="21" t="s">
        <v>24</v>
      </c>
      <c r="D26" s="22" t="s">
        <v>8</v>
      </c>
      <c r="E26" s="23"/>
      <c r="F26" s="41"/>
    </row>
    <row r="27" spans="1:6" ht="58.5" customHeight="1" x14ac:dyDescent="0.2">
      <c r="A27" s="9" t="s">
        <v>29</v>
      </c>
      <c r="B27" s="66" t="s">
        <v>30</v>
      </c>
      <c r="C27" s="66"/>
      <c r="D27" s="10" t="s">
        <v>11</v>
      </c>
      <c r="E27" s="58">
        <f>'г. Мурманск'!E27+'г.п. Кола'!E27+'г.п. Мурмаши'!E27+'г.п. Молочный'!E27+'г.п. Верхнетуломский'!E27+'г.п. Кильдинстрой'!E27+'с.п. Ловозеро'!E27+'г.п. Ревда'!E27+'н.п. Высокий'!E27+'г. Гаджиево'!E27+'ЗАТО г. Североморск'!E27+'г.п. Никель '!E27+Полярный!E27+'г. Снежногорск'!E27+'с.п. Корзуново'!E27+'г. Кандалакша'!E27+'с.п. Умба'!E27+'с.п. Зеленоборский'!E27</f>
        <v>223137.40981000001</v>
      </c>
    </row>
    <row r="28" spans="1:6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2.3291728032672685</v>
      </c>
      <c r="F28" s="41"/>
    </row>
    <row r="29" spans="1:6" s="24" customFormat="1" ht="12.75" customHeight="1" x14ac:dyDescent="0.2">
      <c r="A29" s="22" t="s">
        <v>34</v>
      </c>
      <c r="B29" s="71" t="s">
        <v>35</v>
      </c>
      <c r="C29" s="71"/>
      <c r="D29" s="22" t="s">
        <v>36</v>
      </c>
      <c r="E29" s="40">
        <f>'г. Мурманск'!E29+'г.п. Кола'!E29+'г.п. Мурмаши'!E29+'г.п. Молочный'!E29+'г.п. Верхнетуломский'!E29+'г.п. Кильдинстрой'!E29+'с.п. Ловозеро'!E29+'г.п. Ревда'!E29+'н.п. Высокий'!E29+'г. Гаджиево'!E29+'ЗАТО г. Североморск'!E29+'г.п. Никель '!E29+Полярный!E29+'г. Снежногорск'!E29+'с.п. Корзуново'!E29+'г. Кандалакша'!E29+'с.п. Умба'!E29+'с.п. Зеленоборский'!E29</f>
        <v>95801.139999999985</v>
      </c>
      <c r="F29" s="41"/>
    </row>
    <row r="30" spans="1:6" ht="32.25" customHeight="1" x14ac:dyDescent="0.2">
      <c r="A30" s="10" t="s">
        <v>37</v>
      </c>
      <c r="B30" s="66" t="s">
        <v>38</v>
      </c>
      <c r="C30" s="66"/>
      <c r="D30" s="10" t="s">
        <v>11</v>
      </c>
      <c r="E30" s="58">
        <f>'г. Мурманск'!E30+'г.п. Кола'!E30+'г.п. Мурмаши'!E30+'г.п. Молочный'!E30+'г.п. Верхнетуломский'!E30+'г.п. Кильдинстрой'!E30+'с.п. Ловозеро'!E30+'г.п. Ревда'!E30+'н.п. Высокий'!E30+'г. Гаджиево'!E30+'ЗАТО г. Североморск'!E30+'г.п. Никель '!E30+Полярный!E30+'г. Снежногорск'!E30+'с.п. Корзуново'!E30+'г. Кандалакша'!E30+'с.п. Умба'!E30+'с.п. Зеленоборский'!E30</f>
        <v>34204.220450000001</v>
      </c>
    </row>
    <row r="31" spans="1:6" ht="29.25" customHeight="1" x14ac:dyDescent="0.2">
      <c r="A31" s="10" t="s">
        <v>39</v>
      </c>
      <c r="B31" s="66" t="s">
        <v>40</v>
      </c>
      <c r="C31" s="66"/>
      <c r="D31" s="10" t="s">
        <v>11</v>
      </c>
      <c r="E31" s="58">
        <f>'г. Мурманск'!E31+'г.п. Кола'!E31+'г.п. Мурмаши'!E31+'г.п. Молочный'!E31+'г.п. Верхнетуломский'!E31+'г.п. Кильдинстрой'!E31+'с.п. Ловозеро'!E31+'г.п. Ревда'!E31+'н.п. Высокий'!E31+'г. Гаджиево'!E31+'ЗАТО г. Североморск'!E31+'г.п. Никель '!E31+Полярный!E31+'г. Снежногорск'!E31+'с.п. Корзуново'!E31+'г. Кандалакша'!E31+'с.п. Умба'!E31+'с.п. Зеленоборский'!E31</f>
        <v>53506.220989999994</v>
      </c>
    </row>
    <row r="32" spans="1:6" ht="26.25" customHeight="1" x14ac:dyDescent="0.2">
      <c r="A32" s="28" t="s">
        <v>41</v>
      </c>
      <c r="B32" s="66" t="s">
        <v>42</v>
      </c>
      <c r="C32" s="66"/>
      <c r="D32" s="10" t="s">
        <v>11</v>
      </c>
      <c r="E32" s="42">
        <f>'г. Мурманск'!E32+'г.п. Кола'!E32+'г.п. Мурмаши'!E32+'г.п. Молочный'!E32+'г.п. Верхнетуломский'!E32+'г.п. Кильдинстрой'!E32+'с.п. Ловозеро'!E32+'г.п. Ревда'!E32+'н.п. Высокий'!E32+'г. Гаджиево'!E32+'ЗАТО г. Североморск'!E32+'г.п. Никель '!E32+Полярный!E32+'г. Снежногорск'!E32+'с.п. Корзуново'!E32+'г. Кандалакша'!E32+'с.п. Умба'!E32+'с.п. Зеленоборский'!E32</f>
        <v>47778.327560000005</v>
      </c>
    </row>
    <row r="33" spans="1:6" ht="37.5" customHeight="1" x14ac:dyDescent="0.2">
      <c r="A33" s="28" t="s">
        <v>43</v>
      </c>
      <c r="B33" s="66" t="s">
        <v>44</v>
      </c>
      <c r="C33" s="66"/>
      <c r="D33" s="10" t="s">
        <v>11</v>
      </c>
      <c r="E33" s="42">
        <f>'г. Мурманск'!E33+'г.п. Кола'!E33+'г.п. Мурмаши'!E33+'г.п. Молочный'!E33+'г.п. Верхнетуломский'!E33+'г.п. Кильдинстрой'!E33+'с.п. Ловозеро'!E33+'г.п. Ревда'!E33+'н.п. Высокий'!E33+'г. Гаджиево'!E33+'ЗАТО г. Североморск'!E33+'г.п. Никель '!E33+Полярный!E33+'г. Снежногорск'!E33+'с.п. Корзуново'!E33+'г. Кандалакша'!E33+'с.п. Умба'!E33+'с.п. Зеленоборский'!E33</f>
        <v>14239.583059999999</v>
      </c>
    </row>
    <row r="34" spans="1:6" ht="38.25" customHeight="1" x14ac:dyDescent="0.2">
      <c r="A34" s="28" t="s">
        <v>45</v>
      </c>
      <c r="B34" s="66" t="s">
        <v>46</v>
      </c>
      <c r="C34" s="66"/>
      <c r="D34" s="10" t="s">
        <v>11</v>
      </c>
      <c r="E34" s="58">
        <f>'г. Мурманск'!E34+'г.п. Кола'!E34+'г.п. Мурмаши'!E34+'г.п. Молочный'!E34+'г.п. Верхнетуломский'!E34+'г.п. Кильдинстрой'!E34+'с.п. Ловозеро'!E34+'г.п. Ревда'!E34+'н.п. Высокий'!E34+'г. Гаджиево'!E34+'ЗАТО г. Североморск'!E34+'г.п. Никель '!E34+Полярный!E34+'г. Снежногорск'!E34+'с.п. Корзуново'!E34+'г. Кандалакша'!E34+'с.п. Умба'!E34+'с.п. Зеленоборский'!E34</f>
        <v>21.510759999999998</v>
      </c>
    </row>
    <row r="35" spans="1:6" ht="31.5" customHeight="1" x14ac:dyDescent="0.2">
      <c r="A35" s="28" t="s">
        <v>47</v>
      </c>
      <c r="B35" s="66" t="s">
        <v>48</v>
      </c>
      <c r="C35" s="66"/>
      <c r="D35" s="10" t="s">
        <v>11</v>
      </c>
      <c r="E35" s="58">
        <f>'г. Мурманск'!E35+'г.п. Кола'!E35+'г.п. Мурмаши'!E35+'г.п. Молочный'!E35+'г.п. Верхнетуломский'!E35+'г.п. Кильдинстрой'!E35+'с.п. Ловозеро'!E35+'г.п. Ревда'!E35+'н.п. Высокий'!E35+'г. Гаджиево'!E35+'ЗАТО г. Североморск'!E35+'г.п. Никель '!E35+Полярный!E35+'г. Снежногорск'!E35+'с.п. Корзуново'!E35+'г. Кандалакша'!E35+'с.п. Умба'!E35+'с.п. Зеленоборский'!E35</f>
        <v>205092.47262000002</v>
      </c>
    </row>
    <row r="36" spans="1:6" ht="36.75" customHeight="1" x14ac:dyDescent="0.2">
      <c r="A36" s="28" t="s">
        <v>49</v>
      </c>
      <c r="B36" s="66" t="s">
        <v>50</v>
      </c>
      <c r="C36" s="66"/>
      <c r="D36" s="10" t="s">
        <v>11</v>
      </c>
      <c r="E36" s="42">
        <f>'г. Мурманск'!E36+'г.п. Кола'!E36+'г.п. Мурмаши'!E36+'г.п. Молочный'!E36+'г.п. Верхнетуломский'!E36+'г.п. Кильдинстрой'!E36+'с.п. Ловозеро'!E36+'г.п. Ревда'!E36+'н.п. Высокий'!E36+'г. Гаджиево'!E36+'ЗАТО г. Североморск'!E36+'г.п. Никель '!E36+Полярный!E36+'г. Снежногорск'!E36+'с.п. Корзуново'!E36+'г. Кандалакша'!E36+'с.п. Умба'!E36+'с.п. Зеленоборский'!E36</f>
        <v>8225.5873500000016</v>
      </c>
    </row>
    <row r="37" spans="1:6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f>'г. Кандалакша'!E37+'с.п. Умба'!E37+'с.п. Зеленоборский'!E37</f>
        <v>26179.462629999998</v>
      </c>
    </row>
    <row r="38" spans="1:6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f>'г. Кандалакша'!E38+'с.п. Умба'!E38+'с.п. Зеленоборский'!E38</f>
        <v>7799.9761799999997</v>
      </c>
    </row>
    <row r="39" spans="1:6" ht="31.5" customHeight="1" x14ac:dyDescent="0.2">
      <c r="A39" s="28" t="s">
        <v>55</v>
      </c>
      <c r="B39" s="66" t="s">
        <v>56</v>
      </c>
      <c r="C39" s="66"/>
      <c r="D39" s="10" t="s">
        <v>11</v>
      </c>
      <c r="E39" s="58">
        <f>'г. Мурманск'!E39+'г.п. Кола'!E39+'г.п. Мурмаши'!E39+'г.п. Молочный'!E39+'г.п. Верхнетуломский'!E39+'г.п. Кильдинстрой'!E39+'с.п. Ловозеро'!E39+'г.п. Ревда'!E39+'н.п. Высокий'!E39+'г. Гаджиево'!E39+'ЗАТО г. Североморск'!E39+'г.п. Никель '!E39+Полярный!E39+'г. Снежногорск'!E39+'с.п. Корзуново'!E39+'г. Кандалакша'!E39+'с.п. Умба'!E39+'с.п. Зеленоборский'!E39</f>
        <v>139208.77059000003</v>
      </c>
    </row>
    <row r="40" spans="1:6" ht="31.5" customHeight="1" x14ac:dyDescent="0.2">
      <c r="A40" s="28" t="s">
        <v>57</v>
      </c>
      <c r="B40" s="66" t="s">
        <v>52</v>
      </c>
      <c r="C40" s="66"/>
      <c r="D40" s="10" t="s">
        <v>11</v>
      </c>
      <c r="E40" s="42">
        <f>'г. Мурманск'!E40+'г.п. Кола'!E40+'г.п. Мурмаши'!E40+'г.п. Молочный'!E40+'г.п. Верхнетуломский'!E40+'г.п. Кильдинстрой'!E40+'с.п. Ловозеро'!E40+'г.п. Ревда'!E40+'н.п. Высокий'!E40+'г. Гаджиево'!E40+'ЗАТО г. Североморск'!E40+'г.п. Никель '!E40+Полярный!E40+'г. Снежногорск'!E40+'с.п. Корзуново'!E40+'г. Кандалакша'!E40+'с.п. Умба'!E40+'с.п. Зеленоборский'!E40</f>
        <v>0</v>
      </c>
    </row>
    <row r="41" spans="1:6" ht="31.5" customHeight="1" x14ac:dyDescent="0.2">
      <c r="A41" s="28" t="s">
        <v>58</v>
      </c>
      <c r="B41" s="66" t="s">
        <v>54</v>
      </c>
      <c r="C41" s="66"/>
      <c r="D41" s="10" t="s">
        <v>11</v>
      </c>
      <c r="E41" s="42">
        <f>'г. Мурманск'!E41+'г.п. Кола'!E41+'г.п. Мурмаши'!E41+'г.п. Молочный'!E41+'г.п. Верхнетуломский'!E41+'г.п. Кильдинстрой'!E41+'с.п. Ловозеро'!E41+'г.п. Ревда'!E41+'н.п. Высокий'!E41+'г. Гаджиево'!E41+'ЗАТО г. Североморск'!E41+'г.п. Никель '!E41+Полярный!E41+'г. Снежногорск'!E41+'с.п. Корзуново'!E41+'г. Кандалакша'!E41+'с.п. Умба'!E41+'с.п. Зеленоборский'!E41</f>
        <v>0</v>
      </c>
    </row>
    <row r="42" spans="1:6" ht="31.5" customHeight="1" x14ac:dyDescent="0.2">
      <c r="A42" s="28" t="s">
        <v>59</v>
      </c>
      <c r="B42" s="66" t="s">
        <v>60</v>
      </c>
      <c r="C42" s="66"/>
      <c r="D42" s="10" t="s">
        <v>11</v>
      </c>
      <c r="E42" s="58">
        <f>'г. Мурманск'!E42+'г.п. Кола'!E42+'г.п. Мурмаши'!E42+'г.п. Молочный'!E42+'г.п. Верхнетуломский'!E42+'г.п. Кильдинстрой'!E42+'с.п. Ловозеро'!E42+'г.п. Ревда'!E42+'н.п. Высокий'!E42+'г. Гаджиево'!E42+'ЗАТО г. Североморск'!E42+'г.п. Никель '!E42+Полярный!E42+'г. Снежногорск'!E42+'с.п. Корзуново'!E42+'г. Кандалакша'!E42+'с.п. Умба'!E42+'с.п. Зеленоборский'!E42</f>
        <v>15394.02787</v>
      </c>
    </row>
    <row r="43" spans="1:6" ht="61.5" customHeight="1" x14ac:dyDescent="0.2">
      <c r="A43" s="28" t="s">
        <v>61</v>
      </c>
      <c r="B43" s="66" t="s">
        <v>62</v>
      </c>
      <c r="C43" s="66"/>
      <c r="D43" s="10" t="s">
        <v>11</v>
      </c>
      <c r="E43" s="42">
        <f>'г. Мурманск'!E43+'г.п. Кола'!E43+'г.п. Мурмаши'!E43+'г.п. Молочный'!E43+'г.п. Верхнетуломский'!E43+'г.п. Кильдинстрой'!E43+'с.п. Ловозеро'!E43+'г.п. Ревда'!E43+'н.п. Высокий'!E43+'г. Гаджиево'!E43+'ЗАТО г. Североморск'!E43+'г.п. Никель '!E43+Полярный!E43+'г. Снежногорск'!E43+'с.п. Корзуново'!E43+'г. Кандалакша'!E43+'с.п. Умба'!E43+'с.п. Зеленоборский'!E43</f>
        <v>1635923.2538500002</v>
      </c>
    </row>
    <row r="44" spans="1:6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>
        <f>'г. Мурманск'!E44+'г.п. Кола'!E44+'г.п. Мурмаши'!E44+'г.п. Молочный'!E44+'г.п. Верхнетуломский'!E44+'г.п. Кильдинстрой'!E44+'с.п. Ловозеро'!E44+'г.п. Ревда'!E44+'н.п. Высокий'!E44+'г. Гаджиево'!E44+'ЗАТО г. Североморск'!E44+'г.п. Никель '!E44+Полярный!E44+'г. Снежногорск'!E44+'с.п. Корзуново'!E44+'г. Кандалакша'!E44+'с.п. Умба'!E44+'с.п. Зеленоборский'!E44</f>
        <v>0</v>
      </c>
    </row>
    <row r="45" spans="1:6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-1516091.1089341808</v>
      </c>
      <c r="F45" s="31"/>
    </row>
    <row r="46" spans="1:6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6" ht="51.75" customHeight="1" x14ac:dyDescent="0.2">
      <c r="A47" s="9" t="s">
        <v>67</v>
      </c>
      <c r="B47" s="66" t="s">
        <v>68</v>
      </c>
      <c r="C47" s="66"/>
      <c r="D47" s="10" t="s">
        <v>11</v>
      </c>
      <c r="E47" s="20">
        <v>0</v>
      </c>
    </row>
    <row r="48" spans="1:6" ht="31.5" customHeight="1" x14ac:dyDescent="0.2">
      <c r="A48" s="9" t="s">
        <v>69</v>
      </c>
      <c r="B48" s="66" t="s">
        <v>70</v>
      </c>
      <c r="C48" s="66"/>
      <c r="D48" s="10" t="s">
        <v>11</v>
      </c>
      <c r="E48" s="20">
        <v>0</v>
      </c>
    </row>
    <row r="49" spans="1:6" ht="31.5" customHeight="1" x14ac:dyDescent="0.2">
      <c r="A49" s="9" t="s">
        <v>71</v>
      </c>
      <c r="B49" s="66" t="s">
        <v>72</v>
      </c>
      <c r="C49" s="66"/>
      <c r="D49" s="10" t="s">
        <v>11</v>
      </c>
      <c r="E49" s="20">
        <v>0</v>
      </c>
    </row>
    <row r="50" spans="1:6" ht="31.5" customHeight="1" x14ac:dyDescent="0.2">
      <c r="A50" s="9">
        <v>7</v>
      </c>
      <c r="B50" s="66" t="s">
        <v>73</v>
      </c>
      <c r="C50" s="66"/>
      <c r="D50" s="10" t="s">
        <v>74</v>
      </c>
      <c r="E50" s="46">
        <f>'г. Мурманск'!E50+'г.п. Кола'!E50+'г.п. Мурмаши'!E50+'г.п. Молочный'!E50+'г.п. Верхнетуломский'!E50+'г.п. Кильдинстрой'!E50+'с.п. Ловозеро'!E50+'г.п. Ревда'!E50+'н.п. Высокий'!E50+'г. Гаджиево'!E50+'ЗАТО г. Североморск'!E50+'г.п. Никель '!E50+Полярный!E50+'г. Снежногорск'!E50+'с.п. Корзуново'!E50+'г. Кандалакша'!E50+'с.п. Умба'!E50+'с.п. Зеленоборский'!E50</f>
        <v>2060.9290000000001</v>
      </c>
    </row>
    <row r="51" spans="1:6" ht="31.5" customHeight="1" x14ac:dyDescent="0.2">
      <c r="A51" s="9">
        <v>8</v>
      </c>
      <c r="B51" s="66" t="s">
        <v>75</v>
      </c>
      <c r="C51" s="66"/>
      <c r="D51" s="10" t="s">
        <v>74</v>
      </c>
      <c r="E51" s="46">
        <f>'г. Мурманск'!E51+'г.п. Кола'!E51+'г.п. Мурмаши'!E51+'г.п. Молочный'!E51+'г.п. Верхнетуломский'!E51+'г.п. Кильдинстрой'!E51+'с.п. Ловозеро'!E51+'г.п. Ревда'!E51+'н.п. Высокий'!E51+'г. Гаджиево'!E51+'ЗАТО г. Североморск'!E51+'г.п. Никель '!E51+Полярный!E51+'г. Снежногорск'!E51+'с.п. Корзуново'!E51+'г. Кандалакша'!E51+'с.п. Умба'!E51+'с.п. Зеленоборский'!E51</f>
        <v>930.69200000000001</v>
      </c>
    </row>
    <row r="52" spans="1:6" ht="30.75" customHeight="1" x14ac:dyDescent="0.2">
      <c r="A52" s="9">
        <v>9</v>
      </c>
      <c r="B52" s="66" t="s">
        <v>76</v>
      </c>
      <c r="C52" s="66"/>
      <c r="D52" s="10" t="s">
        <v>77</v>
      </c>
      <c r="E52" s="57">
        <f>'г. Мурманск'!E52+'г.п. Кола'!E52+'г.п. Мурмаши'!E52+'г.п. Молочный'!E52+'г.п. Верхнетуломский'!E52+'г.п. Кильдинстрой'!E52+'с.п. Ловозеро'!E52+'г.п. Ревда'!E52+'н.п. Высокий'!E52+'г. Гаджиево'!E52+'ЗАТО г. Североморск'!E52+'г.п. Никель '!E52+Полярный!E52+'г. Снежногорск'!E52+'с.п. Корзуново'!E52+'г. Кандалакша'!E52+'с.п. Умба'!E52+'с.п. Зеленоборский'!E52</f>
        <v>2972.6370000000002</v>
      </c>
    </row>
    <row r="53" spans="1:6" ht="32.25" customHeight="1" x14ac:dyDescent="0.2">
      <c r="A53" s="9" t="s">
        <v>78</v>
      </c>
      <c r="B53" s="66" t="s">
        <v>79</v>
      </c>
      <c r="C53" s="66"/>
      <c r="D53" s="10" t="s">
        <v>77</v>
      </c>
      <c r="E53" s="57">
        <f>'г. Мурманск'!E53+'г.п. Кола'!E53+'г.п. Мурмаши'!E53+'г.п. Молочный'!E53+'г.п. Верхнетуломский'!E53+'г.п. Кильдинстрой'!E53+'с.п. Ловозеро'!E53+'г.п. Ревда'!E53+'н.п. Высокий'!E53+'г. Гаджиево'!E53+'ЗАТО г. Североморск'!E53+'г.п. Никель '!E53+Полярный!E53+'г. Снежногорск'!E53+'с.п. Корзуново'!E53+'г. Кандалакша'!E53+'с.п. Умба'!E53+'с.п. Зеленоборский'!E53</f>
        <v>223.88200000000003</v>
      </c>
    </row>
    <row r="54" spans="1:6" ht="36" customHeight="1" x14ac:dyDescent="0.2">
      <c r="A54" s="9">
        <v>10</v>
      </c>
      <c r="B54" s="66" t="s">
        <v>80</v>
      </c>
      <c r="C54" s="66"/>
      <c r="D54" s="10" t="s">
        <v>77</v>
      </c>
      <c r="E54" s="46">
        <v>0</v>
      </c>
    </row>
    <row r="55" spans="1:6" ht="42.75" customHeight="1" x14ac:dyDescent="0.2">
      <c r="A55" s="9">
        <v>11</v>
      </c>
      <c r="B55" s="66" t="s">
        <v>104</v>
      </c>
      <c r="C55" s="66"/>
      <c r="D55" s="10" t="s">
        <v>77</v>
      </c>
      <c r="E55" s="56">
        <f>'г. Мурманск'!E55+'г.п. Кола'!E55+'г.п. Мурмаши'!E55+'г.п. Молочный'!E55+'г.п. Верхнетуломский'!E55+'г.п. Кильдинстрой'!E55+'с.п. Ловозеро'!E55+'г.п. Ревда'!E55+'н.п. Высокий'!E55+'г. Гаджиево'!E55+'ЗАТО г. Североморск'!E55+'г.п. Никель '!E55+Полярный!E55+'г. Снежногорск'!E55+'с.п. Корзуново'!E55+'г. Кандалакша'!E55+'с.п. Умба'!E55+'с.п. Зеленоборский'!E55</f>
        <v>2391.6379999999999</v>
      </c>
      <c r="F55" s="44"/>
    </row>
    <row r="56" spans="1:6" ht="25.5" customHeight="1" x14ac:dyDescent="0.2">
      <c r="A56" s="9">
        <v>12</v>
      </c>
      <c r="B56" s="66" t="s">
        <v>82</v>
      </c>
      <c r="C56" s="66"/>
      <c r="D56" s="10" t="s">
        <v>83</v>
      </c>
      <c r="E56" s="64">
        <v>0.12909999999999999</v>
      </c>
    </row>
    <row r="57" spans="1:6" ht="12.75" customHeight="1" x14ac:dyDescent="0.2">
      <c r="A57" s="9">
        <v>13</v>
      </c>
      <c r="B57" s="66" t="s">
        <v>84</v>
      </c>
      <c r="C57" s="66"/>
      <c r="D57" s="10" t="s">
        <v>77</v>
      </c>
      <c r="E57" s="46">
        <v>0</v>
      </c>
    </row>
    <row r="58" spans="1:6" ht="27" customHeight="1" x14ac:dyDescent="0.2">
      <c r="A58" s="9">
        <v>14</v>
      </c>
      <c r="B58" s="66" t="s">
        <v>85</v>
      </c>
      <c r="C58" s="66"/>
      <c r="D58" s="10" t="s">
        <v>86</v>
      </c>
      <c r="E58" s="46">
        <f>'г. Мурманск'!E58+'г.п. Кола'!E58+'г.п. Мурмаши'!E58+'г.п. Молочный'!E58+'г.п. Верхнетуломский'!E58+'г.п. Кильдинстрой'!E58+'с.п. Ловозеро'!E58+'г.п. Ревда'!E58+'н.п. Высокий'!E58+'г. Гаджиево'!E58+'ЗАТО г. Североморск'!E58+'г.п. Никель '!E58+Полярный!E58+'г. Снежногорск'!E58+'с.п. Корзуново'!E58+'г. Кандалакша'!E58+'с.п. Умба'!E58+'с.п. Зеленоборский'!E58</f>
        <v>518.99650000000008</v>
      </c>
    </row>
    <row r="59" spans="1:6" ht="26.25" customHeight="1" x14ac:dyDescent="0.2">
      <c r="A59" s="9">
        <v>15</v>
      </c>
      <c r="B59" s="66" t="s">
        <v>87</v>
      </c>
      <c r="C59" s="66"/>
      <c r="D59" s="10" t="s">
        <v>86</v>
      </c>
      <c r="E59" s="46">
        <v>0</v>
      </c>
    </row>
    <row r="60" spans="1:6" ht="15.75" customHeight="1" x14ac:dyDescent="0.2">
      <c r="A60" s="9">
        <v>16</v>
      </c>
      <c r="B60" s="66" t="s">
        <v>88</v>
      </c>
      <c r="C60" s="66"/>
      <c r="D60" s="10" t="s">
        <v>89</v>
      </c>
      <c r="E60" s="46">
        <v>0</v>
      </c>
    </row>
    <row r="61" spans="1:6" ht="15.75" customHeight="1" x14ac:dyDescent="0.2">
      <c r="A61" s="9">
        <v>17</v>
      </c>
      <c r="B61" s="66" t="s">
        <v>90</v>
      </c>
      <c r="C61" s="66"/>
      <c r="D61" s="10" t="s">
        <v>89</v>
      </c>
      <c r="E61" s="65">
        <f>'г. Мурманск'!E61+'г.п. Кола'!E61+'г.п. Мурмаши'!E61+'г.п. Молочный'!E61+'г.п. Верхнетуломский'!E61+'г.п. Кильдинстрой'!E61+'с.п. Ловозеро'!E61+'г.п. Ревда'!E61+'н.п. Высокий'!E61+'г. Гаджиево'!E61+'ЗАТО г. Североморск'!E61+'г.п. Никель '!E61+Полярный!E61+'г. Снежногорск'!E61+'с.п. Корзуново'!E61+'г. Кандалакша'!E61+'с.п. Умба'!E61+'с.п. Зеленоборский'!E61</f>
        <v>36</v>
      </c>
    </row>
    <row r="62" spans="1:6" ht="15.75" customHeight="1" x14ac:dyDescent="0.2">
      <c r="A62" s="9">
        <v>18</v>
      </c>
      <c r="B62" s="81" t="s">
        <v>91</v>
      </c>
      <c r="C62" s="81"/>
      <c r="D62" s="10" t="s">
        <v>89</v>
      </c>
      <c r="E62" s="65">
        <f>'г. Мурманск'!E62+'г.п. Кола'!E62+'г.п. Мурмаши'!E62+'г.п. Молочный'!E62+'г.п. Верхнетуломский'!E62+'г.п. Кильдинстрой'!E62+'с.п. Ловозеро'!E62+'г.п. Ревда'!E62+'н.п. Высокий'!E62+'г. Гаджиево'!E62+'ЗАТО г. Североморск'!E62+'г.п. Никель '!E62+Полярный!E62+'г. Снежногорск'!E62+'с.п. Корзуново'!E62+'г. Кандалакша'!E62+'с.п. Умба'!E62+'с.п. Зеленоборский'!E62</f>
        <v>52</v>
      </c>
    </row>
    <row r="63" spans="1:6" ht="30.75" customHeight="1" x14ac:dyDescent="0.2">
      <c r="A63" s="9">
        <v>19</v>
      </c>
      <c r="B63" s="66" t="s">
        <v>92</v>
      </c>
      <c r="C63" s="66"/>
      <c r="D63" s="10" t="s">
        <v>93</v>
      </c>
      <c r="E63" s="46">
        <f>'г. Кандалакша'!E63+'с.п. Умба'!E63+'с.п. Зеленоборский'!E63</f>
        <v>236</v>
      </c>
    </row>
    <row r="64" spans="1:6" ht="39.75" customHeight="1" x14ac:dyDescent="0.2">
      <c r="A64" s="9">
        <v>20</v>
      </c>
      <c r="B64" s="66" t="s">
        <v>94</v>
      </c>
      <c r="C64" s="66"/>
      <c r="D64" s="10" t="s">
        <v>95</v>
      </c>
      <c r="E64" s="46">
        <v>181.09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46">
        <f>(E29*1000)/(E52*1000-E53*1000)</f>
        <v>34.852556884844226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0" t="s">
        <v>100</v>
      </c>
    </row>
    <row r="67" spans="1:5" ht="69.7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9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4.5703125" customWidth="1"/>
    <col min="5" max="5" width="21.28515625" style="1" customWidth="1"/>
    <col min="6" max="6" width="13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 Мурманск'!A3:E3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103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48">
        <f>159788600.996/1000</f>
        <v>159788.60099599999</v>
      </c>
      <c r="F10" s="31"/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192367.94962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54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128434.62193000001</v>
      </c>
      <c r="F13" s="54"/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128434621.93/1000</f>
        <v>128434.62193000001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49">
        <v>10971.997000000001</v>
      </c>
    </row>
    <row r="17" spans="1:6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11.705674174901798</v>
      </c>
    </row>
    <row r="18" spans="1:6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6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6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6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6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6" s="24" customFormat="1" ht="12.75" customHeight="1" x14ac:dyDescent="0.2">
      <c r="A23" s="69" t="s">
        <v>27</v>
      </c>
      <c r="B23" s="70" t="s">
        <v>122</v>
      </c>
      <c r="C23" s="21" t="s">
        <v>20</v>
      </c>
      <c r="D23" s="22" t="s">
        <v>11</v>
      </c>
      <c r="E23" s="23">
        <f>E24*E25</f>
        <v>0</v>
      </c>
    </row>
    <row r="24" spans="1:6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6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6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6" ht="58.5" customHeight="1" x14ac:dyDescent="0.2">
      <c r="A27" s="9" t="s">
        <v>29</v>
      </c>
      <c r="B27" s="66" t="s">
        <v>30</v>
      </c>
      <c r="C27" s="66"/>
      <c r="D27" s="10" t="s">
        <v>11</v>
      </c>
      <c r="E27" s="47">
        <f>5270696.2/1000</f>
        <v>5270.6962000000003</v>
      </c>
      <c r="F27" s="54"/>
    </row>
    <row r="28" spans="1:6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50">
        <f>E27/E29</f>
        <v>2.0384942970308826</v>
      </c>
      <c r="F28" s="55"/>
    </row>
    <row r="29" spans="1:6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51">
        <f>2585583/1000</f>
        <v>2585.5830000000001</v>
      </c>
      <c r="F29" s="55"/>
    </row>
    <row r="30" spans="1:6" ht="32.25" customHeight="1" x14ac:dyDescent="0.2">
      <c r="A30" s="10" t="s">
        <v>37</v>
      </c>
      <c r="B30" s="66" t="s">
        <v>38</v>
      </c>
      <c r="C30" s="66"/>
      <c r="D30" s="10" t="s">
        <v>11</v>
      </c>
      <c r="E30" s="47">
        <f>570926.43/1000</f>
        <v>570.9264300000001</v>
      </c>
      <c r="F30" s="54"/>
    </row>
    <row r="31" spans="1:6" ht="29.25" customHeight="1" x14ac:dyDescent="0.2">
      <c r="A31" s="10" t="s">
        <v>39</v>
      </c>
      <c r="B31" s="66" t="s">
        <v>40</v>
      </c>
      <c r="C31" s="66"/>
      <c r="D31" s="10" t="s">
        <v>11</v>
      </c>
      <c r="E31" s="47">
        <f>(1296582.52+782232.74+15704.78)/1000</f>
        <v>2094.5200399999999</v>
      </c>
      <c r="F31" s="54"/>
    </row>
    <row r="32" spans="1:6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  <c r="F32" s="54"/>
    </row>
    <row r="33" spans="1:6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  <c r="F33" s="54"/>
    </row>
    <row r="34" spans="1:6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  <c r="F34" s="54"/>
    </row>
    <row r="35" spans="1:6" ht="31.5" customHeight="1" x14ac:dyDescent="0.2">
      <c r="A35" s="28" t="s">
        <v>47</v>
      </c>
      <c r="B35" s="66" t="s">
        <v>48</v>
      </c>
      <c r="C35" s="66"/>
      <c r="D35" s="10" t="s">
        <v>11</v>
      </c>
      <c r="E35" s="47">
        <f>6088496.84/1000</f>
        <v>6088.4968399999998</v>
      </c>
      <c r="F35" s="54"/>
    </row>
    <row r="36" spans="1:6" ht="36.75" customHeight="1" x14ac:dyDescent="0.2">
      <c r="A36" s="28" t="s">
        <v>49</v>
      </c>
      <c r="B36" s="66" t="s">
        <v>50</v>
      </c>
      <c r="C36" s="66"/>
      <c r="D36" s="10" t="s">
        <v>11</v>
      </c>
      <c r="E36" s="47">
        <f>(17304.82+57622.63+63685.3)/1000</f>
        <v>138.61275000000001</v>
      </c>
      <c r="F36" s="54"/>
    </row>
    <row r="37" spans="1:6" ht="12.75" customHeight="1" x14ac:dyDescent="0.2">
      <c r="A37" s="28" t="s">
        <v>51</v>
      </c>
      <c r="B37" s="66" t="s">
        <v>52</v>
      </c>
      <c r="C37" s="66"/>
      <c r="D37" s="10" t="s">
        <v>11</v>
      </c>
      <c r="E37" s="47"/>
      <c r="F37" s="54"/>
    </row>
    <row r="38" spans="1:6" ht="12.75" customHeight="1" x14ac:dyDescent="0.2">
      <c r="A38" s="28" t="s">
        <v>53</v>
      </c>
      <c r="B38" s="66" t="s">
        <v>54</v>
      </c>
      <c r="C38" s="66"/>
      <c r="D38" s="10" t="s">
        <v>11</v>
      </c>
      <c r="E38" s="47"/>
      <c r="F38" s="54"/>
    </row>
    <row r="39" spans="1:6" ht="31.5" customHeight="1" x14ac:dyDescent="0.2">
      <c r="A39" s="28" t="s">
        <v>55</v>
      </c>
      <c r="B39" s="66" t="s">
        <v>56</v>
      </c>
      <c r="C39" s="66"/>
      <c r="D39" s="10" t="s">
        <v>11</v>
      </c>
      <c r="E39" s="47">
        <f>3004301.24/1000</f>
        <v>3004.3012400000002</v>
      </c>
      <c r="F39" s="54"/>
    </row>
    <row r="40" spans="1:6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  <c r="F40" s="54"/>
    </row>
    <row r="41" spans="1:6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  <c r="F41" s="54"/>
    </row>
    <row r="42" spans="1:6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v>0</v>
      </c>
      <c r="F42" s="54"/>
    </row>
    <row r="43" spans="1:6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(46189849.21+350948.75+18230.14+204334.09+2412)/1000</f>
        <v>46765.774190000004</v>
      </c>
      <c r="F43" s="54"/>
    </row>
    <row r="44" spans="1:6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  <c r="F44" s="54"/>
    </row>
    <row r="45" spans="1:6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-32579.348624000006</v>
      </c>
    </row>
    <row r="46" spans="1:6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6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6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62.72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35.371000000000002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52">
        <f>93626/1000</f>
        <v>93.626000000000005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52">
        <f>2953/1000</f>
        <v>2.9529999999999998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53">
        <v>0</v>
      </c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52">
        <f>82697/1000</f>
        <v>82.697000000000003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8.6199999999999999E-2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6505.5/1000</f>
        <v>6.5054999999999996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165.52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28.515467669537788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5.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G67"/>
  <sheetViews>
    <sheetView topLeftCell="A49" workbookViewId="0">
      <selection activeCell="I55" sqref="I55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19" style="1" customWidth="1"/>
    <col min="6" max="6" width="17.8554687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3.5" customHeight="1" x14ac:dyDescent="0.2">
      <c r="A3" s="73" t="str">
        <f>'с.п. Корзуново'!A3:E3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7" t="s">
        <v>119</v>
      </c>
      <c r="B4" s="77"/>
      <c r="C4" s="77"/>
      <c r="D4" s="77"/>
      <c r="E4" s="77"/>
    </row>
    <row r="5" spans="1:6" ht="1.5" customHeight="1" x14ac:dyDescent="0.2">
      <c r="A5" s="77"/>
      <c r="B5" s="77"/>
      <c r="C5" s="77"/>
      <c r="D5" s="77"/>
      <c r="E5" s="7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120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(375921591.11+19429.67+2688889.82)/1000</f>
        <v>378629.9106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E12+E13+E27+E30+E31+E32+E33+E34+E35+E36+E39+E42+E43+E44</f>
        <v>385883.20431000006</v>
      </c>
      <c r="F11" s="45"/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>
        <f>(204854808.52+2422761)/1000</f>
        <v>207277.56952000002</v>
      </c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0</v>
      </c>
    </row>
    <row r="14" spans="1:6" ht="12.75" customHeight="1" x14ac:dyDescent="0.2">
      <c r="A14" s="9"/>
      <c r="B14" s="66" t="s">
        <v>118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v>0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0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3"/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>
        <v>0</v>
      </c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>
        <v>0</v>
      </c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>
        <v>0</v>
      </c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(9881320.36+443250.32+402250.23)/1000</f>
        <v>10726.82091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3.3352126260752875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(1933484+998569+129560+154620)/1000</f>
        <v>3216.2330000000002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(59448.52+521.72+942.48)/1000</f>
        <v>60.91272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(3437165.69+64129.47+60348.78+11317.35)/1000</f>
        <v>3572.9612900000002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>
        <v>0</v>
      </c>
    </row>
    <row r="33" spans="1:7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>
        <v>0</v>
      </c>
    </row>
    <row r="34" spans="1:7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>
        <v>0</v>
      </c>
    </row>
    <row r="35" spans="1:7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(22990689.26+31331315)/1000</f>
        <v>54322.004260000009</v>
      </c>
    </row>
    <row r="36" spans="1:7" ht="28.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(1103579.27+7132+144497.35)/1000</f>
        <v>1255.2086200000001</v>
      </c>
    </row>
    <row r="37" spans="1:7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v>0</v>
      </c>
    </row>
    <row r="38" spans="1:7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v>0</v>
      </c>
    </row>
    <row r="39" spans="1:7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(5736796.22+243541.36+221158.47)/1000</f>
        <v>6201.4960499999997</v>
      </c>
    </row>
    <row r="40" spans="1:7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>
        <v>0</v>
      </c>
    </row>
    <row r="41" spans="1:7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>
        <v>0</v>
      </c>
    </row>
    <row r="42" spans="1:7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19346.36/1000</f>
        <v>19.346360000000001</v>
      </c>
    </row>
    <row r="43" spans="1:7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(150752380.01+2775345.3+3241163.53)/1000-E35</f>
        <v>102446.88457999998</v>
      </c>
    </row>
    <row r="44" spans="1:7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7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-7253.2937100000563</v>
      </c>
      <c r="G45" s="33"/>
    </row>
    <row r="46" spans="1:7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7" ht="51.75" customHeight="1" x14ac:dyDescent="0.2">
      <c r="A47" s="9" t="s">
        <v>67</v>
      </c>
      <c r="B47" s="66" t="s">
        <v>68</v>
      </c>
      <c r="C47" s="66"/>
      <c r="D47" s="10" t="s">
        <v>11</v>
      </c>
      <c r="E47" s="20">
        <v>0</v>
      </c>
    </row>
    <row r="48" spans="1:7" ht="31.5" customHeight="1" x14ac:dyDescent="0.2">
      <c r="A48" s="9" t="s">
        <v>69</v>
      </c>
      <c r="B48" s="66" t="s">
        <v>70</v>
      </c>
      <c r="C48" s="66"/>
      <c r="D48" s="10" t="s">
        <v>11</v>
      </c>
      <c r="E48" s="20">
        <v>0</v>
      </c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0">
        <v>0</v>
      </c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65"/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46">
        <v>264.64999999999998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43"/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43"/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46">
        <v>119.43140399939503</v>
      </c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43">
        <f>(1769856.001+95.76+12707.47)/1000</f>
        <v>1782.6592309999999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1">
        <v>9.9000000000000005E-2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46">
        <v>85.623000000000005</v>
      </c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46">
        <v>143.27199999999999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46">
        <v>0</v>
      </c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46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5">
        <v>3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46">
        <v>34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0">
        <v>0</v>
      </c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20">
        <v>167.09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20">
        <v>30.54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0" t="s">
        <v>100</v>
      </c>
    </row>
    <row r="67" spans="1:5" ht="66.7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9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3.42578125" customWidth="1"/>
    <col min="5" max="5" width="22.140625" style="1" customWidth="1"/>
    <col min="6" max="6" width="17.57031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Кола'!A3:E3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105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52694364.348/1000</f>
        <v>52694.364347999996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72597.460590000017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41247.207270000006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41247207.27/1000</f>
        <v>41247.207270000006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3526.6709999999998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11.695791093073328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3001405.46/1000</f>
        <v>3001.4054599999999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3.435202879641075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873720/1000</f>
        <v>873.72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321592.98/1000</f>
        <v>321.59297999999995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47">
        <f>(1015761.74+246492.17+1949.76)/1000</f>
        <v>1264.2036699999999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3851671.04/1000</f>
        <v>3851.6710400000002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(46465.83+9604+19942.5+6959.78)/1000</f>
        <v>82.972110000000001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1310577.3/1000</f>
        <v>1310.5773000000002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(21387667.75+130163.01)/1000</f>
        <v>21517.830760000001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-19903.096242000021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24.35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8.2029999999999994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26893/1000</f>
        <v>26.893000000000001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1307/1000</f>
        <v>1.3069999999999999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22032/1000</f>
        <v>22.032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0.13600000000000001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3006.9/1000</f>
        <v>3.0068999999999999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188.46057767369243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34.148362385679668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6.2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9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3.85546875" customWidth="1"/>
    <col min="5" max="5" width="22" style="1" customWidth="1"/>
    <col min="6" max="6" width="17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Мурмаши'!A3:E3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106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94065808.92/1000</f>
        <v>94065.808919999996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108749.00824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32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66149.823940000002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66149823.94/1000</f>
        <v>66149.823940000002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5657.5070000000005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11.692398072154395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4043360.53/1000</f>
        <v>4043.3605299999999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2.7597564218508444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1465115/1000</f>
        <v>1465.115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328066.18/1000</f>
        <v>328.06617999999997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(686157.7+14656.92+399146.29)/1000</f>
        <v>1099.96091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2216242.16/1000</f>
        <v>2216.2421600000002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(34277.99+43322.15+1608)/1000</f>
        <v>79.20814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1697751.88/1000</f>
        <v>1697.7518799999998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(32928959.44+205635.06)/1000</f>
        <v>33134.594499999999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-14683.19932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47.11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13.56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44935/1000</f>
        <v>44.935000000000002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1845/1000</f>
        <v>1.845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38868/1000</f>
        <v>38.868000000000002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f>(E52-E53-E55)/(E52-E53)</f>
        <v>9.7980970062659573E-2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3280/1000</f>
        <v>3.28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1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179.77976328614528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34.00127639823625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7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55" workbookViewId="0">
      <selection activeCell="E58" sqref="E58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3.140625" customWidth="1"/>
    <col min="5" max="5" width="22" style="1" customWidth="1"/>
    <col min="6" max="6" width="13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Молочный'!A3:E3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107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27632752.258/1000</f>
        <v>27632.752258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45323.56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20684.320489999998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20684320.49/1000</f>
        <v>20684.320489999998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1765.7570000000001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11.714137613499478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1944314.16/1000</f>
        <v>1944.3141599999999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3.4317886190341711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566560/1000</f>
        <v>566.55999999999995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122600.91/1000</f>
        <v>122.60091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(74869.3+125386.75)/1000</f>
        <v>200.25604999999999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1478595.65/1000</f>
        <v>1478.59565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(46519.66+912.61)/1000</f>
        <v>47.432270000000003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834288.99/1000</f>
        <v>834.28899000000001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21490347.13/1000-E35</f>
        <v>20011.751479999999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-17690.807741999997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10.11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4.67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14676/1000</f>
        <v>14.676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932/1000</f>
        <v>0.93200000000000005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11440/1000</f>
        <v>11.44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0.15579999999999999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5231.6/1000</f>
        <v>5.2316000000000003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174.99674314250561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41.222351571594878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5.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G67"/>
  <sheetViews>
    <sheetView topLeftCell="A49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2.28515625" customWidth="1"/>
    <col min="5" max="5" width="20.5703125" style="1" customWidth="1"/>
    <col min="6" max="6" width="1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Верхнетуломский'!A3:E3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108</v>
      </c>
      <c r="B4" s="74"/>
      <c r="C4" s="74"/>
      <c r="D4" s="74"/>
      <c r="E4" s="74"/>
    </row>
    <row r="5" spans="1:6" ht="18.7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(36502463.858+19694465.5)/1000</f>
        <v>56196.929358000001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98435.376659999994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  <c r="F12" s="32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45961.786899999999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(29816710.11+16145076.79)/1000</f>
        <v>45961.786899999999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f>(2556.47+1376.927)</f>
        <v>3933.3969999999999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11.685010920585947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(3352608.27+1068186.32)/1000</f>
        <v>4420.7945899999995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2.9220975236700233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(1201729+311155)/1000</f>
        <v>1512.884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(375449.81+88466.09)/1000</f>
        <v>463.91590000000002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(259018.74+93537.98+19973.1+178218.29+96287.17)/1000</f>
        <v>647.03528000000006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>
        <v>0</v>
      </c>
    </row>
    <row r="33" spans="1:7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>
        <v>0</v>
      </c>
    </row>
    <row r="34" spans="1:7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>
        <v>0</v>
      </c>
    </row>
    <row r="35" spans="1:7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(2541523.39+324412.77)/1000</f>
        <v>2865.9361600000002</v>
      </c>
    </row>
    <row r="36" spans="1:7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(2894.87+1002.82+402+402+47753.01+19053.96+13540.15)/1000</f>
        <v>85.048810000000003</v>
      </c>
    </row>
    <row r="37" spans="1:7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>
        <v>0</v>
      </c>
    </row>
    <row r="38" spans="1:7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>
        <v>0</v>
      </c>
    </row>
    <row r="39" spans="1:7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(1116187.06+595926.81)/1000</f>
        <v>1712.1138700000001</v>
      </c>
    </row>
    <row r="40" spans="1:7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>
        <v>0</v>
      </c>
    </row>
    <row r="41" spans="1:7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>
        <v>0</v>
      </c>
    </row>
    <row r="42" spans="1:7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v>0</v>
      </c>
    </row>
    <row r="43" spans="1:7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(25005852.47+17064059.04+142524.67+66308.97)/1000</f>
        <v>42278.745149999995</v>
      </c>
    </row>
    <row r="44" spans="1:7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7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-42238.447301999993</v>
      </c>
      <c r="G45" s="33"/>
    </row>
    <row r="46" spans="1:7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7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7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19.920000000000002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9.0719999999999992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(19781+9503)/1000</f>
        <v>29.283999999999999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(1078+445)/1000</f>
        <v>1.5229999999999999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>
        <v>0</v>
      </c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(15076+8147)/1000</f>
        <v>23.222999999999999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0.16339999999999999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6685.5/1000</f>
        <v>6.6855000000000002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2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2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193.99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54.496740030978714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80.2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3.7109375" customWidth="1"/>
    <col min="5" max="5" width="21.140625" style="1" customWidth="1"/>
    <col min="6" max="6" width="19.8554687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Кильдинстрой'!A3:E3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109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48">
        <f>74023697.37/1000</f>
        <v>74023.697370000009</v>
      </c>
      <c r="F10" s="31"/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94086.564010000002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48823.994049999994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49">
        <f>48823994.05/1000</f>
        <v>48823.994049999994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49">
        <v>4154.884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11.750988487283879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3596949.09/1000</f>
        <v>3596.9490900000001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3.4346941388793399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1047240/1000</f>
        <v>1047.24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488832.03/1000</f>
        <v>488.83203000000003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(85486.43+964.84+235741.48)/1000</f>
        <v>322.19274999999999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5605916.33/1000</f>
        <v>5605.91633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49271.2/1000</f>
        <v>49.2712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1700561.04/1000</f>
        <v>1700.56104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39104763.85/1000-E35</f>
        <v>33498.847520000003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-20062.866639999993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18.25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9.2899999999999991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32598/1000</f>
        <v>32.597999999999999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1547/1000</f>
        <v>1.5469999999999999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26457/1000</f>
        <v>26.457000000000001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0.13800000000000001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8516/1000</f>
        <v>8.516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182.46785725736635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33.726450033815333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6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4.42578125" customWidth="1"/>
    <col min="5" max="5" width="22" style="1" customWidth="1"/>
    <col min="6" max="6" width="17.14062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'с.п. Ловозеро'!A3:E3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110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167440865.69/1000</f>
        <v>167440.86569000001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201591.08156000002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130830.61901000001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130830619.01/1000</f>
        <v>130830.61901000001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11180.346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11.701839908174579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7372170.35/1000</f>
        <v>7372.1703499999994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2.617218410562923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2816796/1000</f>
        <v>2816.7959999999998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1488160.47/1000</f>
        <v>1488.16047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(827890.26+13361.76+625296.27)/1000</f>
        <v>1466.54829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5878973.43/1000</f>
        <v>5878.97343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(70668.69+125597.87)/1000</f>
        <v>196.26656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3170879.94/1000</f>
        <v>3170.8799399999998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/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57066436.94/1000-E35</f>
        <v>51187.463510000001</v>
      </c>
    </row>
    <row r="44" spans="1:5" ht="61.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-34150.215870000015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31.5" customHeight="1" x14ac:dyDescent="0.2">
      <c r="A50" s="9">
        <v>7</v>
      </c>
      <c r="B50" s="66" t="s">
        <v>73</v>
      </c>
      <c r="C50" s="66"/>
      <c r="D50" s="10" t="s">
        <v>74</v>
      </c>
      <c r="E50" s="53">
        <v>51.21</v>
      </c>
    </row>
    <row r="51" spans="1:5" ht="31.5" customHeight="1" x14ac:dyDescent="0.2">
      <c r="A51" s="9">
        <v>8</v>
      </c>
      <c r="B51" s="66" t="s">
        <v>75</v>
      </c>
      <c r="C51" s="66"/>
      <c r="D51" s="10" t="s">
        <v>74</v>
      </c>
      <c r="E51" s="53">
        <v>27.55</v>
      </c>
    </row>
    <row r="52" spans="1:5" ht="30.75" customHeight="1" x14ac:dyDescent="0.2">
      <c r="A52" s="9">
        <v>9</v>
      </c>
      <c r="B52" s="66" t="s">
        <v>76</v>
      </c>
      <c r="C52" s="66"/>
      <c r="D52" s="10" t="s">
        <v>77</v>
      </c>
      <c r="E52" s="30">
        <f>92117/1000</f>
        <v>92.117000000000004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4554/1000</f>
        <v>4.5540000000000003</v>
      </c>
    </row>
    <row r="54" spans="1:5" ht="36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42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84098/1000</f>
        <v>84.097999999999999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f>(E52-E53-E55)/(E52-E53)</f>
        <v>3.9571508513870049E-2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2186/1000</f>
        <v>2.1859999999999999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0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174.7997441841874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32.168792754930735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57.75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</sheetPr>
  <dimension ref="A1:F67"/>
  <sheetViews>
    <sheetView topLeftCell="A46" workbookViewId="0">
      <selection activeCell="E59" sqref="E59"/>
    </sheetView>
  </sheetViews>
  <sheetFormatPr defaultColWidth="8.7109375" defaultRowHeight="12.75" x14ac:dyDescent="0.2"/>
  <cols>
    <col min="1" max="1" width="5.7109375" customWidth="1"/>
    <col min="2" max="2" width="19" customWidth="1"/>
    <col min="3" max="3" width="24.28515625" customWidth="1"/>
    <col min="4" max="4" width="14.7109375" customWidth="1"/>
    <col min="5" max="5" width="24.28515625" style="1" customWidth="1"/>
    <col min="6" max="6" width="18.7109375" customWidth="1"/>
  </cols>
  <sheetData>
    <row r="1" spans="1:6" x14ac:dyDescent="0.2">
      <c r="A1" s="72" t="s">
        <v>0</v>
      </c>
      <c r="B1" s="72"/>
      <c r="C1" s="72"/>
      <c r="D1" s="72"/>
      <c r="E1" s="72"/>
    </row>
    <row r="2" spans="1:6" ht="15" customHeight="1" x14ac:dyDescent="0.2">
      <c r="A2" s="72" t="s">
        <v>1</v>
      </c>
      <c r="B2" s="72"/>
      <c r="C2" s="72"/>
      <c r="D2" s="72"/>
      <c r="E2" s="72"/>
    </row>
    <row r="3" spans="1:6" ht="41.25" customHeight="1" x14ac:dyDescent="0.2">
      <c r="A3" s="73" t="str">
        <f>'г.п. Ревда'!A3:E3</f>
        <v>ДЕЯТЕЛЬНОСТИ  ОАО "МУРМАНЭНЕРГОСБЫТ" ЗА  2012 ГОД</v>
      </c>
      <c r="B3" s="73"/>
      <c r="C3" s="73"/>
      <c r="D3" s="73"/>
      <c r="E3" s="73"/>
    </row>
    <row r="4" spans="1:6" ht="12.75" customHeight="1" x14ac:dyDescent="0.2">
      <c r="A4" s="74" t="s">
        <v>111</v>
      </c>
      <c r="B4" s="74"/>
      <c r="C4" s="74"/>
      <c r="D4" s="74"/>
      <c r="E4" s="74"/>
    </row>
    <row r="5" spans="1:6" ht="1.5" customHeight="1" x14ac:dyDescent="0.2">
      <c r="A5" s="74"/>
      <c r="B5" s="74"/>
      <c r="C5" s="74"/>
      <c r="D5" s="74"/>
      <c r="E5" s="74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75" t="s">
        <v>4</v>
      </c>
      <c r="C7" s="75"/>
      <c r="D7" s="4" t="s">
        <v>5</v>
      </c>
      <c r="E7" s="5" t="s">
        <v>6</v>
      </c>
    </row>
    <row r="8" spans="1:6" x14ac:dyDescent="0.2">
      <c r="A8" s="6">
        <v>1</v>
      </c>
      <c r="B8" s="76">
        <v>2</v>
      </c>
      <c r="C8" s="76"/>
      <c r="D8" s="6">
        <v>3</v>
      </c>
      <c r="E8" s="7">
        <v>4</v>
      </c>
      <c r="F8" s="8"/>
    </row>
    <row r="9" spans="1:6" ht="31.5" customHeight="1" x14ac:dyDescent="0.2">
      <c r="A9" s="9">
        <v>1</v>
      </c>
      <c r="B9" s="66" t="s">
        <v>7</v>
      </c>
      <c r="C9" s="66"/>
      <c r="D9" s="10" t="s">
        <v>8</v>
      </c>
      <c r="E9" s="11" t="s">
        <v>9</v>
      </c>
    </row>
    <row r="10" spans="1:6" s="15" customFormat="1" ht="12.75" customHeight="1" x14ac:dyDescent="0.2">
      <c r="A10" s="12">
        <v>2</v>
      </c>
      <c r="B10" s="68" t="s">
        <v>10</v>
      </c>
      <c r="C10" s="68"/>
      <c r="D10" s="13" t="s">
        <v>11</v>
      </c>
      <c r="E10" s="16">
        <f>87434722.955/1000</f>
        <v>87434.722955000005</v>
      </c>
    </row>
    <row r="11" spans="1:6" s="15" customFormat="1" ht="38.25" customHeight="1" x14ac:dyDescent="0.2">
      <c r="A11" s="12">
        <v>3</v>
      </c>
      <c r="B11" s="68" t="s">
        <v>12</v>
      </c>
      <c r="C11" s="68"/>
      <c r="D11" s="13" t="s">
        <v>11</v>
      </c>
      <c r="E11" s="16">
        <f>E12+E13+E27+E30+E31+E32+E33+E34+E35+E36+E39+E42+E43</f>
        <v>157815.88260999997</v>
      </c>
    </row>
    <row r="12" spans="1:6" ht="25.5" customHeight="1" x14ac:dyDescent="0.2">
      <c r="A12" s="17" t="s">
        <v>13</v>
      </c>
      <c r="B12" s="66" t="s">
        <v>14</v>
      </c>
      <c r="C12" s="66"/>
      <c r="D12" s="10" t="s">
        <v>11</v>
      </c>
      <c r="E12" s="26"/>
    </row>
    <row r="13" spans="1:6" ht="12.75" customHeight="1" x14ac:dyDescent="0.2">
      <c r="A13" s="17" t="s">
        <v>15</v>
      </c>
      <c r="B13" s="66" t="s">
        <v>16</v>
      </c>
      <c r="C13" s="66"/>
      <c r="D13" s="10" t="s">
        <v>11</v>
      </c>
      <c r="E13" s="20">
        <f>E15+E19+E23</f>
        <v>81598.883099999992</v>
      </c>
    </row>
    <row r="14" spans="1:6" ht="12.75" customHeight="1" x14ac:dyDescent="0.2">
      <c r="A14" s="9"/>
      <c r="B14" s="66" t="s">
        <v>17</v>
      </c>
      <c r="C14" s="66"/>
      <c r="D14" s="10"/>
      <c r="E14" s="20"/>
    </row>
    <row r="15" spans="1:6" s="24" customFormat="1" ht="12.75" customHeight="1" x14ac:dyDescent="0.2">
      <c r="A15" s="69" t="s">
        <v>18</v>
      </c>
      <c r="B15" s="70" t="s">
        <v>19</v>
      </c>
      <c r="C15" s="21" t="s">
        <v>20</v>
      </c>
      <c r="D15" s="22" t="s">
        <v>11</v>
      </c>
      <c r="E15" s="23">
        <f>81598883.1/1000</f>
        <v>81598.883099999992</v>
      </c>
    </row>
    <row r="16" spans="1:6" s="24" customFormat="1" ht="12" x14ac:dyDescent="0.2">
      <c r="A16" s="69"/>
      <c r="B16" s="70"/>
      <c r="C16" s="21" t="s">
        <v>21</v>
      </c>
      <c r="D16" s="22" t="s">
        <v>22</v>
      </c>
      <c r="E16" s="23">
        <v>6988.1570000000011</v>
      </c>
    </row>
    <row r="17" spans="1:5" s="24" customFormat="1" ht="36" x14ac:dyDescent="0.2">
      <c r="A17" s="69"/>
      <c r="B17" s="70"/>
      <c r="C17" s="21" t="s">
        <v>23</v>
      </c>
      <c r="D17" s="22" t="s">
        <v>11</v>
      </c>
      <c r="E17" s="25">
        <f>E15/E16</f>
        <v>11.676738673730425</v>
      </c>
    </row>
    <row r="18" spans="1:5" s="24" customFormat="1" ht="12" x14ac:dyDescent="0.2">
      <c r="A18" s="69"/>
      <c r="B18" s="7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69" t="s">
        <v>25</v>
      </c>
      <c r="B19" s="7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69"/>
      <c r="B20" s="70"/>
      <c r="C20" s="21" t="s">
        <v>21</v>
      </c>
      <c r="D20" s="22" t="s">
        <v>22</v>
      </c>
      <c r="E20" s="23"/>
    </row>
    <row r="21" spans="1:5" s="24" customFormat="1" ht="36" x14ac:dyDescent="0.2">
      <c r="A21" s="69"/>
      <c r="B21" s="70"/>
      <c r="C21" s="21" t="s">
        <v>23</v>
      </c>
      <c r="D21" s="22" t="s">
        <v>11</v>
      </c>
      <c r="E21" s="23"/>
    </row>
    <row r="22" spans="1:5" s="24" customFormat="1" ht="12" x14ac:dyDescent="0.2">
      <c r="A22" s="69"/>
      <c r="B22" s="70"/>
      <c r="C22" s="21" t="s">
        <v>24</v>
      </c>
      <c r="D22" s="22" t="s">
        <v>8</v>
      </c>
      <c r="E22" s="23"/>
    </row>
    <row r="23" spans="1:5" s="24" customFormat="1" ht="12.75" customHeight="1" x14ac:dyDescent="0.2">
      <c r="A23" s="69" t="s">
        <v>27</v>
      </c>
      <c r="B23" s="70" t="s">
        <v>28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2" x14ac:dyDescent="0.2">
      <c r="A24" s="69"/>
      <c r="B24" s="70"/>
      <c r="C24" s="21" t="s">
        <v>21</v>
      </c>
      <c r="D24" s="22" t="s">
        <v>22</v>
      </c>
      <c r="E24" s="23"/>
    </row>
    <row r="25" spans="1:5" s="24" customFormat="1" ht="36" x14ac:dyDescent="0.2">
      <c r="A25" s="69"/>
      <c r="B25" s="70"/>
      <c r="C25" s="21" t="s">
        <v>23</v>
      </c>
      <c r="D25" s="22" t="s">
        <v>11</v>
      </c>
      <c r="E25" s="23"/>
    </row>
    <row r="26" spans="1:5" s="24" customFormat="1" ht="12" x14ac:dyDescent="0.2">
      <c r="A26" s="69"/>
      <c r="B26" s="70"/>
      <c r="C26" s="21" t="s">
        <v>24</v>
      </c>
      <c r="D26" s="22" t="s">
        <v>8</v>
      </c>
      <c r="E26" s="23"/>
    </row>
    <row r="27" spans="1:5" ht="58.5" customHeight="1" x14ac:dyDescent="0.2">
      <c r="A27" s="9" t="s">
        <v>29</v>
      </c>
      <c r="B27" s="66" t="s">
        <v>30</v>
      </c>
      <c r="C27" s="66"/>
      <c r="D27" s="10" t="s">
        <v>11</v>
      </c>
      <c r="E27" s="26">
        <f>4199860.68/1000</f>
        <v>4199.8606799999998</v>
      </c>
    </row>
    <row r="28" spans="1:5" s="24" customFormat="1" ht="12" customHeight="1" x14ac:dyDescent="0.2">
      <c r="A28" s="22" t="s">
        <v>31</v>
      </c>
      <c r="B28" s="71" t="s">
        <v>32</v>
      </c>
      <c r="C28" s="71"/>
      <c r="D28" s="22" t="s">
        <v>33</v>
      </c>
      <c r="E28" s="25">
        <f>E27/E29</f>
        <v>2.5994529084200928</v>
      </c>
    </row>
    <row r="29" spans="1:5" s="24" customFormat="1" ht="12" customHeight="1" x14ac:dyDescent="0.2">
      <c r="A29" s="22" t="s">
        <v>34</v>
      </c>
      <c r="B29" s="71" t="s">
        <v>35</v>
      </c>
      <c r="C29" s="71"/>
      <c r="D29" s="22" t="s">
        <v>36</v>
      </c>
      <c r="E29" s="27">
        <f>1615671/1000</f>
        <v>1615.671</v>
      </c>
    </row>
    <row r="30" spans="1:5" ht="32.25" customHeight="1" x14ac:dyDescent="0.2">
      <c r="A30" s="10" t="s">
        <v>37</v>
      </c>
      <c r="B30" s="66" t="s">
        <v>38</v>
      </c>
      <c r="C30" s="66"/>
      <c r="D30" s="10" t="s">
        <v>11</v>
      </c>
      <c r="E30" s="26">
        <f>1039633.42/1000</f>
        <v>1039.6334200000001</v>
      </c>
    </row>
    <row r="31" spans="1:5" ht="29.25" customHeight="1" x14ac:dyDescent="0.2">
      <c r="A31" s="10" t="s">
        <v>39</v>
      </c>
      <c r="B31" s="66" t="s">
        <v>40</v>
      </c>
      <c r="C31" s="66"/>
      <c r="D31" s="10" t="s">
        <v>11</v>
      </c>
      <c r="E31" s="26">
        <f>(719276.08+3756.88+471514.78)/1000</f>
        <v>1194.54774</v>
      </c>
    </row>
    <row r="32" spans="1:5" ht="26.25" customHeight="1" x14ac:dyDescent="0.2">
      <c r="A32" s="28" t="s">
        <v>41</v>
      </c>
      <c r="B32" s="66" t="s">
        <v>42</v>
      </c>
      <c r="C32" s="66"/>
      <c r="D32" s="10" t="s">
        <v>11</v>
      </c>
      <c r="E32" s="26"/>
    </row>
    <row r="33" spans="1:5" ht="37.5" customHeight="1" x14ac:dyDescent="0.2">
      <c r="A33" s="28" t="s">
        <v>43</v>
      </c>
      <c r="B33" s="66" t="s">
        <v>44</v>
      </c>
      <c r="C33" s="66"/>
      <c r="D33" s="10" t="s">
        <v>11</v>
      </c>
      <c r="E33" s="26"/>
    </row>
    <row r="34" spans="1:5" ht="38.25" customHeight="1" x14ac:dyDescent="0.2">
      <c r="A34" s="28" t="s">
        <v>45</v>
      </c>
      <c r="B34" s="66" t="s">
        <v>46</v>
      </c>
      <c r="C34" s="66"/>
      <c r="D34" s="10" t="s">
        <v>11</v>
      </c>
      <c r="E34" s="26"/>
    </row>
    <row r="35" spans="1:5" ht="31.5" customHeight="1" x14ac:dyDescent="0.2">
      <c r="A35" s="28" t="s">
        <v>47</v>
      </c>
      <c r="B35" s="66" t="s">
        <v>48</v>
      </c>
      <c r="C35" s="66"/>
      <c r="D35" s="10" t="s">
        <v>11</v>
      </c>
      <c r="E35" s="26">
        <f>19726022.75/1000</f>
        <v>19726.02275</v>
      </c>
    </row>
    <row r="36" spans="1:5" ht="36.75" customHeight="1" x14ac:dyDescent="0.2">
      <c r="A36" s="28" t="s">
        <v>49</v>
      </c>
      <c r="B36" s="66" t="s">
        <v>50</v>
      </c>
      <c r="C36" s="66"/>
      <c r="D36" s="10" t="s">
        <v>11</v>
      </c>
      <c r="E36" s="26">
        <f>(51112.32+87173.96)/1000</f>
        <v>138.28628</v>
      </c>
    </row>
    <row r="37" spans="1:5" ht="12.75" customHeight="1" x14ac:dyDescent="0.2">
      <c r="A37" s="28" t="s">
        <v>51</v>
      </c>
      <c r="B37" s="66" t="s">
        <v>52</v>
      </c>
      <c r="C37" s="66"/>
      <c r="D37" s="10" t="s">
        <v>11</v>
      </c>
      <c r="E37" s="26"/>
    </row>
    <row r="38" spans="1:5" ht="12.75" customHeight="1" x14ac:dyDescent="0.2">
      <c r="A38" s="28" t="s">
        <v>53</v>
      </c>
      <c r="B38" s="66" t="s">
        <v>54</v>
      </c>
      <c r="C38" s="66"/>
      <c r="D38" s="10" t="s">
        <v>11</v>
      </c>
      <c r="E38" s="26"/>
    </row>
    <row r="39" spans="1:5" ht="31.5" customHeight="1" x14ac:dyDescent="0.2">
      <c r="A39" s="28" t="s">
        <v>55</v>
      </c>
      <c r="B39" s="66" t="s">
        <v>56</v>
      </c>
      <c r="C39" s="66"/>
      <c r="D39" s="10" t="s">
        <v>11</v>
      </c>
      <c r="E39" s="26">
        <f>2976724.69/1000</f>
        <v>2976.72469</v>
      </c>
    </row>
    <row r="40" spans="1:5" ht="31.5" customHeight="1" x14ac:dyDescent="0.2">
      <c r="A40" s="28" t="s">
        <v>57</v>
      </c>
      <c r="B40" s="66" t="s">
        <v>52</v>
      </c>
      <c r="C40" s="66"/>
      <c r="D40" s="10" t="s">
        <v>11</v>
      </c>
      <c r="E40" s="26"/>
    </row>
    <row r="41" spans="1:5" ht="31.5" customHeight="1" x14ac:dyDescent="0.2">
      <c r="A41" s="28" t="s">
        <v>58</v>
      </c>
      <c r="B41" s="66" t="s">
        <v>54</v>
      </c>
      <c r="C41" s="66"/>
      <c r="D41" s="10" t="s">
        <v>11</v>
      </c>
      <c r="E41" s="26"/>
    </row>
    <row r="42" spans="1:5" ht="31.5" customHeight="1" x14ac:dyDescent="0.2">
      <c r="A42" s="28" t="s">
        <v>59</v>
      </c>
      <c r="B42" s="66" t="s">
        <v>60</v>
      </c>
      <c r="C42" s="66"/>
      <c r="D42" s="10" t="s">
        <v>11</v>
      </c>
      <c r="E42" s="26">
        <f>571.68/1000</f>
        <v>0.57167999999999997</v>
      </c>
    </row>
    <row r="43" spans="1:5" ht="61.5" customHeight="1" x14ac:dyDescent="0.2">
      <c r="A43" s="28" t="s">
        <v>61</v>
      </c>
      <c r="B43" s="66" t="s">
        <v>62</v>
      </c>
      <c r="C43" s="66"/>
      <c r="D43" s="10" t="s">
        <v>11</v>
      </c>
      <c r="E43" s="26">
        <f>66667375.02/1000-E35</f>
        <v>46941.352270000003</v>
      </c>
    </row>
    <row r="44" spans="1:5" ht="42.75" customHeight="1" x14ac:dyDescent="0.2">
      <c r="A44" s="28" t="s">
        <v>63</v>
      </c>
      <c r="B44" s="66" t="s">
        <v>64</v>
      </c>
      <c r="C44" s="66"/>
      <c r="D44" s="10" t="s">
        <v>11</v>
      </c>
      <c r="E44" s="26"/>
    </row>
    <row r="45" spans="1:5" s="15" customFormat="1" ht="31.5" customHeight="1" x14ac:dyDescent="0.2">
      <c r="A45" s="12">
        <v>4</v>
      </c>
      <c r="B45" s="68" t="s">
        <v>65</v>
      </c>
      <c r="C45" s="68"/>
      <c r="D45" s="13" t="s">
        <v>11</v>
      </c>
      <c r="E45" s="16">
        <f>E10-E11</f>
        <v>-70381.159654999967</v>
      </c>
    </row>
    <row r="46" spans="1:5" ht="31.5" customHeight="1" x14ac:dyDescent="0.2">
      <c r="A46" s="9">
        <v>5</v>
      </c>
      <c r="B46" s="66" t="s">
        <v>66</v>
      </c>
      <c r="C46" s="66"/>
      <c r="D46" s="10" t="s">
        <v>11</v>
      </c>
      <c r="E46" s="26">
        <v>0</v>
      </c>
    </row>
    <row r="47" spans="1:5" ht="51.75" customHeight="1" x14ac:dyDescent="0.2">
      <c r="A47" s="9" t="s">
        <v>67</v>
      </c>
      <c r="B47" s="66" t="s">
        <v>68</v>
      </c>
      <c r="C47" s="66"/>
      <c r="D47" s="10" t="s">
        <v>11</v>
      </c>
      <c r="E47" s="29"/>
    </row>
    <row r="48" spans="1:5" ht="31.5" customHeight="1" x14ac:dyDescent="0.2">
      <c r="A48" s="9" t="s">
        <v>69</v>
      </c>
      <c r="B48" s="66" t="s">
        <v>70</v>
      </c>
      <c r="C48" s="66"/>
      <c r="D48" s="10" t="s">
        <v>11</v>
      </c>
      <c r="E48" s="29"/>
    </row>
    <row r="49" spans="1:5" ht="31.5" customHeight="1" x14ac:dyDescent="0.2">
      <c r="A49" s="9" t="s">
        <v>71</v>
      </c>
      <c r="B49" s="66" t="s">
        <v>72</v>
      </c>
      <c r="C49" s="66"/>
      <c r="D49" s="10" t="s">
        <v>11</v>
      </c>
      <c r="E49" s="29"/>
    </row>
    <row r="50" spans="1:5" ht="21.75" customHeight="1" x14ac:dyDescent="0.2">
      <c r="A50" s="9">
        <v>7</v>
      </c>
      <c r="B50" s="66" t="s">
        <v>73</v>
      </c>
      <c r="C50" s="66"/>
      <c r="D50" s="10" t="s">
        <v>74</v>
      </c>
      <c r="E50" s="53">
        <v>39.479999999999997</v>
      </c>
    </row>
    <row r="51" spans="1:5" ht="12.75" customHeight="1" x14ac:dyDescent="0.2">
      <c r="A51" s="9">
        <v>8</v>
      </c>
      <c r="B51" s="66" t="s">
        <v>75</v>
      </c>
      <c r="C51" s="66"/>
      <c r="D51" s="10" t="s">
        <v>74</v>
      </c>
      <c r="E51" s="53">
        <v>14.01</v>
      </c>
    </row>
    <row r="52" spans="1:5" ht="25.5" customHeight="1" x14ac:dyDescent="0.2">
      <c r="A52" s="9">
        <v>9</v>
      </c>
      <c r="B52" s="66" t="s">
        <v>76</v>
      </c>
      <c r="C52" s="66"/>
      <c r="D52" s="10" t="s">
        <v>77</v>
      </c>
      <c r="E52" s="30">
        <f>48798/1000</f>
        <v>48.798000000000002</v>
      </c>
    </row>
    <row r="53" spans="1:5" ht="32.25" customHeight="1" x14ac:dyDescent="0.2">
      <c r="A53" s="9" t="s">
        <v>78</v>
      </c>
      <c r="B53" s="66" t="s">
        <v>79</v>
      </c>
      <c r="C53" s="66"/>
      <c r="D53" s="10" t="s">
        <v>77</v>
      </c>
      <c r="E53" s="30">
        <f>3989/1000</f>
        <v>3.9889999999999999</v>
      </c>
    </row>
    <row r="54" spans="1:5" ht="35.25" customHeight="1" x14ac:dyDescent="0.2">
      <c r="A54" s="9">
        <v>10</v>
      </c>
      <c r="B54" s="66" t="s">
        <v>80</v>
      </c>
      <c r="C54" s="66"/>
      <c r="D54" s="10" t="s">
        <v>77</v>
      </c>
      <c r="E54" s="29"/>
    </row>
    <row r="55" spans="1:5" ht="30.75" customHeight="1" x14ac:dyDescent="0.2">
      <c r="A55" s="9">
        <v>11</v>
      </c>
      <c r="B55" s="66" t="s">
        <v>104</v>
      </c>
      <c r="C55" s="66"/>
      <c r="D55" s="10" t="s">
        <v>77</v>
      </c>
      <c r="E55" s="30">
        <f>35081/1000</f>
        <v>35.081000000000003</v>
      </c>
    </row>
    <row r="56" spans="1:5" ht="25.5" customHeight="1" x14ac:dyDescent="0.2">
      <c r="A56" s="9">
        <v>12</v>
      </c>
      <c r="B56" s="66" t="s">
        <v>82</v>
      </c>
      <c r="C56" s="66"/>
      <c r="D56" s="10" t="s">
        <v>83</v>
      </c>
      <c r="E56" s="62">
        <v>0.2137</v>
      </c>
    </row>
    <row r="57" spans="1:5" ht="12.75" customHeight="1" x14ac:dyDescent="0.2">
      <c r="A57" s="9">
        <v>13</v>
      </c>
      <c r="B57" s="66" t="s">
        <v>84</v>
      </c>
      <c r="C57" s="66"/>
      <c r="D57" s="10" t="s">
        <v>77</v>
      </c>
      <c r="E57" s="53"/>
    </row>
    <row r="58" spans="1:5" ht="27" customHeight="1" x14ac:dyDescent="0.2">
      <c r="A58" s="9">
        <v>14</v>
      </c>
      <c r="B58" s="66" t="s">
        <v>85</v>
      </c>
      <c r="C58" s="66"/>
      <c r="D58" s="10" t="s">
        <v>86</v>
      </c>
      <c r="E58" s="53">
        <f>17184/1000</f>
        <v>17.184000000000001</v>
      </c>
    </row>
    <row r="59" spans="1:5" ht="25.5" customHeight="1" x14ac:dyDescent="0.2">
      <c r="A59" s="9">
        <v>15</v>
      </c>
      <c r="B59" s="66" t="s">
        <v>87</v>
      </c>
      <c r="C59" s="66"/>
      <c r="D59" s="10" t="s">
        <v>86</v>
      </c>
      <c r="E59" s="53"/>
    </row>
    <row r="60" spans="1:5" ht="12.75" customHeight="1" x14ac:dyDescent="0.2">
      <c r="A60" s="9">
        <v>16</v>
      </c>
      <c r="B60" s="66" t="s">
        <v>88</v>
      </c>
      <c r="C60" s="66"/>
      <c r="D60" s="10" t="s">
        <v>89</v>
      </c>
      <c r="E60" s="53">
        <v>0</v>
      </c>
    </row>
    <row r="61" spans="1:5" ht="12.75" customHeight="1" x14ac:dyDescent="0.2">
      <c r="A61" s="9">
        <v>17</v>
      </c>
      <c r="B61" s="66" t="s">
        <v>90</v>
      </c>
      <c r="C61" s="66"/>
      <c r="D61" s="10" t="s">
        <v>89</v>
      </c>
      <c r="E61" s="63">
        <v>1</v>
      </c>
    </row>
    <row r="62" spans="1:5" ht="12.75" customHeight="1" x14ac:dyDescent="0.2">
      <c r="A62" s="9">
        <v>18</v>
      </c>
      <c r="B62" s="66" t="s">
        <v>91</v>
      </c>
      <c r="C62" s="66"/>
      <c r="D62" s="10" t="s">
        <v>89</v>
      </c>
      <c r="E62" s="53">
        <v>2</v>
      </c>
    </row>
    <row r="63" spans="1:5" ht="30.75" customHeight="1" x14ac:dyDescent="0.2">
      <c r="A63" s="9">
        <v>19</v>
      </c>
      <c r="B63" s="66" t="s">
        <v>92</v>
      </c>
      <c r="C63" s="66"/>
      <c r="D63" s="10" t="s">
        <v>93</v>
      </c>
      <c r="E63" s="29"/>
    </row>
    <row r="64" spans="1:5" ht="39.75" customHeight="1" x14ac:dyDescent="0.2">
      <c r="A64" s="9">
        <v>20</v>
      </c>
      <c r="B64" s="66" t="s">
        <v>94</v>
      </c>
      <c r="C64" s="66"/>
      <c r="D64" s="10" t="s">
        <v>95</v>
      </c>
      <c r="E64" s="53">
        <v>213.1815953654189</v>
      </c>
    </row>
    <row r="65" spans="1:5" ht="44.25" customHeight="1" x14ac:dyDescent="0.2">
      <c r="A65" s="9">
        <v>21</v>
      </c>
      <c r="B65" s="66" t="s">
        <v>96</v>
      </c>
      <c r="C65" s="66"/>
      <c r="D65" s="10" t="s">
        <v>97</v>
      </c>
      <c r="E65" s="53">
        <f>(E29*1000)/(E52*1000-E53*1000)</f>
        <v>36.056841259568394</v>
      </c>
    </row>
    <row r="66" spans="1:5" ht="31.5" customHeight="1" x14ac:dyDescent="0.2">
      <c r="A66" s="9">
        <v>22</v>
      </c>
      <c r="B66" s="66" t="s">
        <v>98</v>
      </c>
      <c r="C66" s="66"/>
      <c r="D66" s="10" t="s">
        <v>99</v>
      </c>
      <c r="E66" s="29" t="s">
        <v>100</v>
      </c>
    </row>
    <row r="67" spans="1:5" ht="60" customHeight="1" x14ac:dyDescent="0.2">
      <c r="A67" s="9">
        <v>23</v>
      </c>
      <c r="B67" s="66" t="s">
        <v>101</v>
      </c>
      <c r="C67" s="66"/>
      <c r="D67" s="67" t="s">
        <v>102</v>
      </c>
      <c r="E67" s="67"/>
    </row>
  </sheetData>
  <sheetProtection selectLockedCells="1" selectUnlockedCells="1"/>
  <mergeCells count="60">
    <mergeCell ref="B9:C9"/>
    <mergeCell ref="B10:C10"/>
    <mergeCell ref="B11:C11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42:C42"/>
    <mergeCell ref="B30:C30"/>
    <mergeCell ref="B31:C31"/>
    <mergeCell ref="B12:C12"/>
    <mergeCell ref="B13:C13"/>
    <mergeCell ref="B14:C14"/>
    <mergeCell ref="B33:C33"/>
    <mergeCell ref="B34:C34"/>
    <mergeCell ref="B35:C35"/>
    <mergeCell ref="B36:C36"/>
    <mergeCell ref="B32:C32"/>
    <mergeCell ref="B27:C27"/>
    <mergeCell ref="B28:C28"/>
    <mergeCell ref="B29:C29"/>
    <mergeCell ref="B37:C37"/>
    <mergeCell ref="B38:C38"/>
    <mergeCell ref="B39:C39"/>
    <mergeCell ref="B40:C40"/>
    <mergeCell ref="B41:C41"/>
    <mergeCell ref="B56:C56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43:C43"/>
    <mergeCell ref="B44:C44"/>
    <mergeCell ref="B66:C66"/>
    <mergeCell ref="B67:C67"/>
    <mergeCell ref="D67:E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г. Мурманск</vt:lpstr>
      <vt:lpstr>г.п. Кола</vt:lpstr>
      <vt:lpstr>г.п. Мурмаши</vt:lpstr>
      <vt:lpstr>г.п. Молочный</vt:lpstr>
      <vt:lpstr>г.п. Верхнетуломский</vt:lpstr>
      <vt:lpstr>г.п. Кильдинстрой</vt:lpstr>
      <vt:lpstr>с.п. Ловозеро</vt:lpstr>
      <vt:lpstr>г.п. Ревда</vt:lpstr>
      <vt:lpstr>н.п. Высокий</vt:lpstr>
      <vt:lpstr>г. Гаджиево</vt:lpstr>
      <vt:lpstr>ЗАТО г. Североморск</vt:lpstr>
      <vt:lpstr>г.п. Никель </vt:lpstr>
      <vt:lpstr>Полярный</vt:lpstr>
      <vt:lpstr>г. Снежногорск</vt:lpstr>
      <vt:lpstr>с.п. Корзуново</vt:lpstr>
      <vt:lpstr>г. Кандалакша</vt:lpstr>
      <vt:lpstr>с.п. Умба</vt:lpstr>
      <vt:lpstr>с.п. Зеленоборский</vt:lpstr>
      <vt:lpstr>Производство тепловой энергии</vt:lpstr>
      <vt:lpstr>Передача тепловой энергии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</dc:creator>
  <cp:lastModifiedBy>User4</cp:lastModifiedBy>
  <cp:lastPrinted>2013-04-25T07:11:07Z</cp:lastPrinted>
  <dcterms:created xsi:type="dcterms:W3CDTF">2013-04-12T06:07:02Z</dcterms:created>
  <dcterms:modified xsi:type="dcterms:W3CDTF">2013-04-30T11:22:32Z</dcterms:modified>
</cp:coreProperties>
</file>