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" yWindow="0" windowWidth="12948" windowHeight="12852" tabRatio="714" firstSheet="20" activeTab="22"/>
  </bookViews>
  <sheets>
    <sheet name="г.Мурманск" sheetId="1" r:id="rId1"/>
    <sheet name="г.п.Кола" sheetId="2" r:id="rId2"/>
    <sheet name="г.п.Молочный" sheetId="3" r:id="rId3"/>
    <sheet name="г.п.Мурмаши" sheetId="4" r:id="rId4"/>
    <sheet name="г.п.Верхнетуломский" sheetId="5" r:id="rId5"/>
    <sheet name="г.п.Кильдинстрой-Шонгуй" sheetId="6" r:id="rId6"/>
    <sheet name="с.п.Ловозеро" sheetId="7" r:id="rId7"/>
    <sheet name="г.п.Ревда" sheetId="8" r:id="rId8"/>
    <sheet name="н.п.Высокий" sheetId="9" r:id="rId9"/>
    <sheet name="г.Гаджиево" sheetId="10" r:id="rId10"/>
    <sheet name="г.Североморск" sheetId="11" r:id="rId11"/>
    <sheet name="г.п.Никель" sheetId="12" r:id="rId12"/>
    <sheet name="г.Полярный" sheetId="13" r:id="rId13"/>
    <sheet name="г.Снежногорск" sheetId="14" r:id="rId14"/>
    <sheet name="с.п.Териберка" sheetId="15" r:id="rId15"/>
    <sheet name="г.Кандалакша" sheetId="16" r:id="rId16"/>
    <sheet name="с.п.Умба" sheetId="17" r:id="rId17"/>
    <sheet name="с.п.Зеленоборский" sheetId="18" r:id="rId18"/>
    <sheet name="с.п.Ёнский" sheetId="21" r:id="rId19"/>
    <sheet name="Росляково" sheetId="26" r:id="rId20"/>
    <sheet name="с.п.Белое море" sheetId="20" r:id="rId21"/>
    <sheet name="Нива-3" sheetId="19" r:id="rId22"/>
    <sheet name="Лопарская" sheetId="22" r:id="rId23"/>
    <sheet name="Ура-Губа" sheetId="27" r:id="rId24"/>
    <sheet name="Видяево" sheetId="28" r:id="rId25"/>
    <sheet name="пр-во тепловой энергии" sheetId="23" r:id="rId26"/>
    <sheet name="передача тепловой энергии" sheetId="24" r:id="rId27"/>
    <sheet name="ИТОГО регулируемые виды деятель" sheetId="25" r:id="rId28"/>
  </sheets>
  <calcPr calcId="145621"/>
</workbook>
</file>

<file path=xl/calcChain.xml><?xml version="1.0" encoding="utf-8"?>
<calcChain xmlns="http://schemas.openxmlformats.org/spreadsheetml/2006/main">
  <c r="D62" i="25" l="1"/>
  <c r="D67" i="21" l="1"/>
  <c r="D67" i="19"/>
  <c r="D67" i="20"/>
  <c r="D67" i="4"/>
  <c r="D67" i="3"/>
  <c r="D67" i="2"/>
  <c r="D67" i="1"/>
  <c r="D67" i="28"/>
  <c r="D67" i="27"/>
  <c r="D67" i="22"/>
  <c r="D67" i="26"/>
  <c r="D67" i="18"/>
  <c r="D67" i="17"/>
  <c r="D67" i="16"/>
  <c r="D67" i="15"/>
  <c r="D67" i="14"/>
  <c r="D67" i="12"/>
  <c r="D67" i="11"/>
  <c r="D67" i="10"/>
  <c r="D67" i="9"/>
  <c r="D67" i="8"/>
  <c r="D67" i="7"/>
  <c r="D67" i="6"/>
  <c r="D67" i="5"/>
  <c r="D62" i="24" l="1"/>
  <c r="D63" i="24" l="1"/>
  <c r="D57" i="17" l="1"/>
  <c r="D57" i="18"/>
  <c r="D63" i="1"/>
  <c r="D62" i="1"/>
  <c r="D68" i="28"/>
  <c r="D66" i="28"/>
  <c r="D63" i="28"/>
  <c r="D59" i="28"/>
  <c r="D57" i="28"/>
  <c r="D68" i="27"/>
  <c r="D66" i="27"/>
  <c r="D63" i="27"/>
  <c r="D62" i="27"/>
  <c r="D59" i="27"/>
  <c r="D57" i="27"/>
  <c r="D68" i="22"/>
  <c r="D66" i="22"/>
  <c r="D62" i="22"/>
  <c r="D59" i="22"/>
  <c r="D57" i="22"/>
  <c r="D68" i="19"/>
  <c r="D66" i="19"/>
  <c r="D63" i="19"/>
  <c r="D62" i="19"/>
  <c r="D59" i="19"/>
  <c r="D57" i="19"/>
  <c r="D68" i="20"/>
  <c r="D66" i="20"/>
  <c r="D63" i="20"/>
  <c r="D62" i="20"/>
  <c r="D59" i="20"/>
  <c r="D57" i="20"/>
  <c r="D68" i="26"/>
  <c r="D66" i="26"/>
  <c r="D63" i="26"/>
  <c r="D62" i="26"/>
  <c r="D59" i="26"/>
  <c r="D57" i="26"/>
  <c r="D68" i="21"/>
  <c r="D66" i="21"/>
  <c r="D63" i="21"/>
  <c r="D62" i="21"/>
  <c r="D59" i="21"/>
  <c r="D57" i="21"/>
  <c r="D66" i="18"/>
  <c r="D63" i="18"/>
  <c r="D62" i="18"/>
  <c r="D59" i="18"/>
  <c r="D66" i="17"/>
  <c r="D63" i="17"/>
  <c r="D62" i="17"/>
  <c r="D59" i="17"/>
  <c r="D66" i="16"/>
  <c r="D63" i="16"/>
  <c r="D62" i="16"/>
  <c r="D59" i="16"/>
  <c r="D57" i="16"/>
  <c r="D68" i="15"/>
  <c r="D66" i="15"/>
  <c r="D63" i="15"/>
  <c r="D62" i="15"/>
  <c r="D59" i="15"/>
  <c r="D57" i="15"/>
  <c r="D68" i="14"/>
  <c r="D66" i="14"/>
  <c r="D63" i="14"/>
  <c r="D62" i="14"/>
  <c r="D59" i="14"/>
  <c r="D57" i="14"/>
  <c r="D68" i="13"/>
  <c r="D66" i="13"/>
  <c r="D63" i="13"/>
  <c r="D62" i="13"/>
  <c r="D59" i="13"/>
  <c r="D57" i="13"/>
  <c r="D68" i="12"/>
  <c r="D66" i="12"/>
  <c r="D63" i="12"/>
  <c r="D62" i="12"/>
  <c r="D59" i="12"/>
  <c r="D57" i="12"/>
  <c r="D68" i="11"/>
  <c r="D66" i="11"/>
  <c r="D63" i="11"/>
  <c r="D62" i="11"/>
  <c r="D59" i="11"/>
  <c r="D57" i="11"/>
  <c r="D68" i="10"/>
  <c r="D66" i="10"/>
  <c r="D63" i="10"/>
  <c r="D62" i="10"/>
  <c r="D59" i="10"/>
  <c r="D57" i="10"/>
  <c r="D68" i="9"/>
  <c r="D66" i="9"/>
  <c r="D63" i="9"/>
  <c r="D62" i="9"/>
  <c r="D59" i="9"/>
  <c r="D57" i="9"/>
  <c r="D68" i="8"/>
  <c r="D66" i="8"/>
  <c r="D63" i="8"/>
  <c r="D62" i="8"/>
  <c r="D59" i="8"/>
  <c r="D57" i="8"/>
  <c r="D68" i="7"/>
  <c r="D66" i="7"/>
  <c r="D63" i="7"/>
  <c r="D62" i="7"/>
  <c r="D59" i="7"/>
  <c r="D57" i="7"/>
  <c r="D68" i="6"/>
  <c r="D66" i="6"/>
  <c r="D63" i="6"/>
  <c r="D62" i="6"/>
  <c r="D59" i="6"/>
  <c r="D57" i="6"/>
  <c r="D66" i="5"/>
  <c r="D63" i="5"/>
  <c r="D62" i="5"/>
  <c r="D59" i="5"/>
  <c r="D57" i="5"/>
  <c r="D68" i="4"/>
  <c r="D66" i="4"/>
  <c r="D63" i="4"/>
  <c r="D62" i="4"/>
  <c r="D59" i="4"/>
  <c r="D57" i="4"/>
  <c r="D66" i="3"/>
  <c r="D63" i="3"/>
  <c r="D62" i="3"/>
  <c r="D59" i="3"/>
  <c r="D57" i="3"/>
  <c r="D66" i="2"/>
  <c r="D63" i="2"/>
  <c r="D62" i="2"/>
  <c r="D59" i="2"/>
  <c r="D57" i="2"/>
  <c r="D68" i="1"/>
  <c r="D66" i="1"/>
  <c r="D59" i="1"/>
  <c r="D57" i="1"/>
  <c r="D61" i="24" l="1"/>
  <c r="D61" i="28" l="1"/>
  <c r="D61" i="27"/>
  <c r="D61" i="22"/>
  <c r="D61" i="19"/>
  <c r="D61" i="20"/>
  <c r="D61" i="26"/>
  <c r="D61" i="21"/>
  <c r="D61" i="18"/>
  <c r="D61" i="17"/>
  <c r="D61" i="16"/>
  <c r="D61" i="15"/>
  <c r="D61" i="14"/>
  <c r="D61" i="13"/>
  <c r="D61" i="12"/>
  <c r="D61" i="11"/>
  <c r="D61" i="10"/>
  <c r="D61" i="9"/>
  <c r="D61" i="8"/>
  <c r="D61" i="7"/>
  <c r="D61" i="6"/>
  <c r="D61" i="5"/>
  <c r="D61" i="4"/>
  <c r="D61" i="3"/>
  <c r="D61" i="2"/>
  <c r="D61" i="1"/>
  <c r="D54" i="23" l="1"/>
  <c r="D53" i="28"/>
  <c r="D53" i="19"/>
  <c r="D53" i="21"/>
  <c r="D53" i="18"/>
  <c r="D53" i="16"/>
  <c r="D53" i="14"/>
  <c r="D53" i="10"/>
  <c r="D53" i="8"/>
  <c r="D53" i="7"/>
  <c r="D53" i="6"/>
  <c r="D53" i="4"/>
  <c r="D53" i="3"/>
  <c r="D53" i="23" s="1"/>
  <c r="D53" i="2"/>
  <c r="D53" i="1"/>
  <c r="D64" i="14" l="1"/>
  <c r="D64" i="26"/>
  <c r="D64" i="24" l="1"/>
  <c r="D64" i="28"/>
  <c r="D64" i="27"/>
  <c r="D64" i="22"/>
  <c r="D64" i="19"/>
  <c r="D64" i="20"/>
  <c r="D64" i="21"/>
  <c r="D64" i="18"/>
  <c r="D64" i="16" l="1"/>
  <c r="D64" i="15"/>
  <c r="D64" i="13"/>
  <c r="D64" i="12"/>
  <c r="D64" i="11"/>
  <c r="D64" i="10"/>
  <c r="D64" i="9"/>
  <c r="D64" i="8"/>
  <c r="D64" i="7"/>
  <c r="D64" i="6"/>
  <c r="D64" i="5"/>
  <c r="D64" i="4"/>
  <c r="D64" i="3"/>
  <c r="D64" i="2"/>
  <c r="D64" i="1"/>
  <c r="D64" i="23" l="1"/>
  <c r="D64" i="25" s="1"/>
  <c r="D46" i="24" l="1"/>
  <c r="D46" i="28"/>
  <c r="D46" i="27"/>
  <c r="D46" i="22"/>
  <c r="D46" i="19"/>
  <c r="D46" i="20"/>
  <c r="D46" i="26"/>
  <c r="D46" i="21"/>
  <c r="D46" i="1"/>
  <c r="D46" i="15"/>
  <c r="D46" i="18"/>
  <c r="D46" i="17"/>
  <c r="D46" i="16"/>
  <c r="D46" i="14"/>
  <c r="D46" i="13"/>
  <c r="D46" i="12"/>
  <c r="D46" i="11"/>
  <c r="D46" i="10"/>
  <c r="D46" i="9"/>
  <c r="D46" i="8"/>
  <c r="D46" i="7"/>
  <c r="D46" i="6"/>
  <c r="D46" i="5"/>
  <c r="D46" i="4"/>
  <c r="D46" i="3"/>
  <c r="D46" i="2"/>
  <c r="D45" i="24"/>
  <c r="D45" i="1"/>
  <c r="D45" i="28"/>
  <c r="D45" i="27"/>
  <c r="D45" i="22"/>
  <c r="D45" i="19"/>
  <c r="D45" i="20"/>
  <c r="D45" i="26"/>
  <c r="D45" i="21"/>
  <c r="D45" i="15"/>
  <c r="D45" i="18"/>
  <c r="D45" i="17"/>
  <c r="D45" i="16"/>
  <c r="D45" i="14"/>
  <c r="D45" i="13"/>
  <c r="D45" i="12"/>
  <c r="D45" i="11" l="1"/>
  <c r="D45" i="10"/>
  <c r="D45" i="9"/>
  <c r="D45" i="8"/>
  <c r="D45" i="7"/>
  <c r="D45" i="6"/>
  <c r="D45" i="5"/>
  <c r="D45" i="4"/>
  <c r="D45" i="3"/>
  <c r="D45" i="2"/>
  <c r="D52" i="24"/>
  <c r="D44" i="24"/>
  <c r="D44" i="13"/>
  <c r="D44" i="11"/>
  <c r="D44" i="26"/>
  <c r="D44" i="15"/>
  <c r="D44" i="18"/>
  <c r="D44" i="17"/>
  <c r="D44" i="16"/>
  <c r="D44" i="14"/>
  <c r="D44" i="12"/>
  <c r="D44" i="10"/>
  <c r="D44" i="9"/>
  <c r="D44" i="8"/>
  <c r="D44" i="7"/>
  <c r="D44" i="6"/>
  <c r="D44" i="5"/>
  <c r="D44" i="4"/>
  <c r="D44" i="3"/>
  <c r="D44" i="2"/>
  <c r="D44" i="1" l="1"/>
  <c r="D48" i="11" l="1"/>
  <c r="D48" i="12"/>
  <c r="D48" i="2"/>
  <c r="D47" i="24" l="1"/>
  <c r="D47" i="19"/>
  <c r="D47" i="26"/>
  <c r="D47" i="18"/>
  <c r="D47" i="16"/>
  <c r="D47" i="12"/>
  <c r="D47" i="11"/>
  <c r="D47" i="9"/>
  <c r="D47" i="4"/>
  <c r="D47" i="3"/>
  <c r="D47" i="2"/>
  <c r="D47" i="1"/>
  <c r="F9" i="1"/>
  <c r="F9" i="24"/>
  <c r="F9" i="14" l="1"/>
  <c r="F9" i="13"/>
  <c r="F9" i="5" l="1"/>
  <c r="F9" i="28"/>
  <c r="F9" i="27"/>
  <c r="F9" i="22"/>
  <c r="F9" i="19"/>
  <c r="F9" i="20"/>
  <c r="F9" i="26"/>
  <c r="F9" i="21"/>
  <c r="F9" i="18"/>
  <c r="F9" i="17"/>
  <c r="F9" i="16"/>
  <c r="F9" i="15"/>
  <c r="F9" i="12"/>
  <c r="F9" i="11"/>
  <c r="F9" i="10"/>
  <c r="F9" i="9"/>
  <c r="F9" i="8"/>
  <c r="F9" i="7"/>
  <c r="F9" i="6"/>
  <c r="F9" i="4"/>
  <c r="F9" i="3"/>
  <c r="F9" i="2"/>
  <c r="D38" i="28" l="1"/>
  <c r="D38" i="27"/>
  <c r="D38" i="22"/>
  <c r="D38" i="21"/>
  <c r="D38" i="15"/>
  <c r="D38" i="26"/>
  <c r="D38" i="19"/>
  <c r="D38" i="20"/>
  <c r="D38" i="12"/>
  <c r="D38" i="13"/>
  <c r="D38" i="14"/>
  <c r="D38" i="11"/>
  <c r="D38" i="17"/>
  <c r="D38" i="18"/>
  <c r="D38" i="16"/>
  <c r="D38" i="24"/>
  <c r="D38" i="10"/>
  <c r="D38" i="9"/>
  <c r="D38" i="8"/>
  <c r="D38" i="7"/>
  <c r="D38" i="6"/>
  <c r="D38" i="5"/>
  <c r="D38" i="4"/>
  <c r="D38" i="3"/>
  <c r="D38" i="1"/>
  <c r="D38" i="2" l="1"/>
  <c r="D38" i="23" s="1"/>
  <c r="D41" i="1" l="1"/>
  <c r="D41" i="28"/>
  <c r="D43" i="24" l="1"/>
  <c r="D43" i="27"/>
  <c r="D43" i="22"/>
  <c r="D43" i="19"/>
  <c r="D43" i="21"/>
  <c r="D43" i="18"/>
  <c r="D43" i="16"/>
  <c r="D43" i="15"/>
  <c r="D43" i="14"/>
  <c r="D43" i="13"/>
  <c r="D43" i="12"/>
  <c r="D43" i="10"/>
  <c r="D43" i="8"/>
  <c r="D43" i="7"/>
  <c r="D43" i="5"/>
  <c r="D43" i="3"/>
  <c r="D43" i="1"/>
  <c r="D41" i="24"/>
  <c r="D41" i="27"/>
  <c r="D41" i="22"/>
  <c r="D41" i="19"/>
  <c r="D41" i="20"/>
  <c r="D41" i="26"/>
  <c r="D41" i="21"/>
  <c r="D41" i="18"/>
  <c r="D41" i="17"/>
  <c r="D41" i="16"/>
  <c r="D41" i="15"/>
  <c r="D41" i="14"/>
  <c r="D41" i="13"/>
  <c r="D41" i="12"/>
  <c r="D41" i="11"/>
  <c r="D41" i="10"/>
  <c r="D41" i="9"/>
  <c r="D41" i="8"/>
  <c r="D41" i="7"/>
  <c r="D41" i="6"/>
  <c r="D41" i="5"/>
  <c r="D41" i="4"/>
  <c r="D41" i="3"/>
  <c r="D41" i="23" s="1"/>
  <c r="D41" i="2"/>
  <c r="D40" i="13" l="1"/>
  <c r="D40" i="22"/>
  <c r="D40" i="19"/>
  <c r="D40" i="20"/>
  <c r="D40" i="21"/>
  <c r="D40" i="18"/>
  <c r="D40" i="17"/>
  <c r="D40" i="16"/>
  <c r="D40" i="11"/>
  <c r="D40" i="9"/>
  <c r="D40" i="8"/>
  <c r="D40" i="7"/>
  <c r="D40" i="6"/>
  <c r="D40" i="5"/>
  <c r="D40" i="3"/>
  <c r="D40" i="2"/>
  <c r="D40" i="1"/>
  <c r="D36" i="24"/>
  <c r="D39" i="18"/>
  <c r="D39" i="28"/>
  <c r="D39" i="27"/>
  <c r="D39" i="22"/>
  <c r="D39" i="19"/>
  <c r="D39" i="20"/>
  <c r="D39" i="26"/>
  <c r="D39" i="21"/>
  <c r="D39" i="1"/>
  <c r="D39" i="15"/>
  <c r="D39" i="17"/>
  <c r="D39" i="16"/>
  <c r="D39" i="14"/>
  <c r="D39" i="13"/>
  <c r="D39" i="12"/>
  <c r="D39" i="11"/>
  <c r="D39" i="10"/>
  <c r="D39" i="9"/>
  <c r="D39" i="8"/>
  <c r="D39" i="7"/>
  <c r="D39" i="6"/>
  <c r="D39" i="5"/>
  <c r="D39" i="4"/>
  <c r="D39" i="23" s="1"/>
  <c r="D39" i="3"/>
  <c r="D39" i="2"/>
  <c r="D63" i="23"/>
  <c r="D63" i="25" s="1"/>
  <c r="D62" i="23"/>
  <c r="D61" i="23"/>
  <c r="D61" i="25" s="1"/>
  <c r="D60" i="23"/>
  <c r="D60" i="25" s="1"/>
  <c r="D59" i="23"/>
  <c r="D59" i="25" s="1"/>
  <c r="D58" i="23"/>
  <c r="D58" i="25" s="1"/>
  <c r="D57" i="23"/>
  <c r="D57" i="25" s="1"/>
  <c r="D47" i="23"/>
  <c r="D46" i="23"/>
  <c r="D45" i="23"/>
  <c r="D44" i="23"/>
  <c r="D43" i="23"/>
  <c r="D42" i="23"/>
  <c r="D40" i="23"/>
  <c r="D36" i="28"/>
  <c r="D36" i="27"/>
  <c r="D36" i="22"/>
  <c r="D36" i="19"/>
  <c r="D36" i="20"/>
  <c r="D36" i="26"/>
  <c r="D36" i="21"/>
  <c r="D36" i="15"/>
  <c r="D36" i="18"/>
  <c r="D36" i="17"/>
  <c r="D36" i="16"/>
  <c r="D36" i="14"/>
  <c r="D36" i="13"/>
  <c r="D36" i="12"/>
  <c r="D36" i="11"/>
  <c r="D36" i="10"/>
  <c r="D36" i="9"/>
  <c r="D36" i="8"/>
  <c r="D36" i="7"/>
  <c r="D36" i="6"/>
  <c r="D36" i="5"/>
  <c r="D36" i="4"/>
  <c r="D36" i="3"/>
  <c r="D36" i="2"/>
  <c r="D36" i="1"/>
  <c r="D37" i="1" s="1"/>
  <c r="D50" i="24" l="1"/>
  <c r="D9" i="24" s="1"/>
  <c r="D36" i="23"/>
  <c r="D26" i="18"/>
  <c r="D32" i="11"/>
  <c r="D33" i="11" s="1"/>
  <c r="D26" i="11"/>
  <c r="D26" i="1"/>
  <c r="D19" i="11"/>
  <c r="D20" i="11"/>
  <c r="D21" i="11" l="1"/>
  <c r="D20" i="15"/>
  <c r="D20" i="22"/>
  <c r="D14" i="28" l="1"/>
  <c r="D14" i="27"/>
  <c r="D14" i="19"/>
  <c r="D14" i="20"/>
  <c r="D14" i="26"/>
  <c r="D14" i="21"/>
  <c r="D14" i="18"/>
  <c r="D14" i="17"/>
  <c r="D14" i="16"/>
  <c r="D14" i="15"/>
  <c r="D14" i="14"/>
  <c r="D14" i="13"/>
  <c r="D14" i="12"/>
  <c r="D14" i="11"/>
  <c r="D14" i="10"/>
  <c r="D14" i="9"/>
  <c r="D14" i="8"/>
  <c r="D14" i="7"/>
  <c r="D14" i="6"/>
  <c r="D14" i="5"/>
  <c r="D14" i="4"/>
  <c r="D14" i="3"/>
  <c r="D14" i="2"/>
  <c r="D14" i="1"/>
  <c r="D8" i="24"/>
  <c r="D25" i="1"/>
  <c r="D13" i="28"/>
  <c r="D16" i="28"/>
  <c r="D7" i="28"/>
  <c r="D16" i="27"/>
  <c r="D13" i="27"/>
  <c r="D7" i="27"/>
  <c r="D19" i="22"/>
  <c r="D19" i="23" s="1"/>
  <c r="D22" i="22"/>
  <c r="D7" i="22"/>
  <c r="D13" i="19"/>
  <c r="D16" i="19"/>
  <c r="D7" i="19"/>
  <c r="D7" i="26"/>
  <c r="D7" i="20"/>
  <c r="D16" i="20"/>
  <c r="D13" i="20"/>
  <c r="D13" i="26"/>
  <c r="D21" i="26"/>
  <c r="D22" i="26"/>
  <c r="D16" i="26"/>
  <c r="D13" i="21"/>
  <c r="D16" i="21"/>
  <c r="D7" i="21"/>
  <c r="D22" i="11"/>
  <c r="D16" i="11"/>
  <c r="D21" i="15"/>
  <c r="D22" i="15"/>
  <c r="D16" i="15"/>
  <c r="D19" i="15"/>
  <c r="D25" i="18"/>
  <c r="D25" i="23" s="1"/>
  <c r="D13" i="18"/>
  <c r="D16" i="18"/>
  <c r="D7" i="18"/>
  <c r="D13" i="17"/>
  <c r="D16" i="17"/>
  <c r="D7" i="17"/>
  <c r="D13" i="16"/>
  <c r="D16" i="16"/>
  <c r="D7" i="16"/>
  <c r="D13" i="15"/>
  <c r="D7" i="15"/>
  <c r="D13" i="14"/>
  <c r="D16" i="14"/>
  <c r="D7" i="14"/>
  <c r="D13" i="13"/>
  <c r="D16" i="13"/>
  <c r="D7" i="13"/>
  <c r="D13" i="12"/>
  <c r="D16" i="12"/>
  <c r="D7" i="12"/>
  <c r="D13" i="11"/>
  <c r="D7" i="11"/>
  <c r="D13" i="10"/>
  <c r="D16" i="10"/>
  <c r="D7" i="10"/>
  <c r="D13" i="9"/>
  <c r="D7" i="9"/>
  <c r="D16" i="8"/>
  <c r="D7" i="8"/>
  <c r="D13" i="8"/>
  <c r="D13" i="7"/>
  <c r="D16" i="7"/>
  <c r="D7" i="7"/>
  <c r="D13" i="6"/>
  <c r="D16" i="6"/>
  <c r="D7" i="6"/>
  <c r="D13" i="5"/>
  <c r="D16" i="5"/>
  <c r="D7" i="5"/>
  <c r="D13" i="4"/>
  <c r="D13" i="23" s="1"/>
  <c r="D16" i="4"/>
  <c r="D7" i="4"/>
  <c r="D7" i="3"/>
  <c r="D16" i="3"/>
  <c r="D13" i="3"/>
  <c r="D13" i="2"/>
  <c r="D13" i="1"/>
  <c r="D16" i="2"/>
  <c r="D7" i="2"/>
  <c r="D16" i="1"/>
  <c r="D7" i="1"/>
  <c r="D14" i="23"/>
  <c r="D21" i="22" l="1"/>
  <c r="D16" i="23"/>
  <c r="D7" i="23"/>
  <c r="D6" i="1" l="1"/>
  <c r="D52" i="28"/>
  <c r="D37" i="28"/>
  <c r="D15" i="28"/>
  <c r="D11" i="28"/>
  <c r="D6" i="28"/>
  <c r="D50" i="28" l="1"/>
  <c r="D9" i="28" s="1"/>
  <c r="D55" i="28" s="1"/>
  <c r="D52" i="27"/>
  <c r="D37" i="27"/>
  <c r="D15" i="27"/>
  <c r="D11" i="27"/>
  <c r="D50" i="27" s="1"/>
  <c r="D6" i="27"/>
  <c r="D52" i="22"/>
  <c r="D37" i="22"/>
  <c r="D11" i="22"/>
  <c r="D50" i="22" s="1"/>
  <c r="D6" i="22"/>
  <c r="D52" i="19"/>
  <c r="D37" i="19"/>
  <c r="D15" i="19"/>
  <c r="D11" i="19"/>
  <c r="D50" i="19" s="1"/>
  <c r="D6" i="19"/>
  <c r="D52" i="20"/>
  <c r="D37" i="20"/>
  <c r="D15" i="20"/>
  <c r="D11" i="20"/>
  <c r="D50" i="20" s="1"/>
  <c r="D6" i="20"/>
  <c r="D52" i="26"/>
  <c r="D37" i="26"/>
  <c r="D15" i="26"/>
  <c r="D11" i="26"/>
  <c r="D50" i="26" s="1"/>
  <c r="D9" i="26" s="1"/>
  <c r="D6" i="26"/>
  <c r="D52" i="21"/>
  <c r="D37" i="21"/>
  <c r="D15" i="21"/>
  <c r="D11" i="21"/>
  <c r="D50" i="21" s="1"/>
  <c r="D6" i="21"/>
  <c r="D52" i="18"/>
  <c r="D37" i="18"/>
  <c r="D27" i="18"/>
  <c r="D15" i="18"/>
  <c r="D11" i="18"/>
  <c r="D50" i="18" s="1"/>
  <c r="D6" i="18"/>
  <c r="D52" i="17"/>
  <c r="D37" i="17"/>
  <c r="D15" i="17"/>
  <c r="D11" i="17"/>
  <c r="D50" i="17" s="1"/>
  <c r="D6" i="17"/>
  <c r="D52" i="16"/>
  <c r="D37" i="16"/>
  <c r="D15" i="16"/>
  <c r="D11" i="16"/>
  <c r="D50" i="16" s="1"/>
  <c r="D6" i="16"/>
  <c r="D52" i="15"/>
  <c r="D37" i="15"/>
  <c r="D15" i="15"/>
  <c r="D11" i="15"/>
  <c r="D50" i="15" s="1"/>
  <c r="D9" i="15" s="1"/>
  <c r="D6" i="15"/>
  <c r="D52" i="14"/>
  <c r="D37" i="14"/>
  <c r="D15" i="14"/>
  <c r="D11" i="14"/>
  <c r="D50" i="14" s="1"/>
  <c r="D9" i="14" s="1"/>
  <c r="D6" i="14"/>
  <c r="D52" i="13"/>
  <c r="D37" i="13"/>
  <c r="D15" i="13"/>
  <c r="D11" i="13"/>
  <c r="D50" i="13" s="1"/>
  <c r="D9" i="13" s="1"/>
  <c r="D6" i="13"/>
  <c r="D52" i="12"/>
  <c r="D37" i="12"/>
  <c r="D15" i="12"/>
  <c r="D11" i="12"/>
  <c r="D50" i="12" s="1"/>
  <c r="D9" i="12" s="1"/>
  <c r="D6" i="12"/>
  <c r="D52" i="11"/>
  <c r="D37" i="11"/>
  <c r="D27" i="11"/>
  <c r="D15" i="11"/>
  <c r="D11" i="11"/>
  <c r="D50" i="11" s="1"/>
  <c r="D9" i="11" s="1"/>
  <c r="D6" i="11"/>
  <c r="D52" i="10"/>
  <c r="D37" i="10"/>
  <c r="D15" i="10"/>
  <c r="D11" i="10"/>
  <c r="D50" i="10" s="1"/>
  <c r="D6" i="10"/>
  <c r="D52" i="9"/>
  <c r="D37" i="9"/>
  <c r="D15" i="9"/>
  <c r="D11" i="9"/>
  <c r="D50" i="9" s="1"/>
  <c r="D6" i="9"/>
  <c r="D52" i="8"/>
  <c r="D37" i="8"/>
  <c r="D15" i="8"/>
  <c r="D11" i="8"/>
  <c r="D50" i="8" s="1"/>
  <c r="D6" i="8"/>
  <c r="D52" i="7"/>
  <c r="D37" i="7"/>
  <c r="D15" i="7"/>
  <c r="D11" i="7"/>
  <c r="D50" i="7" s="1"/>
  <c r="D6" i="7"/>
  <c r="D52" i="6"/>
  <c r="D37" i="6"/>
  <c r="D15" i="6"/>
  <c r="D11" i="6"/>
  <c r="D50" i="6" s="1"/>
  <c r="D9" i="6" s="1"/>
  <c r="D6" i="6"/>
  <c r="D52" i="5"/>
  <c r="D37" i="5"/>
  <c r="D15" i="5"/>
  <c r="D11" i="5"/>
  <c r="D50" i="5" s="1"/>
  <c r="D6" i="5"/>
  <c r="D52" i="4"/>
  <c r="D37" i="4"/>
  <c r="D15" i="4"/>
  <c r="D11" i="4"/>
  <c r="D50" i="4" s="1"/>
  <c r="D9" i="4" s="1"/>
  <c r="D6" i="4"/>
  <c r="D52" i="3"/>
  <c r="D37" i="3"/>
  <c r="D15" i="3"/>
  <c r="D11" i="3"/>
  <c r="D50" i="3" s="1"/>
  <c r="D9" i="3" s="1"/>
  <c r="D6" i="3"/>
  <c r="D52" i="2"/>
  <c r="D37" i="2"/>
  <c r="D15" i="2"/>
  <c r="D11" i="2"/>
  <c r="D50" i="2" s="1"/>
  <c r="D9" i="2" s="1"/>
  <c r="D6" i="2"/>
  <c r="D55" i="13" l="1"/>
  <c r="D9" i="27"/>
  <c r="D55" i="27" s="1"/>
  <c r="D9" i="22"/>
  <c r="D55" i="22" s="1"/>
  <c r="D9" i="19"/>
  <c r="D55" i="19" s="1"/>
  <c r="D9" i="20"/>
  <c r="D55" i="20" s="1"/>
  <c r="D55" i="26"/>
  <c r="D9" i="21"/>
  <c r="D55" i="21" s="1"/>
  <c r="D9" i="18"/>
  <c r="D55" i="18" s="1"/>
  <c r="D9" i="17"/>
  <c r="D55" i="17" s="1"/>
  <c r="D9" i="16"/>
  <c r="D55" i="16" s="1"/>
  <c r="D55" i="15"/>
  <c r="D55" i="14"/>
  <c r="D55" i="12"/>
  <c r="D55" i="11"/>
  <c r="D9" i="10"/>
  <c r="D55" i="10" s="1"/>
  <c r="D9" i="9"/>
  <c r="D55" i="9" s="1"/>
  <c r="D9" i="8"/>
  <c r="D55" i="8" s="1"/>
  <c r="D9" i="7"/>
  <c r="D55" i="7" s="1"/>
  <c r="D55" i="6"/>
  <c r="D9" i="5"/>
  <c r="D55" i="5" s="1"/>
  <c r="D55" i="4"/>
  <c r="D55" i="3"/>
  <c r="D55" i="2"/>
  <c r="D54" i="25"/>
  <c r="D52" i="1" l="1"/>
  <c r="D52" i="23" s="1"/>
  <c r="D53" i="25" l="1"/>
  <c r="D52" i="25"/>
  <c r="D8" i="23"/>
  <c r="D47" i="25" l="1"/>
  <c r="D46" i="25"/>
  <c r="D45" i="25"/>
  <c r="D44" i="25"/>
  <c r="D43" i="25"/>
  <c r="D42" i="25"/>
  <c r="D41" i="25"/>
  <c r="D40" i="25"/>
  <c r="D39" i="25"/>
  <c r="D22" i="23"/>
  <c r="D28" i="23"/>
  <c r="D34" i="23"/>
  <c r="D37" i="24" l="1"/>
  <c r="D36" i="25"/>
  <c r="D38" i="25"/>
  <c r="D27" i="1"/>
  <c r="D34" i="25"/>
  <c r="D28" i="25"/>
  <c r="D22" i="25"/>
  <c r="D16" i="25"/>
  <c r="D32" i="23"/>
  <c r="D32" i="25" s="1"/>
  <c r="D31" i="23"/>
  <c r="D26" i="23"/>
  <c r="D26" i="25" s="1"/>
  <c r="D20" i="23"/>
  <c r="D20" i="25" s="1"/>
  <c r="D11" i="23" l="1"/>
  <c r="D37" i="23"/>
  <c r="D27" i="23"/>
  <c r="D37" i="25"/>
  <c r="D14" i="25"/>
  <c r="D33" i="23"/>
  <c r="D31" i="25"/>
  <c r="D33" i="25" s="1"/>
  <c r="D25" i="25"/>
  <c r="D27" i="25" s="1"/>
  <c r="D21" i="23"/>
  <c r="D19" i="25"/>
  <c r="D8" i="25"/>
  <c r="D15" i="1" l="1"/>
  <c r="D21" i="25"/>
  <c r="D7" i="25"/>
  <c r="D13" i="25" l="1"/>
  <c r="D15" i="23"/>
  <c r="D11" i="25"/>
  <c r="D15" i="25" l="1"/>
  <c r="D11" i="1"/>
  <c r="D6" i="25"/>
  <c r="D6" i="24"/>
  <c r="D55" i="24" s="1"/>
  <c r="D6" i="23"/>
  <c r="D50" i="1" l="1"/>
  <c r="D9" i="1" s="1"/>
  <c r="D55" i="1" l="1"/>
  <c r="D55" i="23" s="1"/>
  <c r="D55" i="25" s="1"/>
  <c r="D50" i="23"/>
  <c r="D50" i="25" s="1"/>
  <c r="D9" i="23" l="1"/>
  <c r="D9" i="25" s="1"/>
</calcChain>
</file>

<file path=xl/sharedStrings.xml><?xml version="1.0" encoding="utf-8"?>
<sst xmlns="http://schemas.openxmlformats.org/spreadsheetml/2006/main" count="4348" uniqueCount="130">
  <si>
    <t>№ п/п</t>
  </si>
  <si>
    <t>Информация, подлежащая раскрытию</t>
  </si>
  <si>
    <t>производство тепловой энергии</t>
  </si>
  <si>
    <t>передача тепловой энергии</t>
  </si>
  <si>
    <t>1.1</t>
  </si>
  <si>
    <t>1.2</t>
  </si>
  <si>
    <t>2</t>
  </si>
  <si>
    <t>расходы на покупаемую тепловую энергию (мощность), теплоноситель</t>
  </si>
  <si>
    <t>расходы на покупаемую электрическую энергию (мощность), используемую в технологическом процессе (с указанием средневзвещенной стоимости 1 кВТ/ч), и объём приобретения электрической энергии</t>
  </si>
  <si>
    <t>расходы на приобретение холодной воды, используемой в технологическом процессе</t>
  </si>
  <si>
    <t>расходы на оплату труда и отчисления на социальные нужды основного производственного персонала</t>
  </si>
  <si>
    <t>расходы на амортизацию основных производственных средств</t>
  </si>
  <si>
    <t>общепроизводственные расходы, в том числе отнесенные к ним расходы на текущий и капитальный ремонт</t>
  </si>
  <si>
    <t>средневзвешенная стоимость 1кВт/ч</t>
  </si>
  <si>
    <t>объём приобретенной электрической энергии</t>
  </si>
  <si>
    <t>общехозяйственные расходы, в том числе отнесенные к ним расходы на текущий и капитальный ремонт</t>
  </si>
  <si>
    <t>расходы на капитальный и текущий ремонт основных производственных средств (в том числе информация об объёмах товаров и услуг, их стоимости и способах приобретения у тех организаций, сумма оплаты услуг, которых превышает 20% суммы расходов по указанной статье расходов)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</si>
  <si>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</si>
  <si>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</si>
  <si>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</si>
  <si>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</si>
  <si>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</si>
  <si>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</si>
  <si>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</si>
  <si>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</si>
  <si>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</si>
  <si>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</si>
  <si>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</si>
  <si>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</si>
  <si>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</si>
  <si>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</si>
  <si>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</si>
  <si>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</si>
  <si>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Годовая бухгалтерская отчётность, включая ухгалтерский баланс и приложения к нему (раскрывается регулируемой организацией, выручка от регулируемой деятельности которой превышает 80% совокупной выручки за отчётный год)</t>
  </si>
  <si>
    <t>мазут топочный 100</t>
  </si>
  <si>
    <t>расходы на топливо:</t>
  </si>
  <si>
    <t>стоимость</t>
  </si>
  <si>
    <t>объём</t>
  </si>
  <si>
    <t>Единица измерения</t>
  </si>
  <si>
    <t>Сумма</t>
  </si>
  <si>
    <t>уголь каменный</t>
  </si>
  <si>
    <t>дизельное топливо</t>
  </si>
  <si>
    <t>флотский мазут</t>
  </si>
  <si>
    <t>способ приобретения</t>
  </si>
  <si>
    <t>за счёт ввода (вывода) из эксплуатации</t>
  </si>
  <si>
    <t>переоценки</t>
  </si>
  <si>
    <t>тыс.руб.</t>
  </si>
  <si>
    <t xml:space="preserve">Выручка от регулируемой деятельности с разбивкой по видам деятельности </t>
  </si>
  <si>
    <t>Себестоимость производимых товаров (оказываемых услуг) по регулируемомму виду деятельности, включая:</t>
  </si>
  <si>
    <t>тонн</t>
  </si>
  <si>
    <t>руб.</t>
  </si>
  <si>
    <t>тыс.кВт/ч</t>
  </si>
  <si>
    <t>расходы на химические реагенты, используемые в технологическом процессе</t>
  </si>
  <si>
    <t>Сведения об изменении стоимости основных фондов (в том числе за счёт ввода в эксплуатацию (вывода из эксплуатации)), их переоценки</t>
  </si>
  <si>
    <t>человек</t>
  </si>
  <si>
    <t>Среднесписочная численность основного производственного персонала</t>
  </si>
  <si>
    <t>кг у.т./Гкал</t>
  </si>
  <si>
    <t>тыс. кВт.ч/Гкал</t>
  </si>
  <si>
    <t xml:space="preserve">Сведения об удельном расходе холодной воды 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</t>
  </si>
  <si>
    <t>куб.  м /Гкал</t>
  </si>
  <si>
    <t>тыс. Гкал</t>
  </si>
  <si>
    <t>Ккал/ч.мес.</t>
  </si>
  <si>
    <t>тыс.Гкал</t>
  </si>
  <si>
    <t>Гкал/ч</t>
  </si>
  <si>
    <t xml:space="preserve">Чистая прибыль, полученная от регулируемого вида деятельности, с указанием размера её расходования на финансирование мероприятий, предусмотренных инвестиционной программой регулируемой организации </t>
  </si>
  <si>
    <t>г. Мурманск (Северная котельная, Абрам-Мыс, Роста, кот.Сигнал)</t>
  </si>
  <si>
    <t>г.п. Кола Кольского района</t>
  </si>
  <si>
    <t xml:space="preserve">не определяется </t>
  </si>
  <si>
    <t>г.п. Молочный Кольского района</t>
  </si>
  <si>
    <t>г.п. Мурмаши Кольского района</t>
  </si>
  <si>
    <t>г.п. Верхнетуломский Кольского района</t>
  </si>
  <si>
    <t>г.п. Кильдинстрой Кольского района (п.г.т Кильдинстрой и н.п. Шонгуй)</t>
  </si>
  <si>
    <t>с.п.Ловозеро Ловозерского района</t>
  </si>
  <si>
    <t>г.п. Ревда Ловозерского района</t>
  </si>
  <si>
    <t>г. Оленегорск (н.п. Высокий)</t>
  </si>
  <si>
    <t>г.п. Никель Печенгского района</t>
  </si>
  <si>
    <t>с.п. Териберка Кольского района</t>
  </si>
  <si>
    <t>г. Кандалакша</t>
  </si>
  <si>
    <t>с.п. Умба</t>
  </si>
  <si>
    <t>с.п. Зеленоборский</t>
  </si>
  <si>
    <t>Котельная микрорайона Нива-3 г.Кандалакши</t>
  </si>
  <si>
    <t>с.п. Белое море</t>
  </si>
  <si>
    <t>с.п. Ёнский Ковдорского района</t>
  </si>
  <si>
    <t>с.п. Пушной Кольского района (ж/д ст. Лопарская)</t>
  </si>
  <si>
    <t>ИТОГО регулируемая деятельность</t>
  </si>
  <si>
    <t>н.п. Росляково</t>
  </si>
  <si>
    <t>стоимость доставки</t>
  </si>
  <si>
    <t xml:space="preserve">стоимость 1-й единицы объёма </t>
  </si>
  <si>
    <t>расходы на оплату труда и отчисления на социальные нужды административно-управленческого персонала</t>
  </si>
  <si>
    <t>показана в отчёте по предприятию</t>
  </si>
  <si>
    <t>а)</t>
  </si>
  <si>
    <t>б)</t>
  </si>
  <si>
    <t>в)</t>
  </si>
  <si>
    <t>г)</t>
  </si>
  <si>
    <t>д)</t>
  </si>
  <si>
    <t>е)</t>
  </si>
  <si>
    <t>ж)</t>
  </si>
  <si>
    <t>з)</t>
  </si>
  <si>
    <t>расходы на аренду имущества, используемого для осуществления регулируемого вида деятельности</t>
  </si>
  <si>
    <t>и)</t>
  </si>
  <si>
    <t>к)</t>
  </si>
  <si>
    <t>л)</t>
  </si>
  <si>
    <t>м)</t>
  </si>
  <si>
    <t>н)</t>
  </si>
  <si>
    <t>прочие расходы, которые подлежат отнесению на регулируемые виды деятельности, в соответствии с законодательством Российской Федерации</t>
  </si>
  <si>
    <t>Валовая прибыль (убытки)от реализации товаров и оказания услуг по регулируемому виду деятельности</t>
  </si>
  <si>
    <t xml:space="preserve">Установленная тепловая мощность объектов основных фондов,  используемых для осуществления регулируемых видов деятельности, в том числе по каждому источнику тепловой энергии </t>
  </si>
  <si>
    <t xml:space="preserve">Тепловая нагрузка по договорам, заключенным в рамках осуществления регулируемых видов деятельности </t>
  </si>
  <si>
    <t>Объём вырабатываемой организацией тепловой энергии в рамках осуществления регулируемых  видов деятельности</t>
  </si>
  <si>
    <t>Объём приобретаемой  регулируемой организацией тепловой энергии в рамках осуществления регулируемых видов деятельности</t>
  </si>
  <si>
    <t xml:space="preserve">Объём тепловой энергии, отпускаемой потребителям, по договорам, заключенным в рамках осуществления регулируемых видов деятельности, в том числе определенном по приборам учёта и расчётным путём (нормативам потребления коммунальных услуг) </t>
  </si>
  <si>
    <t xml:space="preserve">Нормативы технологических потерь при передаче тепловой энергии, теплоносителя по тепловым сетям, утвержденных уполномоченным органом </t>
  </si>
  <si>
    <t xml:space="preserve">Фактический объём потерь при передаче тепловой энергии </t>
  </si>
  <si>
    <t>Среднесписочная численность административно-управленческого персонала</t>
  </si>
  <si>
    <t>Удельный расход условного топлива на единицу тепловой энергии, отпускаемой в тепловую сеть, с разбивкой по источникам тепловой энергии, используемым для осуществления регулируемых видов деятельности</t>
  </si>
  <si>
    <t xml:space="preserve"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</t>
  </si>
  <si>
    <t xml:space="preserve">Удельный расход холодной воды 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</t>
  </si>
  <si>
    <t>Информация об основных показателях финансово-хозяйственной деятельности ОА "МЭС" за 2017 год</t>
  </si>
  <si>
    <t>Гаджиевский район филиала "Александровская теплосеть"</t>
  </si>
  <si>
    <t>"Североморская теплосеть" (без учета котельной п. Росляково)</t>
  </si>
  <si>
    <t>Полярнинский район филиала "Александровская теплосеть"</t>
  </si>
  <si>
    <t>Снежногорский район филиала "Александровская теплосеть"</t>
  </si>
  <si>
    <t>котельная Ура-Губа Гаджиевского района филиала "Александровская теплосеть"</t>
  </si>
  <si>
    <t>котельная п. Видяево филиала "Александровская теплосеть"</t>
  </si>
  <si>
    <t>ООО "СтандартСтрой" договор №70-17-741 от 18.07.2017г. Восстановление маркировочной окраски трубы в котельной Кола</t>
  </si>
  <si>
    <t>ЗАО "Севзаплесэнерго" договор №70-17-538 от 26.05.2017г. Капитальный ремонт котла ПТВМ-50 в пгт Никель</t>
  </si>
  <si>
    <t>ООО "Стандарт-Сервис" договор №4Д-17-1135 от 09.11.2017г. Восстановление асфальтного покрытия</t>
  </si>
  <si>
    <t>не определяется</t>
  </si>
  <si>
    <t>концессия</t>
  </si>
  <si>
    <t>без учёта субсидий на финансовое обеспечение затрат организации, в связи с производством (реализацией) тепловой энергии потребителям по регулируемым тарифам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</si>
</sst>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_ ;[Red]\-#,##0.0\ "/>
    <numFmt numFmtId="166" formatCode="0.0"/>
    <numFmt numFmtId="167" formatCode="#,##0.0"/>
    <numFmt numFmtId="168" formatCode="#,##0_ ;[Red]\-#,##0\ "/>
    <numFmt numFmtId="169" formatCode="#,##0.000_ ;[Red]\-#,##0.000\ "/>
    <numFmt numFmtId="170" formatCode="#,##0.00000_ ;[Red]\-#,##0.00000\ "/>
    <numFmt numFmtId="171" formatCode="#,##0.0000_ ;[Red]\-#,##0.0000\ "/>
    <numFmt numFmtId="172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 indent="3"/>
    </xf>
    <xf numFmtId="165" fontId="0" fillId="0" borderId="1" xfId="0" applyNumberFormat="1" applyBorder="1"/>
    <xf numFmtId="0" fontId="4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 indent="5"/>
    </xf>
    <xf numFmtId="0" fontId="0" fillId="0" borderId="1" xfId="0" applyBorder="1" applyAlignment="1">
      <alignment horizontal="left" wrapText="1" indent="2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5" fillId="0" borderId="0" xfId="0" applyFont="1"/>
    <xf numFmtId="166" fontId="0" fillId="0" borderId="0" xfId="0" applyNumberFormat="1"/>
    <xf numFmtId="0" fontId="0" fillId="0" borderId="1" xfId="0" applyFill="1" applyBorder="1" applyAlignment="1">
      <alignment wrapText="1"/>
    </xf>
    <xf numFmtId="167" fontId="0" fillId="0" borderId="0" xfId="0" applyNumberFormat="1"/>
    <xf numFmtId="4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8" fontId="5" fillId="0" borderId="1" xfId="0" applyNumberFormat="1" applyFont="1" applyBorder="1"/>
    <xf numFmtId="168" fontId="0" fillId="0" borderId="1" xfId="0" applyNumberFormat="1" applyBorder="1"/>
    <xf numFmtId="168" fontId="8" fillId="0" borderId="1" xfId="0" applyNumberFormat="1" applyFont="1" applyBorder="1"/>
    <xf numFmtId="168" fontId="5" fillId="0" borderId="1" xfId="0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 vertical="center" wrapText="1"/>
    </xf>
    <xf numFmtId="168" fontId="0" fillId="0" borderId="1" xfId="0" applyNumberFormat="1" applyFill="1" applyBorder="1"/>
    <xf numFmtId="0" fontId="8" fillId="0" borderId="1" xfId="0" applyFont="1" applyBorder="1" applyAlignment="1">
      <alignment horizontal="left" wrapText="1" indent="2"/>
    </xf>
    <xf numFmtId="169" fontId="0" fillId="0" borderId="1" xfId="0" applyNumberFormat="1" applyBorder="1"/>
    <xf numFmtId="170" fontId="0" fillId="0" borderId="1" xfId="0" applyNumberFormat="1" applyBorder="1"/>
    <xf numFmtId="168" fontId="0" fillId="0" borderId="1" xfId="0" applyNumberFormat="1" applyBorder="1" applyAlignment="1">
      <alignment horizontal="right" wrapText="1"/>
    </xf>
    <xf numFmtId="169" fontId="8" fillId="0" borderId="1" xfId="0" applyNumberFormat="1" applyFont="1" applyBorder="1"/>
    <xf numFmtId="171" fontId="8" fillId="0" borderId="1" xfId="0" applyNumberFormat="1" applyFont="1" applyBorder="1"/>
    <xf numFmtId="3" fontId="0" fillId="0" borderId="0" xfId="0" applyNumberFormat="1"/>
    <xf numFmtId="168" fontId="2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168" fontId="1" fillId="0" borderId="1" xfId="0" applyNumberFormat="1" applyFont="1" applyBorder="1"/>
    <xf numFmtId="172" fontId="0" fillId="0" borderId="1" xfId="0" applyNumberFormat="1" applyBorder="1"/>
    <xf numFmtId="0" fontId="6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pane xSplit="1" ySplit="5" topLeftCell="B63" activePane="bottomRight" state="frozen"/>
      <selection pane="topRight" activeCell="B1" sqref="B1"/>
      <selection pane="bottomLeft" activeCell="A4" sqref="A4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5" max="5" width="9" customWidth="1"/>
    <col min="6" max="6" width="10.4414062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65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1769497.55091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1497802.78023+13549.03428+33979.68726+222567.21624+1598.8329</f>
        <v>1769497.55091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1838703.7757999999</v>
      </c>
      <c r="F9" s="39">
        <f>1838703.7758</f>
        <v>1838703.7757999999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1071225.1737799998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892895.95219+25918.42892+150295.72167</f>
        <v>1069110.1027799998</v>
      </c>
    </row>
    <row r="14" spans="1:6" x14ac:dyDescent="0.3">
      <c r="A14" s="4"/>
      <c r="B14" s="9" t="s">
        <v>37</v>
      </c>
      <c r="C14" s="8" t="s">
        <v>49</v>
      </c>
      <c r="D14" s="28">
        <f>76047.791+2213.307+12795.534</f>
        <v>91056.631999999998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11.741155798294844</v>
      </c>
    </row>
    <row r="16" spans="1:6" x14ac:dyDescent="0.3">
      <c r="A16" s="4"/>
      <c r="B16" s="9" t="s">
        <v>86</v>
      </c>
      <c r="C16" s="8" t="s">
        <v>46</v>
      </c>
      <c r="D16" s="28">
        <f>1125.02988+14.25904</f>
        <v>1139.28892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>
        <f>2115.071</f>
        <v>2115.0709999999999</v>
      </c>
    </row>
    <row r="26" spans="1:4" x14ac:dyDescent="0.3">
      <c r="A26" s="4"/>
      <c r="B26" s="9" t="s">
        <v>37</v>
      </c>
      <c r="C26" s="8" t="s">
        <v>49</v>
      </c>
      <c r="D26" s="28">
        <f>61.829</f>
        <v>61.829000000000001</v>
      </c>
    </row>
    <row r="27" spans="1:4" x14ac:dyDescent="0.3">
      <c r="A27" s="4"/>
      <c r="B27" s="9" t="s">
        <v>87</v>
      </c>
      <c r="C27" s="8" t="s">
        <v>46</v>
      </c>
      <c r="D27" s="34">
        <f>D25/D26</f>
        <v>34.20839735399246</v>
      </c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51789.2042+4619.05803+3838.38737+16684.93032</f>
        <v>76931.579919999989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3.1493330379333524</v>
      </c>
    </row>
    <row r="38" spans="1:4" x14ac:dyDescent="0.3">
      <c r="A38" s="4"/>
      <c r="B38" s="33" t="s">
        <v>14</v>
      </c>
      <c r="C38" s="26" t="s">
        <v>51</v>
      </c>
      <c r="D38" s="29">
        <f>24427.896</f>
        <v>24427.896000000001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8719.1464+2845.95166+128.0103+276.82949+2200.9734+0.59042</f>
        <v>14171.501670000001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1752.16719+9.77125+30.52391</f>
        <v>1792.4623499999998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52075.35231+17227.79875+20309.61007+6249.85937+30707.41831+9897.63824+2850.65414+862.79124+8234.52965+2519.3229+15606.01678+5200.16095+34541.5016+11444.50152+53.16416+16.05551</f>
        <v>217796.37549999999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15.04236+190.79801+445.26749+2.2333</f>
        <v>653.34116000000006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21033.17575+31199.19723+2704.32576+1418.98386+3137.25241+18039.90689</f>
        <v>77532.841899999999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47277.26202+15070.7736+20006.49331+910.22932+3449.7515+7733.44364+7996.13738+26418.77652</f>
        <v>128862.86728999999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2960.82288+792.68227+1251.43295+12.11901+317.24722+725.48845+467.80617+944.26775+8</f>
        <v>7479.8666999999996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17150.32345+40926.10643+98.33964+219.70953+2133.3825+5132.69419</f>
        <v>65660.555739999996</v>
      </c>
    </row>
    <row r="48" spans="1:4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176597.20979000011</v>
      </c>
    </row>
    <row r="51" spans="1:4" s="20" customFormat="1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1802</v>
      </c>
    </row>
    <row r="53" spans="1:4" x14ac:dyDescent="0.3">
      <c r="A53" s="4"/>
      <c r="B53" s="10" t="s">
        <v>44</v>
      </c>
      <c r="C53" s="8" t="s">
        <v>46</v>
      </c>
      <c r="D53" s="28">
        <f>1802</f>
        <v>1802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-69206.224889999954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555.07</f>
        <v>555.07000000000005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248.791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705.22</f>
        <v>705.22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534.2869+4.074+12.1141+79.3451+0.57</f>
        <v>630.39009999999996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74.3</f>
        <v>74.3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76.03</f>
        <v>76.03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241.9+32.4+69.5+0.1</f>
        <v>343.90000000000003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174.98</f>
        <v>174.98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0.0345</f>
        <v>3.4500000000000003E-2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0.59</f>
        <v>0.59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A88" s="2"/>
      <c r="B88" s="1"/>
      <c r="C88" s="11"/>
    </row>
    <row r="89" spans="1:3" x14ac:dyDescent="0.3">
      <c r="A89" s="2"/>
      <c r="B89" s="1"/>
      <c r="C89" s="11"/>
    </row>
    <row r="90" spans="1:3" x14ac:dyDescent="0.3">
      <c r="A90" s="2"/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  <row r="110" spans="2:3" x14ac:dyDescent="0.3">
      <c r="B110" s="1"/>
      <c r="C110" s="11"/>
    </row>
    <row r="111" spans="2:3" x14ac:dyDescent="0.3">
      <c r="B111" s="1"/>
      <c r="C111" s="11"/>
    </row>
    <row r="112" spans="2:3" x14ac:dyDescent="0.3">
      <c r="B112" s="1"/>
      <c r="C112" s="11"/>
    </row>
    <row r="113" spans="2:2" x14ac:dyDescent="0.3">
      <c r="B113" s="1"/>
    </row>
  </sheetData>
  <mergeCells count="2">
    <mergeCell ref="A1:D1"/>
    <mergeCell ref="A3:D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3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118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242580.83807999999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242580.83808</f>
        <v>242580.83807999999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249913.65416000003</v>
      </c>
      <c r="F9" s="23">
        <f>249913.65416</f>
        <v>249913.65416000001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156133.75017000001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156133.75017</f>
        <v>156133.75017000001</v>
      </c>
    </row>
    <row r="14" spans="1:6" x14ac:dyDescent="0.3">
      <c r="A14" s="4"/>
      <c r="B14" s="9" t="s">
        <v>37</v>
      </c>
      <c r="C14" s="8" t="s">
        <v>49</v>
      </c>
      <c r="D14" s="28">
        <f>13304.69</f>
        <v>13304.69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11.735241495292263</v>
      </c>
    </row>
    <row r="16" spans="1:6" x14ac:dyDescent="0.3">
      <c r="A16" s="4"/>
      <c r="B16" s="9" t="s">
        <v>86</v>
      </c>
      <c r="C16" s="8" t="s">
        <v>46</v>
      </c>
      <c r="D16" s="28">
        <f>5232.66183</f>
        <v>5232.66183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11994.06421</f>
        <v>11994.06421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4.5953793619759491</v>
      </c>
    </row>
    <row r="38" spans="1:4" x14ac:dyDescent="0.3">
      <c r="A38" s="4"/>
      <c r="B38" s="33" t="s">
        <v>14</v>
      </c>
      <c r="C38" s="26" t="s">
        <v>51</v>
      </c>
      <c r="D38" s="29">
        <f>2610.027</f>
        <v>2610.027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2081.63203</f>
        <v>2081.6320300000002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v>0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25286.96939+8322.22927</f>
        <v>33609.198659999995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20.85576</f>
        <v>20.85576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6134.66611</f>
        <v>6134.6661100000001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15958.20594</f>
        <v>15958.20594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1607.77693</f>
        <v>1607.77693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22373.504350000003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203.7</v>
      </c>
    </row>
    <row r="53" spans="1:4" x14ac:dyDescent="0.3">
      <c r="A53" s="4"/>
      <c r="B53" s="10" t="s">
        <v>44</v>
      </c>
      <c r="C53" s="8" t="s">
        <v>46</v>
      </c>
      <c r="D53" s="28">
        <f>203.7</f>
        <v>203.7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-7332.8160800000478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82.5</f>
        <v>82.5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29.029300000000006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100.48</f>
        <v>100.48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83.058</f>
        <v>83.058000000000007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14.2</f>
        <v>14.2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16.23</f>
        <v>16.23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50.8</f>
        <v>50.8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179.34</f>
        <v>179.34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0.026</f>
        <v>2.5999999999999999E-2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0.41</f>
        <v>0.41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2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10.4414062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119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1757317.4064100001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1578152.00147+179165.40494</f>
        <v>1757317.4064100001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1638336.6750699999</v>
      </c>
      <c r="F9" s="23">
        <f>1395556.08549+242780.58958</f>
        <v>1638336.6750699999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1164442.6993100001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1126298.9863</f>
        <v>1126298.9863</v>
      </c>
    </row>
    <row r="14" spans="1:6" x14ac:dyDescent="0.3">
      <c r="A14" s="4"/>
      <c r="B14" s="9" t="s">
        <v>37</v>
      </c>
      <c r="C14" s="8" t="s">
        <v>49</v>
      </c>
      <c r="D14" s="28">
        <f>32838.434+40873.343+4957.533+1006.015+9027.804+7214.769</f>
        <v>95917.898000000001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11.74232348482032</v>
      </c>
    </row>
    <row r="16" spans="1:6" x14ac:dyDescent="0.3">
      <c r="A16" s="4"/>
      <c r="B16" s="9" t="s">
        <v>86</v>
      </c>
      <c r="C16" s="8" t="s">
        <v>46</v>
      </c>
      <c r="D16" s="28">
        <f>2614.98969</f>
        <v>2614.9896899999999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>
        <f>3939.5835</f>
        <v>3939.5835000000002</v>
      </c>
    </row>
    <row r="20" spans="1:4" x14ac:dyDescent="0.3">
      <c r="A20" s="4"/>
      <c r="B20" s="9" t="s">
        <v>37</v>
      </c>
      <c r="C20" s="8" t="s">
        <v>49</v>
      </c>
      <c r="D20" s="28">
        <f>1193.397</f>
        <v>1193.3969999999999</v>
      </c>
    </row>
    <row r="21" spans="1:4" x14ac:dyDescent="0.3">
      <c r="A21" s="4"/>
      <c r="B21" s="9" t="s">
        <v>87</v>
      </c>
      <c r="C21" s="8" t="s">
        <v>46</v>
      </c>
      <c r="D21" s="35">
        <f>D19/D20</f>
        <v>3.3011508324555874</v>
      </c>
    </row>
    <row r="22" spans="1:4" x14ac:dyDescent="0.3">
      <c r="A22" s="4"/>
      <c r="B22" s="9" t="s">
        <v>86</v>
      </c>
      <c r="C22" s="8" t="s">
        <v>46</v>
      </c>
      <c r="D22" s="28">
        <f>669.09266</f>
        <v>669.09266000000002</v>
      </c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>
        <v>4980.9558200000001</v>
      </c>
    </row>
    <row r="26" spans="1:4" x14ac:dyDescent="0.3">
      <c r="A26" s="4"/>
      <c r="B26" s="9" t="s">
        <v>37</v>
      </c>
      <c r="C26" s="8" t="s">
        <v>49</v>
      </c>
      <c r="D26" s="28">
        <f>149.364</f>
        <v>149.364</v>
      </c>
    </row>
    <row r="27" spans="1:4" x14ac:dyDescent="0.3">
      <c r="A27" s="4"/>
      <c r="B27" s="9" t="s">
        <v>87</v>
      </c>
      <c r="C27" s="8" t="s">
        <v>46</v>
      </c>
      <c r="D27" s="34">
        <f>D25/D26</f>
        <v>33.347766663988644</v>
      </c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>
        <v>29223.17369</v>
      </c>
    </row>
    <row r="32" spans="1:4" x14ac:dyDescent="0.3">
      <c r="A32" s="4"/>
      <c r="B32" s="9" t="s">
        <v>37</v>
      </c>
      <c r="C32" s="8" t="s">
        <v>49</v>
      </c>
      <c r="D32" s="28">
        <f>1617.633</f>
        <v>1617.633</v>
      </c>
    </row>
    <row r="33" spans="1:4" x14ac:dyDescent="0.3">
      <c r="A33" s="4"/>
      <c r="B33" s="9" t="s">
        <v>87</v>
      </c>
      <c r="C33" s="8" t="s">
        <v>46</v>
      </c>
      <c r="D33" s="34">
        <f>D31/D32</f>
        <v>18.065391649403789</v>
      </c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94179.56314</f>
        <v>94179.563139999998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3.6378555950810769</v>
      </c>
    </row>
    <row r="38" spans="1:4" x14ac:dyDescent="0.3">
      <c r="A38" s="4"/>
      <c r="B38" s="33" t="s">
        <v>14</v>
      </c>
      <c r="C38" s="26" t="s">
        <v>51</v>
      </c>
      <c r="D38" s="29">
        <f>25888.758</f>
        <v>25888.758000000002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17702.90142</f>
        <v>17702.901419999998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123.19278</f>
        <v>123.19278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71709.43423+24159.31502</f>
        <v>95868.749249999993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v>0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22041.51956-22.43204</f>
        <v>22019.087520000001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63133.91567</f>
        <v>63133.915670000002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2363.64796</f>
        <v>2363.6479599999998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2960.98414</f>
        <v>2960.98414</v>
      </c>
    </row>
    <row r="48" spans="1:4" s="20" customFormat="1" ht="28.8" x14ac:dyDescent="0.3">
      <c r="A48" s="4"/>
      <c r="B48" s="5" t="s">
        <v>126</v>
      </c>
      <c r="C48" s="8" t="s">
        <v>46</v>
      </c>
      <c r="D48" s="28">
        <f>966.792+649.682</f>
        <v>1616.4740000000002</v>
      </c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175541.93387999985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118980.73134000017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487.74</f>
        <v>487.74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178.2773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730.31</f>
        <v>730.31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501.5767+56.261</f>
        <v>557.83770000000004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93.64</f>
        <v>93.64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94.64</f>
        <v>94.64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122.3</f>
        <v>122.3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182</f>
        <v>182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0.035</f>
        <v>3.5000000000000003E-2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1.5</f>
        <v>1.5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7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75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357698.04757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357698.04757</f>
        <v>357698.04757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493994.58179999999</v>
      </c>
      <c r="F9" s="23">
        <f>493994.5818</f>
        <v>493994.58179999999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344327.52869000001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344327.52869</f>
        <v>344327.52869000001</v>
      </c>
    </row>
    <row r="14" spans="1:6" x14ac:dyDescent="0.3">
      <c r="A14" s="4"/>
      <c r="B14" s="9" t="s">
        <v>37</v>
      </c>
      <c r="C14" s="8" t="s">
        <v>49</v>
      </c>
      <c r="D14" s="28">
        <f>29314.901</f>
        <v>29314.901000000002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11.745819257243951</v>
      </c>
    </row>
    <row r="16" spans="1:6" x14ac:dyDescent="0.3">
      <c r="A16" s="4"/>
      <c r="B16" s="9" t="s">
        <v>86</v>
      </c>
      <c r="C16" s="8" t="s">
        <v>46</v>
      </c>
      <c r="D16" s="28">
        <f>22.68497</f>
        <v>22.68497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27253.31831</f>
        <v>27253.318309999999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2.4867750072039261</v>
      </c>
    </row>
    <row r="38" spans="1:4" x14ac:dyDescent="0.3">
      <c r="A38" s="4"/>
      <c r="B38" s="33" t="s">
        <v>14</v>
      </c>
      <c r="C38" s="26" t="s">
        <v>51</v>
      </c>
      <c r="D38" s="29">
        <f>10959.302</f>
        <v>10959.302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6619.79721</f>
        <v>6619.7972099999997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v>0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37227.85937+12142.11541</f>
        <v>49369.974779999997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20.41128</f>
        <v>20.411280000000001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1906.71936</f>
        <v>1906.7193600000001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18850.99522</f>
        <v>18850.995220000001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1087.15107</f>
        <v>1087.1510699999999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17691.91913</f>
        <v>17691.919129999998</v>
      </c>
    </row>
    <row r="48" spans="1:4" s="20" customFormat="1" ht="28.8" x14ac:dyDescent="0.3">
      <c r="A48" s="4"/>
      <c r="B48" s="5" t="s">
        <v>125</v>
      </c>
      <c r="C48" s="8" t="s">
        <v>46</v>
      </c>
      <c r="D48" s="28">
        <f>9519.77284</f>
        <v>9519.7728399999996</v>
      </c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26866.766749999984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-136296.53422999999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188.1</f>
        <v>188.1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57.753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196.85</f>
        <v>196.85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150.9351</f>
        <v>150.93510000000001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10.22</f>
        <v>10.220000000000001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29.09</f>
        <v>29.09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72.3</f>
        <v>72.3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201.75</f>
        <v>201.75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0.056</f>
        <v>5.6000000000000001E-2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1.59</f>
        <v>1.59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12.4414062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120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449323.73586000002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449323.73586</f>
        <v>449323.73586000002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467524.92075999995</v>
      </c>
      <c r="F9" s="23">
        <f>463766.87918+3758.04158</f>
        <v>467524.92076000001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269962.68745999999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269962.68746</f>
        <v>269962.68745999999</v>
      </c>
    </row>
    <row r="14" spans="1:6" x14ac:dyDescent="0.3">
      <c r="A14" s="4"/>
      <c r="B14" s="9" t="s">
        <v>37</v>
      </c>
      <c r="C14" s="8" t="s">
        <v>49</v>
      </c>
      <c r="D14" s="28">
        <f>22994.643</f>
        <v>22994.643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11.740242606071336</v>
      </c>
    </row>
    <row r="16" spans="1:6" x14ac:dyDescent="0.3">
      <c r="A16" s="4"/>
      <c r="B16" s="9" t="s">
        <v>86</v>
      </c>
      <c r="C16" s="8" t="s">
        <v>46</v>
      </c>
      <c r="D16" s="28">
        <f>9503.5525</f>
        <v>9503.5524999999998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34879.66318</f>
        <v>34879.663180000003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4.5895259873892087</v>
      </c>
    </row>
    <row r="38" spans="1:4" x14ac:dyDescent="0.3">
      <c r="A38" s="4"/>
      <c r="B38" s="33" t="s">
        <v>14</v>
      </c>
      <c r="C38" s="26" t="s">
        <v>51</v>
      </c>
      <c r="D38" s="29">
        <f>7599.84</f>
        <v>7599.84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4768.32253</f>
        <v>4768.3225300000004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23.40177</f>
        <v>23.401769999999999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40919.20257+13409.61334</f>
        <v>54328.815910000005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13.17401</f>
        <v>13.174010000000001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3419.4745+5051.1378</f>
        <v>8470.6123000000007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34837.66709</f>
        <v>34837.667090000003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6844.97289</f>
        <v>6844.97289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53395.603620000016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-18201.184899999935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102</f>
        <v>102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49.212400000000002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179.71</f>
        <v>179.71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140.6622</f>
        <v>140.66220000000001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23.99</f>
        <v>23.99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23.22</f>
        <v>23.22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76.3</f>
        <v>76.3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173.29</f>
        <v>173.29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v>4.2000000000000003E-2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0.7</f>
        <v>0.7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7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121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358075.03065999999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335176.50434+22898.52632</f>
        <v>358075.03065999999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378972.90807</v>
      </c>
      <c r="F9" s="23">
        <f>341964.99586+30729.48695+6278.42526</f>
        <v>378972.90807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212805.45720999999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200136.22055+12669.23666</f>
        <v>212805.45720999999</v>
      </c>
    </row>
    <row r="14" spans="1:6" x14ac:dyDescent="0.3">
      <c r="A14" s="4"/>
      <c r="B14" s="9" t="s">
        <v>37</v>
      </c>
      <c r="C14" s="8" t="s">
        <v>49</v>
      </c>
      <c r="D14" s="28">
        <f>17056.495+1079.731</f>
        <v>18136.225999999999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11.733723279032805</v>
      </c>
    </row>
    <row r="16" spans="1:6" x14ac:dyDescent="0.3">
      <c r="A16" s="4"/>
      <c r="B16" s="9" t="s">
        <v>86</v>
      </c>
      <c r="C16" s="8" t="s">
        <v>46</v>
      </c>
      <c r="D16" s="28">
        <f>7850.09005+509.64338</f>
        <v>8359.7334300000002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20132.60718+2365.05953</f>
        <v>22497.666709999998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4.559563645037839</v>
      </c>
    </row>
    <row r="38" spans="1:4" x14ac:dyDescent="0.3">
      <c r="A38" s="4"/>
      <c r="B38" s="33" t="s">
        <v>14</v>
      </c>
      <c r="C38" s="26" t="s">
        <v>51</v>
      </c>
      <c r="D38" s="29">
        <f>4380.034+554.137</f>
        <v>4934.1709999999994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1277.02123+14.42912</f>
        <v>1291.4503500000001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v>0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33768.87733+11014.83+6783.44645+2200.76849</f>
        <v>53767.92227000001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138.73498</f>
        <v>138.73498000000001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5596.4446+7356.12</f>
        <v>12952.5646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28779.18272+3503.96435</f>
        <v>32283.147069999999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1242.64782+143.53166</f>
        <v>1386.1794799999998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41849.785400000022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1010.3</v>
      </c>
    </row>
    <row r="53" spans="1:4" x14ac:dyDescent="0.3">
      <c r="A53" s="4"/>
      <c r="B53" s="10" t="s">
        <v>44</v>
      </c>
      <c r="C53" s="8" t="s">
        <v>46</v>
      </c>
      <c r="D53" s="28">
        <f>1010.3</f>
        <v>1010.3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-20897.877410000016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110</f>
        <v>110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46.242699999999999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146.22</f>
        <v>146.22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111.8115+7.701</f>
        <v>119.51249999999999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15.05</f>
        <v>15.05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16.59</f>
        <v>16.59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59+12.8</f>
        <v>71.8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167.96</f>
        <v>167.96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0.034</f>
        <v>3.4000000000000002E-2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0.27</f>
        <v>0.27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7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76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17732.766149999999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14319.98065+3412.7855</f>
        <v>17732.766149999999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33781.299590000002</v>
      </c>
      <c r="F9" s="23">
        <f>25575.4288+8205.87079</f>
        <v>33781.299590000002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11185.90922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8506.69437</f>
        <v>8506.6943699999993</v>
      </c>
    </row>
    <row r="14" spans="1:6" x14ac:dyDescent="0.3">
      <c r="A14" s="4"/>
      <c r="B14" s="9" t="s">
        <v>37</v>
      </c>
      <c r="C14" s="8" t="s">
        <v>49</v>
      </c>
      <c r="D14" s="28">
        <f>722.817</f>
        <v>722.81700000000001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11.76880783102777</v>
      </c>
    </row>
    <row r="16" spans="1:6" x14ac:dyDescent="0.3">
      <c r="A16" s="4"/>
      <c r="B16" s="9" t="s">
        <v>86</v>
      </c>
      <c r="C16" s="8" t="s">
        <v>46</v>
      </c>
      <c r="D16" s="28">
        <f>777.35054</f>
        <v>777.35054000000002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>
        <f>2679.21485</f>
        <v>2679.2148499999998</v>
      </c>
    </row>
    <row r="20" spans="1:4" x14ac:dyDescent="0.3">
      <c r="A20" s="4"/>
      <c r="B20" s="9" t="s">
        <v>37</v>
      </c>
      <c r="C20" s="8" t="s">
        <v>49</v>
      </c>
      <c r="D20" s="28">
        <f>818.4</f>
        <v>818.4</v>
      </c>
    </row>
    <row r="21" spans="1:4" x14ac:dyDescent="0.3">
      <c r="A21" s="4"/>
      <c r="B21" s="9" t="s">
        <v>87</v>
      </c>
      <c r="C21" s="8" t="s">
        <v>46</v>
      </c>
      <c r="D21" s="34">
        <f>D19/D20</f>
        <v>3.2737229349951122</v>
      </c>
    </row>
    <row r="22" spans="1:4" x14ac:dyDescent="0.3">
      <c r="A22" s="4"/>
      <c r="B22" s="9" t="s">
        <v>86</v>
      </c>
      <c r="C22" s="8" t="s">
        <v>46</v>
      </c>
      <c r="D22" s="28">
        <f>1092.70517</f>
        <v>1092.70517</v>
      </c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1683.34869+237.05668</f>
        <v>1920.4053699999999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4.2695029969141567</v>
      </c>
    </row>
    <row r="38" spans="1:4" x14ac:dyDescent="0.3">
      <c r="A38" s="4"/>
      <c r="B38" s="33" t="s">
        <v>14</v>
      </c>
      <c r="C38" s="26" t="s">
        <v>51</v>
      </c>
      <c r="D38" s="29">
        <f>395.132+54.664</f>
        <v>449.79599999999999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37.71073+43.32803</f>
        <v>81.038759999999996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v>0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6106.75266+1972.53373+2468.4779+831.25467</f>
        <v>11379.018959999999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46.87428</f>
        <v>46.874279999999999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600+120</f>
        <v>720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3433.93155+41.83368</f>
        <v>3475.76523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100.50266+21.40837</f>
        <v>121.91103000000001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4850.3767400000015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-16048.533440000003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9.68</f>
        <v>9.68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2.383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6.29</f>
        <v>6.29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4.9434+1.7339</f>
        <v>6.6772999999999998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1.01</f>
        <v>1.01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1.27</f>
        <v>1.27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12.9+5.9</f>
        <v>18.8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252.13</f>
        <v>252.13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0.072</f>
        <v>7.1999999999999995E-2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0.21</f>
        <v>0.21</v>
      </c>
    </row>
    <row r="69" spans="1:4" ht="57.6" x14ac:dyDescent="0.3">
      <c r="A69" s="4" t="s">
        <v>32</v>
      </c>
      <c r="B69" s="3" t="s">
        <v>58</v>
      </c>
      <c r="C69" s="8" t="s">
        <v>59</v>
      </c>
      <c r="D69" s="34">
        <v>0.64400000000000002</v>
      </c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A88" s="2"/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  <row r="110" spans="2:3" x14ac:dyDescent="0.3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77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743153.19251000008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716815.78763+26337.40488</f>
        <v>743153.19251000008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891616.08423000004</v>
      </c>
      <c r="F9" s="23">
        <f>852491.03426+39125.04997</f>
        <v>891616.08423000004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443494.76010000001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443494.7601</f>
        <v>443494.76010000001</v>
      </c>
    </row>
    <row r="14" spans="1:6" x14ac:dyDescent="0.3">
      <c r="A14" s="4"/>
      <c r="B14" s="9" t="s">
        <v>37</v>
      </c>
      <c r="C14" s="8" t="s">
        <v>49</v>
      </c>
      <c r="D14" s="28">
        <f>22900.377+12550.338+444.642+1953.236</f>
        <v>37848.592999999993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11.717602292375839</v>
      </c>
    </row>
    <row r="16" spans="1:6" x14ac:dyDescent="0.3">
      <c r="A16" s="4"/>
      <c r="B16" s="9" t="s">
        <v>86</v>
      </c>
      <c r="C16" s="8" t="s">
        <v>46</v>
      </c>
      <c r="D16" s="28">
        <f>306.46197</f>
        <v>306.46197000000001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34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42013.35151</f>
        <v>42013.35151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4.4770216370696385</v>
      </c>
    </row>
    <row r="38" spans="1:4" x14ac:dyDescent="0.3">
      <c r="A38" s="4"/>
      <c r="B38" s="33" t="s">
        <v>14</v>
      </c>
      <c r="C38" s="26" t="s">
        <v>51</v>
      </c>
      <c r="D38" s="29">
        <f>9384.219</f>
        <v>9384.2189999999991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17296.11753</f>
        <v>17296.11753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37.90607</f>
        <v>37.90607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105601.6594+35570.13114</f>
        <v>141171.79054000002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1087.40311</f>
        <v>1087.40311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18707.8453</f>
        <v>18707.845300000001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117469.86705</f>
        <v>117469.86705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3441.16361</f>
        <v>3441.1636100000001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14364.30719</f>
        <v>14364.30719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92531.572219999973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4372.2</v>
      </c>
    </row>
    <row r="53" spans="1:4" x14ac:dyDescent="0.3">
      <c r="A53" s="4"/>
      <c r="B53" s="10" t="s">
        <v>44</v>
      </c>
      <c r="C53" s="8" t="s">
        <v>46</v>
      </c>
      <c r="D53" s="28">
        <f>4372.2</f>
        <v>4372.2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-148462.89171999996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165.62</f>
        <v>165.62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102.21899999999999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274.689</f>
        <v>274.68900000000002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215.8112+7.416</f>
        <v>223.22720000000001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43.64</f>
        <v>43.64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41.88</f>
        <v>41.88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219.8</f>
        <v>219.8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186.4</f>
        <v>186.4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0.034</f>
        <v>3.4000000000000002E-2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v>0.98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78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99608.10484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99608.10484</f>
        <v>99608.10484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151825.17021000001</v>
      </c>
      <c r="F9" s="23">
        <f>151825.17021</f>
        <v>151825.17021000001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67244.661649999995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67244.66165</f>
        <v>67244.661649999995</v>
      </c>
    </row>
    <row r="14" spans="1:6" x14ac:dyDescent="0.3">
      <c r="A14" s="4"/>
      <c r="B14" s="9" t="s">
        <v>37</v>
      </c>
      <c r="C14" s="8" t="s">
        <v>49</v>
      </c>
      <c r="D14" s="28">
        <f>4217.592+1515.497</f>
        <v>5733.0889999999999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11.729219910941552</v>
      </c>
    </row>
    <row r="16" spans="1:6" x14ac:dyDescent="0.3">
      <c r="A16" s="4"/>
      <c r="B16" s="9" t="s">
        <v>86</v>
      </c>
      <c r="C16" s="8" t="s">
        <v>46</v>
      </c>
      <c r="D16" s="28">
        <f>4843.23814</f>
        <v>4843.2381400000004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5621.48913</f>
        <v>5621.4891299999999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4.295118027152931</v>
      </c>
    </row>
    <row r="38" spans="1:4" x14ac:dyDescent="0.3">
      <c r="A38" s="4"/>
      <c r="B38" s="33" t="s">
        <v>14</v>
      </c>
      <c r="C38" s="26" t="s">
        <v>51</v>
      </c>
      <c r="D38" s="29">
        <f>1308.809</f>
        <v>1308.809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810.25022</f>
        <v>810.25022000000001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1.43975</f>
        <v>1.4397500000000001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26629.92207+8903.71413</f>
        <v>35533.636200000001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v>0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2956.32006</f>
        <v>2956.32006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16891.32939</f>
        <v>16891.329389999999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713.69002</f>
        <v>713.69002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22052.353790000008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-52217.065370000011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19.376</f>
        <v>19.376000000000001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12.817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43.39</f>
        <v>43.39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30.8629</f>
        <v>30.8629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7.71</f>
        <v>7.71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6.92</f>
        <v>6.92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v>55.2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178.82</f>
        <v>178.82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</f>
        <v>0.03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v>0.47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zoomScaleNormal="100" workbookViewId="0">
      <pane xSplit="1" ySplit="5" topLeftCell="B66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79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118563.24312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118563.24312</f>
        <v>118563.24312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184193.69673000003</v>
      </c>
      <c r="F9" s="23">
        <f>184193.69673</f>
        <v>184193.69673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87777.783159999992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85750.03416</f>
        <v>85750.034159999996</v>
      </c>
    </row>
    <row r="14" spans="1:6" x14ac:dyDescent="0.3">
      <c r="A14" s="4"/>
      <c r="B14" s="9" t="s">
        <v>37</v>
      </c>
      <c r="C14" s="8" t="s">
        <v>49</v>
      </c>
      <c r="D14" s="28">
        <f>783.164+6544.233</f>
        <v>7327.3969999999999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11.702659779455105</v>
      </c>
    </row>
    <row r="16" spans="1:6" x14ac:dyDescent="0.3">
      <c r="A16" s="4"/>
      <c r="B16" s="9" t="s">
        <v>86</v>
      </c>
      <c r="C16" s="8" t="s">
        <v>46</v>
      </c>
      <c r="D16" s="28">
        <f>2745.59181</f>
        <v>2745.5918099999999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>
        <f>2027.749</f>
        <v>2027.749</v>
      </c>
    </row>
    <row r="26" spans="1:4" x14ac:dyDescent="0.3">
      <c r="A26" s="4"/>
      <c r="B26" s="9" t="s">
        <v>37</v>
      </c>
      <c r="C26" s="8" t="s">
        <v>49</v>
      </c>
      <c r="D26" s="28">
        <f>60.669</f>
        <v>60.668999999999997</v>
      </c>
    </row>
    <row r="27" spans="1:4" x14ac:dyDescent="0.3">
      <c r="A27" s="4"/>
      <c r="B27" s="9" t="s">
        <v>87</v>
      </c>
      <c r="C27" s="8" t="s">
        <v>46</v>
      </c>
      <c r="D27" s="34">
        <f>D25/D26</f>
        <v>33.423148560220213</v>
      </c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6085.1876</f>
        <v>6085.1876000000002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4.2616283190302973</v>
      </c>
    </row>
    <row r="38" spans="1:4" x14ac:dyDescent="0.3">
      <c r="A38" s="4"/>
      <c r="B38" s="33" t="s">
        <v>14</v>
      </c>
      <c r="C38" s="26" t="s">
        <v>51</v>
      </c>
      <c r="D38" s="29">
        <f>1427.902</f>
        <v>1427.902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4591.05477</f>
        <v>4591.0547699999997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4.6937</f>
        <v>4.6936999999999998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27237.55169+9208.82508</f>
        <v>36446.376770000003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165.10814</f>
        <v>165.10813999999999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2865.08989</f>
        <v>2865.0898900000002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18974.2759</f>
        <v>18974.275900000001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580.69003</f>
        <v>580.69002999999998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24.35545</f>
        <v>24.355450000000001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26679.08131999999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2578.6999999999998</v>
      </c>
    </row>
    <row r="53" spans="1:4" x14ac:dyDescent="0.3">
      <c r="A53" s="4"/>
      <c r="B53" s="10" t="s">
        <v>44</v>
      </c>
      <c r="C53" s="8" t="s">
        <v>46</v>
      </c>
      <c r="D53" s="28">
        <f>2578.7</f>
        <v>2578.6999999999998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-65630.453610000026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19.181</f>
        <v>19.181000000000001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13.218999999999999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51.48</f>
        <v>51.48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34.5654</f>
        <v>34.565399999999997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11.87</f>
        <v>11.87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11.7</f>
        <v>11.7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57</f>
        <v>57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194.26</f>
        <v>194.26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0.028</f>
        <v>2.8000000000000001E-2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v>0.7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82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45999.318659999997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45999.31866</f>
        <v>45999.318659999997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74407.080260000002</v>
      </c>
      <c r="F9" s="23">
        <f>74407.08026</f>
        <v>74407.080260000002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34403.013270000003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34403.01327</f>
        <v>34403.013270000003</v>
      </c>
    </row>
    <row r="14" spans="1:6" x14ac:dyDescent="0.3">
      <c r="A14" s="4"/>
      <c r="B14" s="9" t="s">
        <v>37</v>
      </c>
      <c r="C14" s="8" t="s">
        <v>49</v>
      </c>
      <c r="D14" s="28">
        <f>2937.844</f>
        <v>2937.8440000000001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11.710292741888271</v>
      </c>
    </row>
    <row r="16" spans="1:6" x14ac:dyDescent="0.3">
      <c r="A16" s="4"/>
      <c r="B16" s="9" t="s">
        <v>86</v>
      </c>
      <c r="C16" s="8" t="s">
        <v>46</v>
      </c>
      <c r="D16" s="28">
        <f>2585.28529</f>
        <v>2585.2852899999998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2836.76935</f>
        <v>2836.76935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2.5571593211844115</v>
      </c>
    </row>
    <row r="38" spans="1:4" x14ac:dyDescent="0.3">
      <c r="A38" s="4"/>
      <c r="B38" s="33" t="s">
        <v>14</v>
      </c>
      <c r="C38" s="26" t="s">
        <v>51</v>
      </c>
      <c r="D38" s="29">
        <f>1109.344</f>
        <v>1109.3440000000001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2157.75344</f>
        <v>2157.75344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1.57542</f>
        <v>1.57542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12995.99923+4360.28701</f>
        <v>17356.286240000001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71.13018</f>
        <v>71.130179999999996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v>0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6672.16808</f>
        <v>6672.1680800000004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351.58087</f>
        <v>351.58087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10556.803409999995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161.30000000000001</v>
      </c>
    </row>
    <row r="53" spans="1:4" x14ac:dyDescent="0.3">
      <c r="A53" s="4"/>
      <c r="B53" s="10" t="s">
        <v>44</v>
      </c>
      <c r="C53" s="8" t="s">
        <v>46</v>
      </c>
      <c r="D53" s="28">
        <f>161.3</f>
        <v>161.30000000000001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-28407.761600000005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35</f>
        <v>35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6.03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17.57</f>
        <v>17.57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13.6661</f>
        <v>13.6661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3.82</f>
        <v>3.82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4.58</f>
        <v>4.58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27.2</f>
        <v>27.2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226.25</f>
        <v>226.25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0.0625</f>
        <v>6.25E-2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1.3</f>
        <v>1.3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5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10" hidden="1" customWidth="1"/>
  </cols>
  <sheetData>
    <row r="1" spans="1:6" ht="36" customHeight="1" x14ac:dyDescent="0.35">
      <c r="A1" s="44" t="s">
        <v>117</v>
      </c>
      <c r="B1" s="44"/>
      <c r="C1" s="44"/>
      <c r="D1" s="44"/>
    </row>
    <row r="2" spans="1:6" ht="15.6" x14ac:dyDescent="0.3">
      <c r="A2" s="7"/>
      <c r="B2" s="7"/>
      <c r="C2" s="7"/>
      <c r="D2" s="7"/>
    </row>
    <row r="3" spans="1:6" ht="15.75" customHeight="1" x14ac:dyDescent="0.3">
      <c r="A3" s="45" t="s">
        <v>66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223348.44506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223348.44506</f>
        <v>223348.44506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241375.56922</v>
      </c>
      <c r="F9" s="24">
        <f>241375.56922</f>
        <v>241375.56922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135811.0177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135811.0177</f>
        <v>135811.0177</v>
      </c>
    </row>
    <row r="14" spans="1:6" x14ac:dyDescent="0.3">
      <c r="A14" s="4"/>
      <c r="B14" s="9" t="s">
        <v>37</v>
      </c>
      <c r="C14" s="8" t="s">
        <v>49</v>
      </c>
      <c r="D14" s="28">
        <f>11574.292</f>
        <v>11574.291999999999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11.733850994946387</v>
      </c>
    </row>
    <row r="16" spans="1:6" x14ac:dyDescent="0.3">
      <c r="A16" s="4"/>
      <c r="B16" s="9" t="s">
        <v>86</v>
      </c>
      <c r="C16" s="8" t="s">
        <v>46</v>
      </c>
      <c r="D16" s="28">
        <f>3329.52098</f>
        <v>3329.5209799999998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8678.02026</f>
        <v>8678.0202599999993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3.2283604966857111</v>
      </c>
    </row>
    <row r="38" spans="1:4" x14ac:dyDescent="0.3">
      <c r="A38" s="4"/>
      <c r="B38" s="33" t="s">
        <v>14</v>
      </c>
      <c r="C38" s="26" t="s">
        <v>51</v>
      </c>
      <c r="D38" s="29">
        <f>2688.058</f>
        <v>2688.058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1024.47537</f>
        <v>1024.4753700000001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37.10081</f>
        <v>37.100810000000003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23229.06241+7616.27279</f>
        <v>30845.335199999998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v>0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7626.87296</f>
        <v>7626.8729599999997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24876.85196</f>
        <v>24876.85196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3815.5273</f>
        <v>3815.5273000000002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7067.17707</f>
        <v>7067.1770699999997</v>
      </c>
    </row>
    <row r="48" spans="1:4" s="20" customFormat="1" ht="28.8" x14ac:dyDescent="0.3">
      <c r="A48" s="4"/>
      <c r="B48" s="5" t="s">
        <v>124</v>
      </c>
      <c r="C48" s="8" t="s">
        <v>46</v>
      </c>
      <c r="D48" s="28">
        <f>1437.23495</f>
        <v>1437.23495</v>
      </c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21593.190589999998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1679</v>
      </c>
    </row>
    <row r="53" spans="1:4" x14ac:dyDescent="0.3">
      <c r="A53" s="4"/>
      <c r="B53" s="10" t="s">
        <v>44</v>
      </c>
      <c r="C53" s="8" t="s">
        <v>46</v>
      </c>
      <c r="D53" s="28">
        <f>1679</f>
        <v>1679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-18027.124160000007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62.72</f>
        <v>62.72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32.370999999999995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90.41</f>
        <v>90.41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79.1084</f>
        <v>79.108400000000003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7.31</f>
        <v>7.31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7.72</f>
        <v>7.72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46.7</f>
        <v>46.7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173.37</f>
        <v>173.37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</f>
        <v>0.03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v>0.41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85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216706.03641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216706.03641</f>
        <v>216706.03641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224729.17473999999</v>
      </c>
      <c r="F9" s="23">
        <f>224729.17474</f>
        <v>224729.17473999999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152399.51916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138060.55575</f>
        <v>138060.55575</v>
      </c>
    </row>
    <row r="14" spans="1:6" x14ac:dyDescent="0.3">
      <c r="A14" s="4"/>
      <c r="B14" s="9" t="s">
        <v>37</v>
      </c>
      <c r="C14" s="8" t="s">
        <v>49</v>
      </c>
      <c r="D14" s="28">
        <f>11770.408</f>
        <v>11770.407999999999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11.729462203009446</v>
      </c>
    </row>
    <row r="16" spans="1:6" x14ac:dyDescent="0.3">
      <c r="A16" s="4"/>
      <c r="B16" s="9" t="s">
        <v>86</v>
      </c>
      <c r="C16" s="8" t="s">
        <v>46</v>
      </c>
      <c r="D16" s="28">
        <f>507.6125</f>
        <v>507.61250000000001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>
        <v>14338.96341</v>
      </c>
    </row>
    <row r="20" spans="1:4" x14ac:dyDescent="0.3">
      <c r="A20" s="4"/>
      <c r="B20" s="9" t="s">
        <v>37</v>
      </c>
      <c r="C20" s="8" t="s">
        <v>49</v>
      </c>
      <c r="D20" s="28">
        <v>4394.84</v>
      </c>
    </row>
    <row r="21" spans="1:4" x14ac:dyDescent="0.3">
      <c r="A21" s="4"/>
      <c r="B21" s="9" t="s">
        <v>87</v>
      </c>
      <c r="C21" s="8" t="s">
        <v>46</v>
      </c>
      <c r="D21" s="35">
        <f>D19/D20</f>
        <v>3.2626815560976055</v>
      </c>
    </row>
    <row r="22" spans="1:4" x14ac:dyDescent="0.3">
      <c r="A22" s="4"/>
      <c r="B22" s="9" t="s">
        <v>86</v>
      </c>
      <c r="C22" s="8" t="s">
        <v>46</v>
      </c>
      <c r="D22" s="28">
        <f>2137.34182</f>
        <v>2137.3418200000001</v>
      </c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14515.11681</f>
        <v>14515.11681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3.5320453115304593</v>
      </c>
    </row>
    <row r="38" spans="1:4" x14ac:dyDescent="0.3">
      <c r="A38" s="4"/>
      <c r="B38" s="33" t="s">
        <v>14</v>
      </c>
      <c r="C38" s="26" t="s">
        <v>51</v>
      </c>
      <c r="D38" s="29">
        <f>4109.55</f>
        <v>4109.55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1759.61871</f>
        <v>1759.61871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v>0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12240.56063+4199.94785</f>
        <v>16440.50848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v>0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1389.03331</f>
        <v>1389.03331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6945.66636</f>
        <v>6945.6663600000002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59.91686</f>
        <v>59.91686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649.682</f>
        <v>649.68200000000002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30570.113049999993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-8023.138329999987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58.03</f>
        <v>58.03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24.542000000000002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95.24</f>
        <v>95.24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67.2189</f>
        <v>67.218900000000005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8.87</f>
        <v>8.8699999999999992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9.57</f>
        <v>9.57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22</f>
        <v>22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202</f>
        <v>202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0.043</f>
        <v>4.2999999999999997E-2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1</f>
        <v>1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81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12532.29566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12532.29566</f>
        <v>12532.29566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63647.489399999991</v>
      </c>
      <c r="F9" s="23">
        <f>63647.4894</f>
        <v>63647.489399999999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23749.67541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23749.67541</f>
        <v>23749.67541</v>
      </c>
    </row>
    <row r="14" spans="1:6" x14ac:dyDescent="0.3">
      <c r="A14" s="4"/>
      <c r="B14" s="9" t="s">
        <v>37</v>
      </c>
      <c r="C14" s="8" t="s">
        <v>49</v>
      </c>
      <c r="D14" s="28">
        <f>2028.765</f>
        <v>2028.7650000000001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11.706469408728955</v>
      </c>
    </row>
    <row r="16" spans="1:6" x14ac:dyDescent="0.3">
      <c r="A16" s="4"/>
      <c r="B16" s="9" t="s">
        <v>86</v>
      </c>
      <c r="C16" s="8" t="s">
        <v>46</v>
      </c>
      <c r="D16" s="28">
        <f>444.62642</f>
        <v>444.62642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2836.7445</f>
        <v>2836.7444999999998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4.2591586915983264</v>
      </c>
    </row>
    <row r="38" spans="1:4" x14ac:dyDescent="0.3">
      <c r="A38" s="4"/>
      <c r="B38" s="33" t="s">
        <v>14</v>
      </c>
      <c r="C38" s="26" t="s">
        <v>51</v>
      </c>
      <c r="D38" s="29">
        <f>666.034</f>
        <v>666.03399999999999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3560.39016</f>
        <v>3560.3901599999999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9.14742</f>
        <v>9.1474200000000003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15974.39967+5200.52883</f>
        <v>21174.928500000002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v>0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v>0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4305.49592</f>
        <v>4305.4959200000003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128.44358</f>
        <v>128.44358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7882.663909999992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-51115.193739999988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47.12</f>
        <v>47.12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2.7530000000000001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9.71</f>
        <v>9.7100000000000009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6.6907</f>
        <v>6.6906999999999996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3.63</f>
        <v>3.63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2.48</f>
        <v>2.48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29.1</f>
        <v>29.1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282.62</f>
        <v>282.62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0.0685</f>
        <v>6.8500000000000005E-2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3</f>
        <v>3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80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217781.24142000001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216087.2858+1693.95562</f>
        <v>217781.24142000001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258390.30601000006</v>
      </c>
      <c r="F9" s="23">
        <f>255373.67075+3016.63526</f>
        <v>258390.30601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167270.51120000001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167270.5112</f>
        <v>167270.51120000001</v>
      </c>
    </row>
    <row r="14" spans="1:6" x14ac:dyDescent="0.3">
      <c r="A14" s="4"/>
      <c r="B14" s="9" t="s">
        <v>37</v>
      </c>
      <c r="C14" s="8" t="s">
        <v>49</v>
      </c>
      <c r="D14" s="28">
        <f>14281.983</f>
        <v>14281.983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11.711994839932242</v>
      </c>
    </row>
    <row r="16" spans="1:6" x14ac:dyDescent="0.3">
      <c r="A16" s="4"/>
      <c r="B16" s="9" t="s">
        <v>86</v>
      </c>
      <c r="C16" s="8" t="s">
        <v>46</v>
      </c>
      <c r="D16" s="28">
        <f>604.12975</f>
        <v>604.12974999999994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12316.44463</f>
        <v>12316.44463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2.852410816166258</v>
      </c>
    </row>
    <row r="38" spans="1:4" x14ac:dyDescent="0.3">
      <c r="A38" s="4"/>
      <c r="B38" s="33" t="s">
        <v>14</v>
      </c>
      <c r="C38" s="26" t="s">
        <v>51</v>
      </c>
      <c r="D38" s="29">
        <f>4317.907</f>
        <v>4317.9070000000002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5375.54242</f>
        <v>5375.5424199999998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28.45591</f>
        <v>28.455909999999999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19642.24977+6535.90397</f>
        <v>26178.153739999998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6759.69562</f>
        <v>6759.6956200000004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v>0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8563.25844</f>
        <v>8563.2584399999996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2527.35298</f>
        <v>2527.3529800000001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5711.83992</f>
        <v>5711.8399200000003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23659.051149999999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1343.5</v>
      </c>
    </row>
    <row r="53" spans="1:4" x14ac:dyDescent="0.3">
      <c r="A53" s="4"/>
      <c r="B53" s="10" t="s">
        <v>44</v>
      </c>
      <c r="C53" s="8" t="s">
        <v>46</v>
      </c>
      <c r="D53" s="28">
        <f>1343.5</f>
        <v>1343.5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-40609.064590000053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74</f>
        <v>74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30.071000000000002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95.69</f>
        <v>95.69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71.9349+0.589</f>
        <v>72.523899999999998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13.89</f>
        <v>13.89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13.6</f>
        <v>13.6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37.3</f>
        <v>37.299999999999997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201.95</f>
        <v>201.95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0.0445</f>
        <v>4.4499999999999998E-2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0.66</f>
        <v>0.66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workbookViewId="0">
      <pane xSplit="1" ySplit="5" topLeftCell="B72" activePane="bottomRight" state="frozen"/>
      <selection pane="topRight" activeCell="B1" sqref="B1"/>
      <selection pane="bottomLeft" activeCell="A6" sqref="A6"/>
      <selection pane="bottomRight" activeCell="D17" sqref="D17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83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6933.1361699999998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6933.13617</f>
        <v>6933.1361699999998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12358.40841</v>
      </c>
      <c r="F9" s="23">
        <f>12358.40841</f>
        <v>12358.40841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1724.77702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/>
    </row>
    <row r="14" spans="1:6" x14ac:dyDescent="0.3">
      <c r="A14" s="4"/>
      <c r="B14" s="9" t="s">
        <v>37</v>
      </c>
      <c r="C14" s="8" t="s">
        <v>49</v>
      </c>
      <c r="D14" s="28"/>
    </row>
    <row r="15" spans="1:6" x14ac:dyDescent="0.3">
      <c r="A15" s="4"/>
      <c r="B15" s="9" t="s">
        <v>87</v>
      </c>
      <c r="C15" s="8" t="s">
        <v>46</v>
      </c>
      <c r="D15" s="28"/>
    </row>
    <row r="16" spans="1:6" x14ac:dyDescent="0.3">
      <c r="A16" s="4"/>
      <c r="B16" s="9" t="s">
        <v>86</v>
      </c>
      <c r="C16" s="8" t="s">
        <v>46</v>
      </c>
      <c r="D16" s="28"/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>
        <f>1724.77702</f>
        <v>1724.77702</v>
      </c>
    </row>
    <row r="20" spans="1:4" x14ac:dyDescent="0.3">
      <c r="A20" s="4"/>
      <c r="B20" s="9" t="s">
        <v>37</v>
      </c>
      <c r="C20" s="8" t="s">
        <v>49</v>
      </c>
      <c r="D20" s="28">
        <f>525.78</f>
        <v>525.78</v>
      </c>
    </row>
    <row r="21" spans="1:4" x14ac:dyDescent="0.3">
      <c r="A21" s="4"/>
      <c r="B21" s="9" t="s">
        <v>87</v>
      </c>
      <c r="C21" s="8" t="s">
        <v>46</v>
      </c>
      <c r="D21" s="34">
        <f>D19/D20</f>
        <v>3.280415801285709</v>
      </c>
    </row>
    <row r="22" spans="1:4" x14ac:dyDescent="0.3">
      <c r="A22" s="4"/>
      <c r="B22" s="9" t="s">
        <v>86</v>
      </c>
      <c r="C22" s="8" t="s">
        <v>46</v>
      </c>
      <c r="D22" s="28">
        <f>474.42835</f>
        <v>474.42835000000002</v>
      </c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498.40479</f>
        <v>498.40478999999999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4.2249509608619356</v>
      </c>
    </row>
    <row r="38" spans="1:4" x14ac:dyDescent="0.3">
      <c r="A38" s="4"/>
      <c r="B38" s="33" t="s">
        <v>14</v>
      </c>
      <c r="C38" s="26" t="s">
        <v>51</v>
      </c>
      <c r="D38" s="29">
        <f>117.967</f>
        <v>117.967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20.44322</f>
        <v>20.44322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4.7616</f>
        <v>4.7615999999999996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2582.1024+875.20192</f>
        <v>3457.3043200000002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1583.2524</f>
        <v>1583.2524000000001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v>0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942.43294</f>
        <v>942.43294000000003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664.29938</f>
        <v>664.29938000000004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3462.7327399999999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-5425.2722400000002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1.72</f>
        <v>1.72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0.58599999999999997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1.8</f>
        <v>1.8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2.0435</f>
        <v>2.0434999999999999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43">
        <f>0.04</f>
        <v>0.04</v>
      </c>
    </row>
    <row r="63" spans="1:4" x14ac:dyDescent="0.3">
      <c r="A63" s="4" t="s">
        <v>27</v>
      </c>
      <c r="B63" s="3" t="s">
        <v>112</v>
      </c>
      <c r="C63" s="8" t="s">
        <v>60</v>
      </c>
      <c r="D63" s="43">
        <v>0.06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6</f>
        <v>6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216.52</f>
        <v>216.52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0.066</f>
        <v>6.6000000000000003E-2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0.16</f>
        <v>0.16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3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122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10700.501039999999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10700.50104</f>
        <v>10700.501039999999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19348.809089999999</v>
      </c>
      <c r="F9" s="23">
        <f>19348.80909</f>
        <v>19348.809089999999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7138.1558599999998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7138.15586</f>
        <v>7138.1558599999998</v>
      </c>
    </row>
    <row r="14" spans="1:6" x14ac:dyDescent="0.3">
      <c r="A14" s="4"/>
      <c r="B14" s="9" t="s">
        <v>37</v>
      </c>
      <c r="C14" s="8" t="s">
        <v>49</v>
      </c>
      <c r="D14" s="28">
        <f>610.047</f>
        <v>610.04700000000003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11.700993300516188</v>
      </c>
    </row>
    <row r="16" spans="1:6" x14ac:dyDescent="0.3">
      <c r="A16" s="4"/>
      <c r="B16" s="9" t="s">
        <v>86</v>
      </c>
      <c r="C16" s="8" t="s">
        <v>46</v>
      </c>
      <c r="D16" s="28">
        <f>495.11549</f>
        <v>495.11549000000002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1281.58536</f>
        <v>1281.58536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4.2330634570413146</v>
      </c>
    </row>
    <row r="38" spans="1:4" x14ac:dyDescent="0.3">
      <c r="A38" s="4"/>
      <c r="B38" s="33" t="s">
        <v>14</v>
      </c>
      <c r="C38" s="26" t="s">
        <v>51</v>
      </c>
      <c r="D38" s="29">
        <f>302.756</f>
        <v>302.75599999999997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801.02085</f>
        <v>801.02085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v>0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4326.00572+1447.12483</f>
        <v>5773.1305499999999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773.79024</f>
        <v>773.79024000000004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v>0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1050.46417</f>
        <v>1050.46417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202.81449</f>
        <v>202.81449000000001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2327.8475699999985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-8648.3080499999996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2.48</f>
        <v>2.48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1.732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4.06</f>
        <v>4.0599999999999996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6">
        <f>3.7357</f>
        <v>3.7357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6">
        <f>0.77</f>
        <v>0.77</v>
      </c>
    </row>
    <row r="63" spans="1:4" x14ac:dyDescent="0.3">
      <c r="A63" s="4" t="s">
        <v>27</v>
      </c>
      <c r="B63" s="3" t="s">
        <v>112</v>
      </c>
      <c r="C63" s="8" t="s">
        <v>60</v>
      </c>
      <c r="D63" s="6">
        <f>0.72</f>
        <v>0.72</v>
      </c>
    </row>
    <row r="64" spans="1:4" x14ac:dyDescent="0.3">
      <c r="A64" s="4" t="s">
        <v>28</v>
      </c>
      <c r="B64" s="3" t="s">
        <v>55</v>
      </c>
      <c r="C64" s="8" t="s">
        <v>54</v>
      </c>
      <c r="D64" s="6">
        <f>9.1</f>
        <v>9.1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203.62</f>
        <v>203.62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0.075</f>
        <v>7.4999999999999997E-2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1.9</f>
        <v>1.9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C62" sqref="C62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123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45707.79911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45707.79911</f>
        <v>45707.79911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52801.001830000001</v>
      </c>
      <c r="F9" s="23">
        <f>52801.00183</f>
        <v>52801.001830000001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33313.634879999998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33313.63488</f>
        <v>33313.634879999998</v>
      </c>
    </row>
    <row r="14" spans="1:6" x14ac:dyDescent="0.3">
      <c r="A14" s="4"/>
      <c r="B14" s="9" t="s">
        <v>37</v>
      </c>
      <c r="C14" s="8" t="s">
        <v>49</v>
      </c>
      <c r="D14" s="28">
        <f>2662.616</f>
        <v>2662.616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12.511618228088466</v>
      </c>
    </row>
    <row r="16" spans="1:6" x14ac:dyDescent="0.3">
      <c r="A16" s="4"/>
      <c r="B16" s="9" t="s">
        <v>86</v>
      </c>
      <c r="C16" s="8" t="s">
        <v>46</v>
      </c>
      <c r="D16" s="28">
        <f>1574.28154</f>
        <v>1574.2815399999999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2350.48496</f>
        <v>2350.4849599999998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4.5310204065896356</v>
      </c>
    </row>
    <row r="38" spans="1:4" x14ac:dyDescent="0.3">
      <c r="A38" s="4"/>
      <c r="B38" s="33" t="s">
        <v>14</v>
      </c>
      <c r="C38" s="26" t="s">
        <v>51</v>
      </c>
      <c r="D38" s="29">
        <f>518.754</f>
        <v>518.75400000000002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566.48129</f>
        <v>566.48128999999994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v>0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5637.96454+1861.95295</f>
        <v>7499.9174899999998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v>0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v>0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2210.32378</f>
        <v>2210.3237800000002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2371.20074</f>
        <v>2371.2007400000002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5" x14ac:dyDescent="0.3">
      <c r="A49" s="4"/>
      <c r="B49" s="5"/>
      <c r="C49" s="8" t="s">
        <v>46</v>
      </c>
      <c r="D49" s="28"/>
    </row>
    <row r="50" spans="1:5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4488.9586900000013</v>
      </c>
    </row>
    <row r="51" spans="1:5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5" ht="28.8" x14ac:dyDescent="0.3">
      <c r="A52" s="4" t="s">
        <v>18</v>
      </c>
      <c r="B52" s="3" t="s">
        <v>53</v>
      </c>
      <c r="C52" s="8" t="s">
        <v>46</v>
      </c>
      <c r="D52" s="27">
        <f>D53</f>
        <v>197605</v>
      </c>
    </row>
    <row r="53" spans="1:5" x14ac:dyDescent="0.3">
      <c r="A53" s="4"/>
      <c r="B53" s="10" t="s">
        <v>44</v>
      </c>
      <c r="C53" s="8" t="s">
        <v>46</v>
      </c>
      <c r="D53" s="28">
        <f>197605</f>
        <v>197605</v>
      </c>
      <c r="E53" t="s">
        <v>128</v>
      </c>
    </row>
    <row r="54" spans="1:5" x14ac:dyDescent="0.3">
      <c r="A54" s="4"/>
      <c r="B54" s="10" t="s">
        <v>45</v>
      </c>
      <c r="C54" s="8" t="s">
        <v>46</v>
      </c>
      <c r="D54" s="28"/>
    </row>
    <row r="55" spans="1:5" ht="28.8" x14ac:dyDescent="0.3">
      <c r="A55" s="18" t="s">
        <v>19</v>
      </c>
      <c r="B55" s="16" t="s">
        <v>105</v>
      </c>
      <c r="C55" s="17" t="s">
        <v>46</v>
      </c>
      <c r="D55" s="27">
        <f>D6-D9</f>
        <v>-7093.2027200000011</v>
      </c>
    </row>
    <row r="56" spans="1:5" ht="57.6" x14ac:dyDescent="0.3">
      <c r="A56" s="4" t="s">
        <v>20</v>
      </c>
      <c r="B56" s="3" t="s">
        <v>33</v>
      </c>
      <c r="C56" s="8"/>
      <c r="D56" s="6"/>
    </row>
    <row r="57" spans="1:5" ht="43.2" x14ac:dyDescent="0.3">
      <c r="A57" s="4" t="s">
        <v>21</v>
      </c>
      <c r="B57" s="3" t="s">
        <v>106</v>
      </c>
      <c r="C57" s="8" t="s">
        <v>63</v>
      </c>
      <c r="D57" s="28">
        <f>41.73</f>
        <v>41.73</v>
      </c>
    </row>
    <row r="58" spans="1:5" ht="28.8" x14ac:dyDescent="0.3">
      <c r="A58" s="4" t="s">
        <v>22</v>
      </c>
      <c r="B58" s="3" t="s">
        <v>107</v>
      </c>
      <c r="C58" s="8" t="s">
        <v>63</v>
      </c>
      <c r="D58" s="6">
        <v>17.086224544444445</v>
      </c>
    </row>
    <row r="59" spans="1:5" ht="28.8" x14ac:dyDescent="0.3">
      <c r="A59" s="4" t="s">
        <v>23</v>
      </c>
      <c r="B59" s="3" t="s">
        <v>108</v>
      </c>
      <c r="C59" s="8" t="s">
        <v>62</v>
      </c>
      <c r="D59" s="6">
        <f>20.68</f>
        <v>20.68</v>
      </c>
    </row>
    <row r="60" spans="1:5" ht="28.8" x14ac:dyDescent="0.3">
      <c r="A60" s="4" t="s">
        <v>24</v>
      </c>
      <c r="B60" s="3" t="s">
        <v>109</v>
      </c>
      <c r="C60" s="8" t="s">
        <v>62</v>
      </c>
      <c r="D60" s="6">
        <v>0</v>
      </c>
    </row>
    <row r="61" spans="1:5" ht="57.6" x14ac:dyDescent="0.3">
      <c r="A61" s="4" t="s">
        <v>25</v>
      </c>
      <c r="B61" s="3" t="s">
        <v>110</v>
      </c>
      <c r="C61" s="8" t="s">
        <v>62</v>
      </c>
      <c r="D61" s="6">
        <f>15.4896</f>
        <v>15.489599999999999</v>
      </c>
    </row>
    <row r="62" spans="1:5" ht="43.2" x14ac:dyDescent="0.3">
      <c r="A62" s="4" t="s">
        <v>26</v>
      </c>
      <c r="B62" s="3" t="s">
        <v>111</v>
      </c>
      <c r="C62" s="8" t="s">
        <v>61</v>
      </c>
      <c r="D62" s="49"/>
    </row>
    <row r="63" spans="1:5" x14ac:dyDescent="0.3">
      <c r="A63" s="4" t="s">
        <v>27</v>
      </c>
      <c r="B63" s="3" t="s">
        <v>112</v>
      </c>
      <c r="C63" s="8" t="s">
        <v>60</v>
      </c>
      <c r="D63" s="6">
        <f>2.3</f>
        <v>2.2999999999999998</v>
      </c>
    </row>
    <row r="64" spans="1:5" x14ac:dyDescent="0.3">
      <c r="A64" s="4" t="s">
        <v>28</v>
      </c>
      <c r="B64" s="3" t="s">
        <v>55</v>
      </c>
      <c r="C64" s="8" t="s">
        <v>54</v>
      </c>
      <c r="D64" s="28">
        <f>11.2</f>
        <v>11.2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174.71</f>
        <v>174.71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0.025</f>
        <v>2.5000000000000001E-2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0.42</f>
        <v>0.42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zoomScaleNormal="100"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D62" sqref="D62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11.4414062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6" t="s">
        <v>2</v>
      </c>
      <c r="B3" s="46"/>
      <c r="C3" s="46"/>
      <c r="D3" s="46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7422063.2472400004</v>
      </c>
      <c r="F6" s="23">
        <v>7196046.1768650003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г.Мурманск!D7+г.п.Кола!D7+г.п.Молочный!D7+г.п.Мурмаши!D7+г.п.Верхнетуломский!D7+'г.п.Кильдинстрой-Шонгуй'!D7+с.п.Ловозеро!D7+г.п.Ревда!D7+н.п.Высокий!D7+г.Гаджиево!D7+г.Североморск!D7+г.п.Никель!D7+г.Полярный!D7+г.Снежногорск!D7+с.п.Териберка!D7+г.Кандалакша!D7+с.п.Умба!D7+с.п.Зеленоборский!D7+с.п.Ёнский!D7+Росляково!D7+'с.п.Белое море'!D7+'Нива-3'!D7+Лопарская!D7+'Ура-Губа'!D7+Видяево!D7</f>
        <v>7422063.2472400004</v>
      </c>
    </row>
    <row r="8" spans="1:6" x14ac:dyDescent="0.3">
      <c r="A8" s="4" t="s">
        <v>5</v>
      </c>
      <c r="B8" s="5" t="s">
        <v>3</v>
      </c>
      <c r="C8" s="8" t="s">
        <v>46</v>
      </c>
      <c r="D8" s="28">
        <f>г.Мурманск!D8+г.п.Кола!D8+г.п.Молочный!D8+г.п.Мурмаши!D8+г.п.Верхнетуломский!D8+'г.п.Кильдинстрой-Шонгуй'!D8+с.п.Ловозеро!D8+г.п.Ревда!D8+н.п.Высокий!D8+г.Гаджиево!D8+г.Североморск!D8+г.п.Никель!D8+г.Полярный!D8+г.Снежногорск!D8+с.п.Териберка!D8+г.Кандалакша!D8+с.п.Умба!D8+с.п.Зеленоборский!D8+с.п.Ёнский!D8+Росляково!D8+'с.п.Белое море'!D8+'Нива-3'!D8+Лопарская!D8+'Ура-Губа'!D8</f>
        <v>0</v>
      </c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г.Мурманск!D9+г.п.Кола!D9+г.п.Молочный!D9+г.п.Мурмаши!D9+г.п.Верхнетуломский!D9+'г.п.Кильдинстрой-Шонгуй'!D9+с.п.Ловозеро!D9+г.п.Ревда!D9+н.п.Высокий!D9+г.Гаджиево!D9+г.Североморск!D9+г.п.Никель!D9+г.Полярный!D9+г.Снежногорск!D9+с.п.Териберка!D9+г.Кандалакша!D9+с.п.Умба!D9+с.п.Зеленоборский!D9+с.п.Ёнский!D9+Росляково!D9+'с.п.Белое море'!D9+'Нива-3'!D9+Лопарская!D9+'Ура-Губа'!D9+Видяево!D9</f>
        <v>8268754.4517000001</v>
      </c>
      <c r="F9" s="23">
        <v>6610895.8460999997</v>
      </c>
    </row>
    <row r="10" spans="1:6" x14ac:dyDescent="0.3">
      <c r="A10" s="4" t="s">
        <v>90</v>
      </c>
      <c r="B10" s="3" t="s">
        <v>7</v>
      </c>
      <c r="C10" s="8" t="s">
        <v>46</v>
      </c>
      <c r="D10" s="28"/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4824003.7671600003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г.Мурманск!D13+г.п.Кола!D13+г.п.Молочный!D13+г.п.Мурмаши!D13+г.п.Верхнетуломский!D13+'г.п.Кильдинстрой-Шонгуй'!D13+с.п.Ловозеро!D13+г.п.Ревда!D13+н.п.Высокий!D13+г.Гаджиево!D13+г.Североморск!D13+г.п.Никель!D13+г.Полярный!D13+г.Снежногорск!D13+с.п.Териберка!D13+г.Кандалакша!D13+с.п.Умба!D13+с.п.Зеленоборский!D13+с.п.Ёнский!D13+Росляково!D13+'с.п.Белое море'!D13+'Нива-3'!D13+Лопарская!D13+'Ура-Губа'!D13+Видяево!D13</f>
        <v>4762974.2788700005</v>
      </c>
    </row>
    <row r="14" spans="1:6" x14ac:dyDescent="0.3">
      <c r="A14" s="4"/>
      <c r="B14" s="9" t="s">
        <v>37</v>
      </c>
      <c r="C14" s="8" t="s">
        <v>49</v>
      </c>
      <c r="D14" s="28">
        <f>г.Мурманск!D14+г.п.Кола!D14+г.п.Молочный!D14+г.п.Мурмаши!D14+г.п.Верхнетуломский!D14+'г.п.Кильдинстрой-Шонгуй'!D14+с.п.Ловозеро!D14+г.п.Ревда!D14+н.п.Высокий!D14+г.Гаджиево!D14+г.Североморск!D14+г.п.Никель!D14+г.Полярный!D14+г.Снежногорск!D14+с.п.Териберка!D14+г.Кандалакша!D14+с.п.Умба!D14+с.п.Зеленоборский!D14+с.п.Ёнский!D14+Росляково!D14+'с.п.Белое море'!D14+'Нива-3'!D14+Лопарская!D14+'Ура-Губа'!D14+Видяево!D14</f>
        <v>405690.38299999997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11.740417023565483</v>
      </c>
    </row>
    <row r="16" spans="1:6" x14ac:dyDescent="0.3">
      <c r="A16" s="4"/>
      <c r="B16" s="9" t="s">
        <v>86</v>
      </c>
      <c r="C16" s="8" t="s">
        <v>46</v>
      </c>
      <c r="D16" s="28">
        <f>г.Мурманск!D16+г.п.Кола!D16+г.п.Молочный!D16+г.п.Мурмаши!D16+г.п.Верхнетуломский!D16+'г.п.Кильдинстрой-Шонгуй'!D16+с.п.Ловозеро!D16+г.п.Ревда!D16+н.п.Высокий!D16+г.Гаджиево!D16+г.Североморск!D16+г.п.Никель!D16+г.Полярный!D16+г.Снежногорск!D16+с.п.Териберка!D16+г.Кандалакша!D16+с.п.Умба!D16+с.п.Зеленоборский!D16+с.п.Ёнский!D16+Росляково!D16+'с.п.Белое море'!D16+'Нива-3'!D16+Лопарская!D16+'Ура-Губа'!D16+Видяево!D16</f>
        <v>55618.162289999993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>
        <f>г.Мурманск!D19+г.п.Кола!D19+г.п.Молочный!D19+г.п.Мурмаши!D19+г.п.Верхнетуломский!D19+'г.п.Кильдинстрой-Шонгуй'!D19+с.п.Ловозеро!D19+г.п.Ревда!D19+н.п.Высокий!D19+г.Гаджиево!D19+г.Североморск!D19+г.п.Никель!D19+г.Полярный!D19+г.Снежногорск!D19+с.п.Териберка!D19+г.Кандалакша!D19+с.п.Умба!D19+с.п.Зеленоборский!D19+с.п.Ёнский!D19+Росляково!D19+'с.п.Белое море'!D19+'Нива-3'!D19+Лопарская!D19+'Ура-Губа'!D19+Видяево!D19</f>
        <v>22682.538780000003</v>
      </c>
    </row>
    <row r="20" spans="1:4" x14ac:dyDescent="0.3">
      <c r="A20" s="4"/>
      <c r="B20" s="9" t="s">
        <v>37</v>
      </c>
      <c r="C20" s="8" t="s">
        <v>49</v>
      </c>
      <c r="D20" s="28">
        <f>г.Мурманск!D20+г.п.Кола!D20+г.п.Молочный!D20+г.п.Мурмаши!D20+г.п.Верхнетуломский!D20+'г.п.Кильдинстрой-Шонгуй'!D20+с.п.Ловозеро!D20+г.п.Ревда!D20+н.п.Высокий!D20+г.Гаджиево!D20+г.Североморск!D20+г.п.Никель!D20+г.Полярный!D20+г.Снежногорск!D20+с.п.Териберка!D20+г.Кандалакша!D20+с.п.Умба!D20+с.п.Зеленоборский!D20+с.п.Ёнский!D20+Росляково!D20+'с.п.Белое море'!D20+'Нива-3'!D20+Лопарская!D20+'Ура-Губа'!D20</f>
        <v>6932.4170000000004</v>
      </c>
    </row>
    <row r="21" spans="1:4" x14ac:dyDescent="0.3">
      <c r="A21" s="4"/>
      <c r="B21" s="9" t="s">
        <v>87</v>
      </c>
      <c r="C21" s="8" t="s">
        <v>46</v>
      </c>
      <c r="D21" s="34">
        <f>D19/D20</f>
        <v>3.2719524489077911</v>
      </c>
    </row>
    <row r="22" spans="1:4" x14ac:dyDescent="0.3">
      <c r="A22" s="4"/>
      <c r="B22" s="9" t="s">
        <v>86</v>
      </c>
      <c r="C22" s="8" t="s">
        <v>46</v>
      </c>
      <c r="D22" s="28">
        <f>г.Мурманск!D22+г.п.Кола!D22+г.п.Молочный!D22+г.п.Мурмаши!D22+г.п.Верхнетуломский!D22+'г.п.Кильдинстрой-Шонгуй'!D22+с.п.Ловозеро!D22+г.п.Ревда!D22+н.п.Высокий!D22+г.Гаджиево!D22+г.Североморск!D22+г.п.Никель!D22+г.Полярный!D22+г.Снежногорск!D22+с.п.Териберка!D22+г.Кандалакша!D22+с.п.Умба!D22+с.п.Зеленоборский!D22+с.п.Ёнский!D22+Росляково!D22+'с.п.Белое море'!D22+'Нива-3'!D22+Лопарская!D22+'Ура-Губа'!D22</f>
        <v>4373.5680000000002</v>
      </c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>
        <f>г.Мурманск!D25+г.п.Кола!D25+г.п.Молочный!D25+г.п.Мурмаши!D25+г.п.Верхнетуломский!D25+'г.п.Кильдинстрой-Шонгуй'!D25+с.п.Ловозеро!D25+г.п.Ревда!D25+н.п.Высокий!D25+г.Гаджиево!D25+г.Североморск!D25+г.п.Никель!D25+г.Полярный!D25+г.Снежногорск!D25+с.п.Териберка!D25+г.Кандалакша!D25+с.п.Умба!D25+с.п.Зеленоборский!D25+с.п.Ёнский!D25+Росляково!D25+'с.п.Белое море'!D25+'Нива-3'!D25+Лопарская!D25+'Ура-Губа'!D25+Видяево!D25</f>
        <v>9123.7758200000007</v>
      </c>
    </row>
    <row r="26" spans="1:4" x14ac:dyDescent="0.3">
      <c r="A26" s="4"/>
      <c r="B26" s="9" t="s">
        <v>37</v>
      </c>
      <c r="C26" s="8" t="s">
        <v>49</v>
      </c>
      <c r="D26" s="28">
        <f>г.Мурманск!D26+г.п.Кола!D26+г.п.Молочный!D26+г.п.Мурмаши!D26+г.п.Верхнетуломский!D26+'г.п.Кильдинстрой-Шонгуй'!D26+с.п.Ловозеро!D26+г.п.Ревда!D26+н.п.Высокий!D26+г.Гаджиево!D26+г.Североморск!D26+г.п.Никель!D26+г.Полярный!D26+г.Снежногорск!D26+с.п.Териберка!D26+г.Кандалакша!D26+с.п.Умба!D26+с.п.Зеленоборский!D26+с.п.Ёнский!D26+Росляково!D26+'с.п.Белое море'!D26+'Нива-3'!D26+Лопарская!D26+'Ура-Губа'!D26</f>
        <v>271.86200000000002</v>
      </c>
    </row>
    <row r="27" spans="1:4" x14ac:dyDescent="0.3">
      <c r="A27" s="4"/>
      <c r="B27" s="9" t="s">
        <v>87</v>
      </c>
      <c r="C27" s="8" t="s">
        <v>46</v>
      </c>
      <c r="D27" s="34">
        <f>D25/D26</f>
        <v>33.560320383135561</v>
      </c>
    </row>
    <row r="28" spans="1:4" x14ac:dyDescent="0.3">
      <c r="A28" s="4"/>
      <c r="B28" s="9" t="s">
        <v>86</v>
      </c>
      <c r="C28" s="8" t="s">
        <v>46</v>
      </c>
      <c r="D28" s="28">
        <f>г.Мурманск!D28+г.п.Кола!D28+г.п.Молочный!D28+г.п.Мурмаши!D28+г.п.Верхнетуломский!D28+'г.п.Кильдинстрой-Шонгуй'!D28+с.п.Ловозеро!D28+г.п.Ревда!D28+н.п.Высокий!D28+г.Гаджиево!D28+г.Североморск!D28+г.п.Никель!D28+г.Полярный!D28+г.Снежногорск!D28+с.п.Териберка!D28+г.Кандалакша!D28+с.п.Умба!D28+с.п.Зеленоборский!D28+с.п.Ёнский!D28+Росляково!D28+'с.п.Белое море'!D28+'Нива-3'!D28+Лопарская!D28+'Ура-Губа'!D28</f>
        <v>0</v>
      </c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>
        <f>г.Мурманск!D31+г.п.Кола!D31+г.п.Молочный!D31+г.п.Мурмаши!D31+г.п.Верхнетуломский!D31+'г.п.Кильдинстрой-Шонгуй'!D31+с.п.Ловозеро!D31+г.п.Ревда!D31+н.п.Высокий!D31+г.Гаджиево!D31+г.Североморск!D31+г.п.Никель!D31+г.Полярный!D31+г.Снежногорск!D31+с.п.Териберка!D31+г.Кандалакша!D31+с.п.Умба!D31+с.п.Зеленоборский!D31+с.п.Ёнский!D31+Росляково!D31+'с.п.Белое море'!D31+'Нива-3'!D31+Лопарская!D31+'Ура-Губа'!D31</f>
        <v>29223.17369</v>
      </c>
    </row>
    <row r="32" spans="1:4" x14ac:dyDescent="0.3">
      <c r="A32" s="4"/>
      <c r="B32" s="9" t="s">
        <v>37</v>
      </c>
      <c r="C32" s="8" t="s">
        <v>49</v>
      </c>
      <c r="D32" s="28">
        <f>г.Мурманск!D32+г.п.Кола!D32+г.п.Молочный!D32+г.п.Мурмаши!D32+г.п.Верхнетуломский!D32+'г.п.Кильдинстрой-Шонгуй'!D32+с.п.Ловозеро!D32+г.п.Ревда!D32+н.п.Высокий!D32+г.Гаджиево!D32+г.Североморск!D32+г.п.Никель!D32+г.Полярный!D32+г.Снежногорск!D32+с.п.Териберка!D32+г.Кандалакша!D32+с.п.Умба!D32+с.п.Зеленоборский!D32+с.п.Ёнский!D32+Росляково!D32+'с.п.Белое море'!D32+'Нива-3'!D32+Лопарская!D32+'Ура-Губа'!D32</f>
        <v>1617.633</v>
      </c>
    </row>
    <row r="33" spans="1:4" x14ac:dyDescent="0.3">
      <c r="A33" s="4"/>
      <c r="B33" s="9" t="s">
        <v>87</v>
      </c>
      <c r="C33" s="8" t="s">
        <v>46</v>
      </c>
      <c r="D33" s="34">
        <f>D31/D32</f>
        <v>18.065391649403789</v>
      </c>
    </row>
    <row r="34" spans="1:4" x14ac:dyDescent="0.3">
      <c r="A34" s="4"/>
      <c r="B34" s="9" t="s">
        <v>86</v>
      </c>
      <c r="C34" s="8" t="s">
        <v>46</v>
      </c>
      <c r="D34" s="28">
        <f>г.Мурманск!D34+г.п.Кола!D34+г.п.Молочный!D34+г.п.Мурмаши!D34+г.п.Верхнетуломский!D34+'г.п.Кильдинстрой-Шонгуй'!D34+с.п.Ловозеро!D34+г.п.Ревда!D34+н.п.Высокий!D34+г.Гаджиево!D34+г.Североморск!D34+г.п.Никель!D34+г.Полярный!D34+г.Снежногорск!D34+с.п.Териберка!D34+г.Кандалакша!D34+с.п.Умба!D34+с.п.Зеленоборский!D34+с.п.Ёнский!D34+Росляково!D34+'с.п.Белое море'!D34+'Нива-3'!D34+Лопарская!D34+'Ура-Губа'!D34</f>
        <v>0</v>
      </c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г.Мурманск!D36+г.п.Кола!D36+г.п.Молочный!D36+г.п.Мурмаши!D36+г.п.Верхнетуломский!D36+'г.п.Кильдинстрой-Шонгуй'!D36+с.п.Ловозеро!D36+г.п.Ревда!D36+н.п.Высокий!D36+г.Гаджиево!D36+г.Североморск!D36+г.п.Никель!D36+г.Полярный!D36+г.Снежногорск!D36+с.п.Териберка!D36+г.Кандалакша!D36+с.п.Умба!D36+с.п.Зеленоборский!D36+с.п.Ёнский!D36+Росляково!D36+'с.п.Белое море'!D36+'Нива-3'!D36+Лопарская!D36+'Ура-Губа'!D36+Видяево!D36</f>
        <v>413752.66175999999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3.659563215741835</v>
      </c>
    </row>
    <row r="38" spans="1:4" x14ac:dyDescent="0.3">
      <c r="A38" s="4"/>
      <c r="B38" s="33" t="s">
        <v>14</v>
      </c>
      <c r="C38" s="26" t="s">
        <v>51</v>
      </c>
      <c r="D38" s="29">
        <f>г.Мурманск!D38+г.п.Кола!D38+г.п.Молочный!D38+г.п.Мурмаши!D38+г.п.Верхнетуломский!D38+'г.п.Кильдинстрой-Шонгуй'!D38+с.п.Ловозеро!D38+г.п.Ревда!D38+н.п.Высокий!D38+г.Гаджиево!D38+г.Североморск!D38+г.п.Никель!D38+г.Полярный!D38+г.Снежногорск!D38+с.п.Териберка!D38+г.Кандалакша!D38+с.п.Умба!D38+с.п.Зеленоборский!D38+с.п.Ёнский!D38+Росляково!D38+'с.п.Белое море'!D38+'Нива-3'!D38+Лопарская!D38+'Ура-Губа'!D38+Видяево!D38</f>
        <v>113060.66800000001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г.Мурманск!D39+г.п.Кола!D39+г.п.Молочный!D39+г.п.Мурмаши!D39+г.п.Верхнетуломский!D39+'г.п.Кильдинстрой-Шонгуй'!D39+с.п.Ловозеро!D39+г.п.Ревда!D39+н.п.Высокий!D39+г.Гаджиево!D39+г.Североморск!D39+г.п.Никель!D39+г.Полярный!D39+г.Снежногорск!D39+с.п.Териберка!D39+г.Кандалакша!D39+с.п.Умба!D39+с.п.Зеленоборский!D39+с.п.Ёнский!D39+Росляково!D39+'с.п.Белое море'!D39+'Нива-3'!D39+Лопарская!D39+'Ура-Губа'!D39+Видяево!D39</f>
        <v>94781.215589999978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г.Мурманск!D40+г.п.Кола!D40+г.п.Молочный!D40+г.п.Мурмаши!D40+г.п.Верхнетуломский!D40+'г.п.Кильдинстрой-Шонгуй'!D40+с.п.Ловозеро!D40+г.п.Ревда!D40+н.п.Высокий!D40+г.Гаджиево!D40+г.Североморск!D40+г.п.Никель!D40+г.Полярный!D40+г.Снежногорск!D40+с.п.Териберка!D40+г.Кандалакша!D40+с.п.Умба!D40+с.п.Зеленоборский!D40+с.п.Ёнский!D40+Росляково!D40+'с.п.Белое море'!D40+'Нива-3'!D40+Лопарская!D40+'Ура-Губа'!D40+Видяево!D40</f>
        <v>2201.4362299999993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32">
        <f>г.Мурманск!D41+г.п.Кола!D41+г.п.Молочный!D41+г.п.Мурмаши!D41+г.п.Верхнетуломский!D41+'г.п.Кильдинстрой-Шонгуй'!D41+с.п.Ловозеро!D41+г.п.Ревда!D41+н.п.Высокий!D41+г.Гаджиево!D41+г.Североморск!D41+г.п.Никель!D41+г.Полярный!D41+г.Снежногорск!D41+с.п.Териберка!D41+г.Кандалакша!D41+с.п.Умба!D41+с.п.Зеленоборский!D41+с.п.Ёнский!D41+Росляково!D41+'с.п.Белое море'!D41+'Нива-3'!D41+Лопарская!D41+'Ура-Губа'!D41+Видяево!D41</f>
        <v>1062655.3960299997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f>г.Мурманск!D42+г.п.Кола!D42+г.п.Молочный!D42+г.п.Мурмаши!D42+г.п.Верхнетуломский!D42+'г.п.Кильдинстрой-Шонгуй'!D42+с.п.Ловозеро!D42+г.п.Ревда!D42+н.п.Высокий!D42+г.Гаджиево!D42+г.Североморск!D42+г.п.Никель!D42+г.Полярный!D42+г.Снежногорск!D42+с.п.Териберка!D42+г.Кандалакша!D42+с.п.Умба!D42+с.п.Зеленоборский!D42+с.п.Ёнский!D42+Росляково!D42+'с.п.Белое море'!D42+'Нива-3'!D42+Лопарская!D42+'Ура-Губа'!D42+Видяево!D42</f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г.Мурманск!D43+г.п.Кола!D43+г.п.Молочный!D43+г.п.Мурмаши!D43+г.п.Верхнетуломский!D43+'г.п.Кильдинстрой-Шонгуй'!D43+с.п.Ловозеро!D43+г.п.Ревда!D43+н.п.Высокий!D43+г.Гаджиево!D43+г.Североморск!D43+г.п.Никель!D43+г.Полярный!D43+г.Снежногорск!D43+с.п.Териберка!D43+г.Кандалакша!D43+с.п.Умба!D43+с.п.Зеленоборский!D43+с.п.Ёнский!D43+Росляково!D43+'с.п.Белое море'!D43+'Нива-3'!D43+Лопарская!D43+'Ура-Губа'!D43+Видяево!D43</f>
        <v>13438.053740000001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г.Мурманск!D44+г.п.Кола!D44+г.п.Молочный!D44+г.п.Мурмаши!D44+г.п.Верхнетуломский!D44+'г.п.Кильдинстрой-Шонгуй'!D44+с.п.Ловозеро!D44+г.п.Ревда!D44+н.п.Высокий!D44+г.Гаджиево!D44+г.Североморск!D44+г.п.Никель!D44+г.Полярный!D44+г.Снежногорск!D44+с.п.Териберка!D44+г.Кандалакша!D44+с.п.Умба!D44+с.п.Зеленоборский!D44+с.п.Ёнский!D44+Росляково!D44+'с.п.Белое море'!D44+'Нива-3'!D44+Лопарская!D44+'Ура-Губа'!D44+Видяево!D44</f>
        <v>220930.02870999996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г.Мурманск!D45+г.п.Кола!D45+г.п.Молочный!D45+г.п.Мурмаши!D45+г.п.Верхнетуломский!D45+'г.п.Кильдинстрой-Шонгуй'!D45+с.п.Ловозеро!D45+г.п.Ревда!D45+н.п.Высокий!D45+г.Гаджиево!D45+г.Североморск!D45+г.п.Никель!D45+г.Полярный!D45+г.Снежногорск!D45+с.п.Териберка!D45+г.Кандалакша!D45+с.п.Умба!D45+с.п.Зеленоборский!D45+с.п.Ёнский!D45+Росляково!D45+'с.п.Белое море'!D45+'Нива-3'!D45+Лопарская!D45+'Ура-Губа'!D45+Видяево!D45</f>
        <v>589800.12368000008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г.Мурманск!D46+г.п.Кола!D46+г.п.Молочный!D46+г.п.Мурмаши!D46+г.п.Верхнетуломский!D46+'г.п.Кильдинстрой-Шонгуй'!D46+с.п.Ловозеро!D46+г.п.Ревда!D46+н.п.Высокий!D46+г.Гаджиево!D46+г.Североморск!D46+г.п.Никель!D46+г.Полярный!D46+г.Снежногорск!D46+с.п.Териберка!D46+г.Кандалакша!D46+с.п.Умба!D46+с.п.Зеленоборский!D46+с.п.Ёнский!D46+Росляково!D46+'с.п.Белое море'!D46+'Нива-3'!D46+Лопарская!D46+'Ура-Губа'!D46+Видяево!D46</f>
        <v>62048.584839999996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г.Мурманск!D47+г.п.Кола!D47+г.п.Молочный!D47+г.п.Мурмаши!D47+г.п.Верхнетуломский!D47+'г.п.Кильдинстрой-Шонгуй'!D47+с.п.Ловозеро!D47+г.п.Ревда!D47+н.п.Высокий!D47+г.Гаджиево!D47+г.Североморск!D47+г.п.Никель!D47+г.Полярный!D47+г.Снежногорск!D47+с.п.Териберка!D47+г.Кандалакша!D47+с.п.Умба!D47+с.п.Зеленоборский!D47+с.п.Ёнский!D47+Росляково!D47+'с.п.Белое море'!D47+'Нива-3'!D47+Лопарская!D47+'Ура-Губа'!D47+Видяево!D47</f>
        <v>118239.27432999999</v>
      </c>
    </row>
    <row r="48" spans="1:4" s="20" customFormat="1" x14ac:dyDescent="0.3">
      <c r="A48" s="4"/>
      <c r="B48" s="5"/>
      <c r="C48" s="8" t="s">
        <v>46</v>
      </c>
      <c r="D48" s="28"/>
    </row>
    <row r="49" spans="1:6" x14ac:dyDescent="0.3">
      <c r="A49" s="4"/>
      <c r="B49" s="5"/>
      <c r="C49" s="8" t="s">
        <v>46</v>
      </c>
      <c r="D49" s="28"/>
    </row>
    <row r="50" spans="1:6" ht="43.2" x14ac:dyDescent="0.3">
      <c r="A50" s="4" t="s">
        <v>103</v>
      </c>
      <c r="B50" s="3" t="s">
        <v>104</v>
      </c>
      <c r="C50" s="8" t="s">
        <v>46</v>
      </c>
      <c r="D50" s="28">
        <f>г.Мурманск!D50+г.п.Кола!D50+г.п.Молочный!D50+г.п.Мурмаши!D50+г.п.Верхнетуломский!D50+'г.п.Кильдинстрой-Шонгуй'!D50+с.п.Ловозеро!D50+г.п.Ревда!D50+н.п.Высокий!D50+г.Гаджиево!D50+г.Североморск!D50+г.п.Никель!D50+г.Полярный!D50+г.Снежногорск!D50+с.п.Териберка!D50+г.Кандалакша!D50+с.п.Умба!D50+с.п.Зеленоборский!D50+с.п.Ёнский!D50+Росляково!D50+'с.п.Белое море'!D50+'Нива-3'!D50+Лопарская!D50+'Ура-Губа'!D50+Видяево!D50</f>
        <v>866903.90963000013</v>
      </c>
    </row>
    <row r="51" spans="1:6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6" ht="28.8" x14ac:dyDescent="0.3">
      <c r="A52" s="4" t="s">
        <v>18</v>
      </c>
      <c r="B52" s="3" t="s">
        <v>53</v>
      </c>
      <c r="C52" s="8" t="s">
        <v>46</v>
      </c>
      <c r="D52" s="27">
        <f>г.Мурманск!D52+г.п.Кола!D52+г.п.Молочный!D52+г.п.Мурмаши!D52+г.п.Верхнетуломский!D52+'г.п.Кильдинстрой-Шонгуй'!D52+с.п.Ловозеро!D52+г.п.Ревда!D52+н.п.Высокий!D52+г.Гаджиево!D52+г.Североморск!D52+г.п.Никель!D52+г.Полярный!D52+г.Снежногорск!D52+с.п.Териберка!D52+г.Кандалакша!D52+с.п.Умба!D52+с.п.Зеленоборский!D52+с.п.Ёнский!D52+Росляково!D52+'с.п.Белое море'!D52+'Нива-3'!D52+Лопарская!D52+'Ура-Губа'!D52+Видяево!D52</f>
        <v>212414.3</v>
      </c>
    </row>
    <row r="53" spans="1:6" x14ac:dyDescent="0.3">
      <c r="A53" s="4"/>
      <c r="B53" s="10" t="s">
        <v>44</v>
      </c>
      <c r="C53" s="8" t="s">
        <v>46</v>
      </c>
      <c r="D53" s="42">
        <f>г.Мурманск!D53+г.п.Кола!D53+г.п.Молочный!D53+г.п.Мурмаши!D53+г.п.Верхнетуломский!D53+'г.п.Кильдинстрой-Шонгуй'!D53+с.п.Ловозеро!D53+г.п.Ревда!D53+н.п.Высокий!D53+г.Гаджиево!D53+г.Североморск!D53+г.п.Никель!D53+г.Полярный!D53+г.Снежногорск!D53+с.п.Териберка!D53+г.Кандалакша!D53+с.п.Умба!D53+с.п.Зеленоборский!D53+с.п.Ёнский!D53+Росляково!D53+'с.п.Белое море'!D53+'Нива-3'!D53+Лопарская!D53+'Ура-Губа'!D53+Видяево!D53</f>
        <v>212414.3</v>
      </c>
    </row>
    <row r="54" spans="1:6" x14ac:dyDescent="0.3">
      <c r="A54" s="4"/>
      <c r="B54" s="10" t="s">
        <v>45</v>
      </c>
      <c r="C54" s="8" t="s">
        <v>46</v>
      </c>
      <c r="D54" s="27">
        <f>г.Мурманск!D54+г.п.Кола!D54+г.п.Молочный!D54+г.п.Мурмаши!D54+г.п.Верхнетуломский!D54+'г.п.Кильдинстрой-Шонгуй'!D54+с.п.Ловозеро!D54+г.п.Ревда!D54+н.п.Высокий!D54+г.Гаджиево!D54+г.Североморск!D54+г.п.Никель!D54+г.Полярный!D54+г.Снежногорск!D54+с.п.Териберка!D54+г.Кандалакша!D54+с.п.Умба!D54+с.п.Зеленоборский!D54+с.п.Ёнский!D54+Росляково!D54+'с.п.Белое море'!D54+'Нива-3'!D54+Лопарская!D54+'Ура-Губа'!D54+Видяево!D54</f>
        <v>0</v>
      </c>
    </row>
    <row r="55" spans="1:6" ht="28.8" x14ac:dyDescent="0.3">
      <c r="A55" s="18" t="s">
        <v>19</v>
      </c>
      <c r="B55" s="16" t="s">
        <v>105</v>
      </c>
      <c r="C55" s="17" t="s">
        <v>46</v>
      </c>
      <c r="D55" s="27">
        <f>г.Мурманск!D55+г.п.Кола!D55+г.п.Молочный!D55+г.п.Мурмаши!D55+г.п.Верхнетуломский!D55+'г.п.Кильдинстрой-Шонгуй'!D55+с.п.Ловозеро!D55+г.п.Ревда!D55+н.п.Высокий!D55+г.Гаджиево!D55+г.Североморск!D55+г.п.Никель!D55+г.Полярный!D55+г.Снежногорск!D55+с.п.Териберка!D55+г.Кандалакша!D55+с.п.Умба!D55+с.п.Зеленоборский!D55+с.п.Ёнский!D55+Росляково!D55+'с.п.Белое море'!D55+'Нива-3'!D55+Лопарская!D55+'Ура-Губа'!D55+Видяево!D55</f>
        <v>-846691.20445999992</v>
      </c>
    </row>
    <row r="56" spans="1:6" ht="57.6" x14ac:dyDescent="0.3">
      <c r="A56" s="4" t="s">
        <v>20</v>
      </c>
      <c r="B56" s="3" t="s">
        <v>33</v>
      </c>
      <c r="C56" s="8"/>
      <c r="D56" s="27"/>
      <c r="F56" s="24">
        <v>585150.33076499798</v>
      </c>
    </row>
    <row r="57" spans="1:6" ht="43.2" x14ac:dyDescent="0.3">
      <c r="A57" s="4" t="s">
        <v>21</v>
      </c>
      <c r="B57" s="3" t="s">
        <v>106</v>
      </c>
      <c r="C57" s="8" t="s">
        <v>63</v>
      </c>
      <c r="D57" s="32">
        <f>г.Мурманск!D57+г.п.Кола!D57+г.п.Молочный!D57+г.п.Мурмаши!D57+г.п.Верхнетуломский!D57+'г.п.Кильдинстрой-Шонгуй'!D57+с.п.Ловозеро!D57+г.п.Ревда!D57+н.п.Высокий!D57+г.Гаджиево!D57+г.Североморск!D57+г.п.Никель!D57+г.Полярный!D57+г.Снежногорск!D57+с.п.Териберка!D57+г.Кандалакша!D57+с.п.Умба!D57+с.п.Зеленоборский!D57+с.п.Ёнский!D57+Росляково!D57+'с.п.Белое море'!D57+'Нива-3'!D57+Лопарская!D57+'Ура-Губа'!D57+Видяево!D57</f>
        <v>2272.4969999999998</v>
      </c>
    </row>
    <row r="58" spans="1:6" ht="28.8" x14ac:dyDescent="0.3">
      <c r="A58" s="4" t="s">
        <v>22</v>
      </c>
      <c r="B58" s="3" t="s">
        <v>107</v>
      </c>
      <c r="C58" s="8" t="s">
        <v>63</v>
      </c>
      <c r="D58" s="28">
        <f>г.Мурманск!D58+г.п.Кола!D58+г.п.Молочный!D58+г.п.Мурмаши!D58+г.п.Верхнетуломский!D58+'г.п.Кильдинстрой-Шонгуй'!D58+с.п.Ловозеро!D58+г.п.Ревда!D58+н.п.Высокий!D58+г.Гаджиево!D58+г.Североморск!D58+г.п.Никель!D58+г.Полярный!D58+г.Снежногорск!D58+с.п.Териберка!D58+г.Кандалакша!D58+с.п.Умба!D58+с.п.Зеленоборский!D58+с.п.Ёнский!D58+Росляково!D58+'с.п.Белое море'!D58+'Нива-3'!D58+Лопарская!D58+'Ура-Губа'!D58+Видяево!D58</f>
        <v>937.90512454444456</v>
      </c>
    </row>
    <row r="59" spans="1:6" ht="28.8" x14ac:dyDescent="0.3">
      <c r="A59" s="4" t="s">
        <v>23</v>
      </c>
      <c r="B59" s="3" t="s">
        <v>108</v>
      </c>
      <c r="C59" s="8" t="s">
        <v>62</v>
      </c>
      <c r="D59" s="28">
        <f>г.Мурманск!D59+г.п.Кола!D59+г.п.Молочный!D59+г.п.Мурмаши!D59+г.п.Верхнетуломский!D59+'г.п.Кильдинстрой-Шонгуй'!D59+с.п.Ловозеро!D59+г.п.Ревда!D59+н.п.Высокий!D59+г.Гаджиево!D59+г.Североморск!D59+г.п.Никель!D59+г.Полярный!D59+г.Снежногорск!D59+с.п.Териберка!D59+г.Кандалакша!D59+с.п.Умба!D59+с.п.Зеленоборский!D59+с.п.Ёнский!D59+Росляково!D59+'с.п.Белое море'!D59+'Нива-3'!D59+Лопарская!D59+'Ура-Губа'!D59+Видяево!D59</f>
        <v>3036.8989999999994</v>
      </c>
    </row>
    <row r="60" spans="1:6" ht="28.8" x14ac:dyDescent="0.3">
      <c r="A60" s="4" t="s">
        <v>24</v>
      </c>
      <c r="B60" s="3" t="s">
        <v>109</v>
      </c>
      <c r="C60" s="8" t="s">
        <v>62</v>
      </c>
      <c r="D60" s="28">
        <f>г.Мурманск!D60+г.п.Кола!D60+г.п.Молочный!D60+г.п.Мурмаши!D60+г.п.Верхнетуломский!D60+'г.п.Кильдинстрой-Шонгуй'!D60+с.п.Ловозеро!D60+г.п.Ревда!D60+н.п.Высокий!D60+г.Гаджиево!D60+г.Североморск!D60+г.п.Никель!D60+г.Полярный!D60+г.Снежногорск!D60+с.п.Териберка!D60+г.Кандалакша!D60+с.п.Умба!D60+с.п.Зеленоборский!D60+с.п.Ёнский!D60+Росляково!D60+'с.п.Белое море'!D60+'Нива-3'!D60+Лопарская!D60+'Ура-Губа'!D60+Видяево!D60</f>
        <v>0</v>
      </c>
    </row>
    <row r="61" spans="1:6" ht="57.6" x14ac:dyDescent="0.3">
      <c r="A61" s="4" t="s">
        <v>25</v>
      </c>
      <c r="B61" s="3" t="s">
        <v>110</v>
      </c>
      <c r="C61" s="8" t="s">
        <v>62</v>
      </c>
      <c r="D61" s="28">
        <f>г.Мурманск!D61+г.п.Кола!D61+г.п.Молочный!D61+г.п.Мурмаши!D61+г.п.Верхнетуломский!D61+'г.п.Кильдинстрой-Шонгуй'!D61+с.п.Ловозеро!D61+г.п.Ревда!D61+н.п.Высокий!D61+г.Гаджиево!D61+г.Североморск!D61+г.п.Никель!D61+г.Полярный!D61+г.Снежногорск!D61+с.п.Териберка!D61+г.Кандалакша!D61+с.п.Умба!D61+с.п.Зеленоборский!D61+с.п.Ёнский!D61+Росляково!D61+'с.п.Белое море'!D61+'Нива-3'!D61+Лопарская!D61+'Ура-Губа'!D61+Видяево!D61</f>
        <v>2458.7386000000001</v>
      </c>
    </row>
    <row r="62" spans="1:6" ht="43.2" x14ac:dyDescent="0.3">
      <c r="A62" s="4" t="s">
        <v>26</v>
      </c>
      <c r="B62" s="3" t="s">
        <v>111</v>
      </c>
      <c r="C62" s="8" t="s">
        <v>61</v>
      </c>
      <c r="D62" s="32">
        <f>г.Мурманск!D62+г.п.Кола!D62+г.п.Молочный!D62+г.п.Мурмаши!D62+г.п.Верхнетуломский!D62+'г.п.Кильдинстрой-Шонгуй'!D62+с.п.Ловозеро!D62+г.п.Ревда!D62+н.п.Высокий!D62+г.Гаджиево!D62+г.Североморск!D62+г.п.Никель!D62+г.Полярный!D62+г.Снежногорск!D62+с.п.Териберка!D62+г.Кандалакша!D62+с.п.Умба!D62+с.п.Зеленоборский!D62+с.п.Ёнский!D62+Росляково!D62+'с.п.Белое море'!D62+'Нива-3'!D62+Лопарская!D62+'Ура-Губа'!D62+Видяево!D62</f>
        <v>367.94999999999993</v>
      </c>
    </row>
    <row r="63" spans="1:6" x14ac:dyDescent="0.3">
      <c r="A63" s="4" t="s">
        <v>27</v>
      </c>
      <c r="B63" s="3" t="s">
        <v>112</v>
      </c>
      <c r="C63" s="8" t="s">
        <v>60</v>
      </c>
      <c r="D63" s="32">
        <f>г.Мурманск!D63+г.п.Кола!D63+г.п.Молочный!D63+г.п.Мурмаши!D63+г.п.Верхнетуломский!D63+'г.п.Кильдинстрой-Шонгуй'!D63+с.п.Ловозеро!D63+г.п.Ревда!D63+н.п.Высокий!D63+г.Гаджиево!D63+г.Североморск!D63+г.п.Никель!D63+г.Полярный!D63+г.Снежногорск!D63+с.п.Териберка!D63+г.Кандалакша!D63+с.п.Умба!D63+с.п.Зеленоборский!D63+с.п.Ёнский!D63+Росляково!D63+'с.п.Белое море'!D63+'Нива-3'!D63+Лопарская!D63+'Ура-Губа'!D63+Видяево!D63</f>
        <v>391.90000000000003</v>
      </c>
    </row>
    <row r="64" spans="1:6" x14ac:dyDescent="0.3">
      <c r="A64" s="4" t="s">
        <v>28</v>
      </c>
      <c r="B64" s="3" t="s">
        <v>55</v>
      </c>
      <c r="C64" s="8" t="s">
        <v>54</v>
      </c>
      <c r="D64" s="28">
        <f>г.Мурманск!D64+г.п.Кола!D64+г.п.Молочный!D64+г.п.Мурмаши!D64+г.п.Верхнетуломский!D64+'г.п.Кильдинстрой-Шонгуй'!D64+с.п.Ловозеро!D64+г.п.Ревда!D64+н.п.Высокий!D64+г.Гаджиево!D64+г.Североморск!D64+г.п.Никель!D64+г.Полярный!D64+г.Снежногорск!D64+с.п.Териберка!D64+г.Кандалакша!D64+с.п.Умба!D64+с.п.Зеленоборский!D64+с.п.Ёнский!D64+Росляково!D64+'с.п.Белое море'!D64+'Нива-3'!D64+Лопарская!D64+'Ура-Губа'!D64+Видяево!D64</f>
        <v>1584.8999999999996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36"/>
    </row>
    <row r="67" spans="1:4" ht="57.6" x14ac:dyDescent="0.3">
      <c r="A67" s="4" t="s">
        <v>31</v>
      </c>
      <c r="B67" s="3" t="s">
        <v>115</v>
      </c>
      <c r="C67" s="8" t="s">
        <v>57</v>
      </c>
      <c r="D67" s="34"/>
    </row>
    <row r="68" spans="1:4" ht="57.6" x14ac:dyDescent="0.3">
      <c r="A68" s="4" t="s">
        <v>32</v>
      </c>
      <c r="B68" s="3" t="s">
        <v>116</v>
      </c>
      <c r="C68" s="8" t="s">
        <v>59</v>
      </c>
      <c r="D68" s="28"/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workbookViewId="0">
      <pane xSplit="1" ySplit="5" topLeftCell="B63" activePane="bottomRight" state="frozen"/>
      <selection pane="topRight" activeCell="B1" sqref="B1"/>
      <selection pane="bottomLeft" activeCell="A6" sqref="A6"/>
      <selection pane="bottomRight" activeCell="C68" sqref="C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7.4414062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6" t="s">
        <v>3</v>
      </c>
      <c r="B3" s="46"/>
      <c r="C3" s="46"/>
      <c r="D3" s="46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634010.57947</v>
      </c>
    </row>
    <row r="7" spans="1:6" x14ac:dyDescent="0.3">
      <c r="A7" s="4" t="s">
        <v>4</v>
      </c>
      <c r="B7" s="5" t="s">
        <v>2</v>
      </c>
      <c r="C7" s="8" t="s">
        <v>46</v>
      </c>
      <c r="D7" s="28"/>
    </row>
    <row r="8" spans="1:6" x14ac:dyDescent="0.3">
      <c r="A8" s="4" t="s">
        <v>5</v>
      </c>
      <c r="B8" s="5" t="s">
        <v>3</v>
      </c>
      <c r="C8" s="8" t="s">
        <v>46</v>
      </c>
      <c r="D8" s="28">
        <f>630087.90009+355.76675+3566.91263</f>
        <v>634010.57947</v>
      </c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D36+D39+D40+D41+D42+D43+D44+D45+D46+D47+D50</f>
        <v>567468.44998999999</v>
      </c>
      <c r="F9" s="39">
        <f>567468.44999</f>
        <v>567468.44998999999</v>
      </c>
    </row>
    <row r="10" spans="1:6" x14ac:dyDescent="0.3">
      <c r="A10" s="4" t="s">
        <v>90</v>
      </c>
      <c r="B10" s="3" t="s">
        <v>7</v>
      </c>
      <c r="C10" s="8" t="s">
        <v>46</v>
      </c>
      <c r="D10" s="28"/>
    </row>
    <row r="11" spans="1:6" x14ac:dyDescent="0.3">
      <c r="A11" s="4" t="s">
        <v>91</v>
      </c>
      <c r="B11" s="19" t="s">
        <v>35</v>
      </c>
      <c r="C11" s="8" t="s">
        <v>46</v>
      </c>
      <c r="D11" s="28"/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/>
    </row>
    <row r="14" spans="1:6" x14ac:dyDescent="0.3">
      <c r="A14" s="4"/>
      <c r="B14" s="9" t="s">
        <v>37</v>
      </c>
      <c r="C14" s="8" t="s">
        <v>49</v>
      </c>
      <c r="D14" s="28"/>
    </row>
    <row r="15" spans="1:6" x14ac:dyDescent="0.3">
      <c r="A15" s="4"/>
      <c r="B15" s="9" t="s">
        <v>87</v>
      </c>
      <c r="C15" s="8" t="s">
        <v>46</v>
      </c>
      <c r="D15" s="28"/>
    </row>
    <row r="16" spans="1:6" x14ac:dyDescent="0.3">
      <c r="A16" s="4"/>
      <c r="B16" s="9" t="s">
        <v>86</v>
      </c>
      <c r="C16" s="8" t="s">
        <v>46</v>
      </c>
      <c r="D16" s="28"/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7698.44889+5212.34533</f>
        <v>12910.79422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4.2699678068862967</v>
      </c>
    </row>
    <row r="38" spans="1:4" x14ac:dyDescent="0.3">
      <c r="A38" s="4"/>
      <c r="B38" s="33" t="s">
        <v>14</v>
      </c>
      <c r="C38" s="26" t="s">
        <v>51</v>
      </c>
      <c r="D38" s="29">
        <f>1799.792+997.638+78.838+147.36</f>
        <v>3023.6280000000002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v>0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v>0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4613.56715+1397.80898+20956.31712+6476.52932+21265.14696+6542.81784</f>
        <v>61252.18737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4.15257</f>
        <v>4.1525699999999999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43136.42337+52573.40077</f>
        <v>95709.824139999997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2428.99154+16615.98071+16969.59075</f>
        <v>36014.562999999995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51.11636+907.21304+2124.95158</f>
        <v>3083.28098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17845.41104+5322.7848</f>
        <v>23168.19584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335325.45186999999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127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40">
        <f>D53+D54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66542.129480000003</v>
      </c>
    </row>
    <row r="56" spans="1:4" ht="57.6" x14ac:dyDescent="0.3">
      <c r="A56" s="4" t="s">
        <v>20</v>
      </c>
      <c r="B56" s="3" t="s">
        <v>33</v>
      </c>
      <c r="C56" s="8"/>
      <c r="D56" s="27"/>
    </row>
    <row r="57" spans="1:4" ht="43.2" x14ac:dyDescent="0.3">
      <c r="A57" s="4" t="s">
        <v>21</v>
      </c>
      <c r="B57" s="3" t="s">
        <v>106</v>
      </c>
      <c r="C57" s="8" t="s">
        <v>63</v>
      </c>
      <c r="D57" s="28"/>
    </row>
    <row r="58" spans="1:4" ht="28.8" x14ac:dyDescent="0.3">
      <c r="A58" s="4" t="s">
        <v>22</v>
      </c>
      <c r="B58" s="3" t="s">
        <v>107</v>
      </c>
      <c r="C58" s="8" t="s">
        <v>63</v>
      </c>
      <c r="D58" s="28"/>
    </row>
    <row r="59" spans="1:4" ht="28.8" x14ac:dyDescent="0.3">
      <c r="A59" s="4" t="s">
        <v>23</v>
      </c>
      <c r="B59" s="3" t="s">
        <v>108</v>
      </c>
      <c r="C59" s="8" t="s">
        <v>62</v>
      </c>
      <c r="D59" s="28"/>
    </row>
    <row r="60" spans="1:4" ht="28.8" x14ac:dyDescent="0.3">
      <c r="A60" s="4" t="s">
        <v>24</v>
      </c>
      <c r="B60" s="3" t="s">
        <v>109</v>
      </c>
      <c r="C60" s="8" t="s">
        <v>62</v>
      </c>
      <c r="D60" s="28"/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1805.883019+1.05042+10.2224</f>
        <v>1817.1558390000002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116.549</f>
        <v>116.54900000000001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110.466269</f>
        <v>110.466269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95.9</f>
        <v>95.9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31"/>
    </row>
    <row r="67" spans="1:4" ht="57.6" x14ac:dyDescent="0.3">
      <c r="A67" s="4" t="s">
        <v>31</v>
      </c>
      <c r="B67" s="3" t="s">
        <v>115</v>
      </c>
      <c r="C67" s="8" t="s">
        <v>57</v>
      </c>
      <c r="D67" s="34"/>
    </row>
    <row r="68" spans="1:4" ht="57.6" x14ac:dyDescent="0.3">
      <c r="A68" s="4" t="s">
        <v>32</v>
      </c>
      <c r="B68" s="3" t="s">
        <v>116</v>
      </c>
      <c r="C68" s="8" t="s">
        <v>59</v>
      </c>
      <c r="D68" s="28"/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D50" sqref="D50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6" t="s">
        <v>84</v>
      </c>
      <c r="B3" s="46"/>
      <c r="C3" s="46"/>
      <c r="D3" s="46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8056073.8267100006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'пр-во тепловой энергии'!D7+'передача тепловой энергии'!D7</f>
        <v>7422063.2472400004</v>
      </c>
    </row>
    <row r="8" spans="1:6" x14ac:dyDescent="0.3">
      <c r="A8" s="4" t="s">
        <v>5</v>
      </c>
      <c r="B8" s="5" t="s">
        <v>3</v>
      </c>
      <c r="C8" s="8" t="s">
        <v>46</v>
      </c>
      <c r="D8" s="28">
        <f>'пр-во тепловой энергии'!D8+'передача тепловой энергии'!D8</f>
        <v>634010.57947</v>
      </c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'пр-во тепловой энергии'!D9+'передача тепловой энергии'!D9</f>
        <v>8836222.9016900007</v>
      </c>
      <c r="F9" s="21"/>
    </row>
    <row r="10" spans="1:6" x14ac:dyDescent="0.3">
      <c r="A10" s="4" t="s">
        <v>90</v>
      </c>
      <c r="B10" s="3" t="s">
        <v>7</v>
      </c>
      <c r="C10" s="8" t="s">
        <v>46</v>
      </c>
      <c r="D10" s="28"/>
    </row>
    <row r="11" spans="1:6" x14ac:dyDescent="0.3">
      <c r="A11" s="4" t="s">
        <v>91</v>
      </c>
      <c r="B11" s="19" t="s">
        <v>35</v>
      </c>
      <c r="C11" s="8" t="s">
        <v>46</v>
      </c>
      <c r="D11" s="28">
        <f>'пр-во тепловой энергии'!D11+'передача тепловой энергии'!D11</f>
        <v>4824003.7671600003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'пр-во тепловой энергии'!D13+'передача тепловой энергии'!D13</f>
        <v>4762974.2788700005</v>
      </c>
    </row>
    <row r="14" spans="1:6" x14ac:dyDescent="0.3">
      <c r="A14" s="4"/>
      <c r="B14" s="9" t="s">
        <v>37</v>
      </c>
      <c r="C14" s="8" t="s">
        <v>49</v>
      </c>
      <c r="D14" s="28">
        <f>'пр-во тепловой энергии'!D14+'передача тепловой энергии'!D14</f>
        <v>405690.38299999997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11.740417023565483</v>
      </c>
    </row>
    <row r="16" spans="1:6" x14ac:dyDescent="0.3">
      <c r="A16" s="4"/>
      <c r="B16" s="9" t="s">
        <v>86</v>
      </c>
      <c r="C16" s="8" t="s">
        <v>46</v>
      </c>
      <c r="D16" s="28">
        <f>'пр-во тепловой энергии'!D16+'передача тепловой энергии'!D16</f>
        <v>55618.162289999993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>
        <f>'пр-во тепловой энергии'!D19+'передача тепловой энергии'!D19</f>
        <v>22682.538780000003</v>
      </c>
    </row>
    <row r="20" spans="1:4" x14ac:dyDescent="0.3">
      <c r="A20" s="4"/>
      <c r="B20" s="9" t="s">
        <v>37</v>
      </c>
      <c r="C20" s="8" t="s">
        <v>49</v>
      </c>
      <c r="D20" s="28">
        <f>'пр-во тепловой энергии'!D20+'передача тепловой энергии'!D20</f>
        <v>6932.4170000000004</v>
      </c>
    </row>
    <row r="21" spans="1:4" x14ac:dyDescent="0.3">
      <c r="A21" s="4"/>
      <c r="B21" s="9" t="s">
        <v>87</v>
      </c>
      <c r="C21" s="8" t="s">
        <v>46</v>
      </c>
      <c r="D21" s="34">
        <f>D19/D20</f>
        <v>3.2719524489077911</v>
      </c>
    </row>
    <row r="22" spans="1:4" x14ac:dyDescent="0.3">
      <c r="A22" s="4"/>
      <c r="B22" s="9" t="s">
        <v>86</v>
      </c>
      <c r="C22" s="8" t="s">
        <v>46</v>
      </c>
      <c r="D22" s="28">
        <f>'пр-во тепловой энергии'!D22+'передача тепловой энергии'!D22</f>
        <v>4373.5680000000002</v>
      </c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>
        <f>'пр-во тепловой энергии'!D25+'передача тепловой энергии'!D25</f>
        <v>9123.7758200000007</v>
      </c>
    </row>
    <row r="26" spans="1:4" x14ac:dyDescent="0.3">
      <c r="A26" s="4"/>
      <c r="B26" s="9" t="s">
        <v>37</v>
      </c>
      <c r="C26" s="8" t="s">
        <v>49</v>
      </c>
      <c r="D26" s="28">
        <f>'пр-во тепловой энергии'!D26+'передача тепловой энергии'!D26</f>
        <v>271.86200000000002</v>
      </c>
    </row>
    <row r="27" spans="1:4" x14ac:dyDescent="0.3">
      <c r="A27" s="4"/>
      <c r="B27" s="9" t="s">
        <v>87</v>
      </c>
      <c r="C27" s="8" t="s">
        <v>46</v>
      </c>
      <c r="D27" s="34">
        <f>D25/D26</f>
        <v>33.560320383135561</v>
      </c>
    </row>
    <row r="28" spans="1:4" x14ac:dyDescent="0.3">
      <c r="A28" s="4"/>
      <c r="B28" s="9" t="s">
        <v>86</v>
      </c>
      <c r="C28" s="8" t="s">
        <v>46</v>
      </c>
      <c r="D28" s="28">
        <f>'пр-во тепловой энергии'!D28+'передача тепловой энергии'!D28</f>
        <v>0</v>
      </c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>
        <f>'пр-во тепловой энергии'!D31+'передача тепловой энергии'!D31</f>
        <v>29223.17369</v>
      </c>
    </row>
    <row r="32" spans="1:4" x14ac:dyDescent="0.3">
      <c r="A32" s="4"/>
      <c r="B32" s="9" t="s">
        <v>37</v>
      </c>
      <c r="C32" s="8" t="s">
        <v>49</v>
      </c>
      <c r="D32" s="28">
        <f>'пр-во тепловой энергии'!D32+'передача тепловой энергии'!D32</f>
        <v>1617.633</v>
      </c>
    </row>
    <row r="33" spans="1:4" x14ac:dyDescent="0.3">
      <c r="A33" s="4"/>
      <c r="B33" s="9" t="s">
        <v>87</v>
      </c>
      <c r="C33" s="8" t="s">
        <v>46</v>
      </c>
      <c r="D33" s="34">
        <f>D31/D32</f>
        <v>18.065391649403789</v>
      </c>
    </row>
    <row r="34" spans="1:4" x14ac:dyDescent="0.3">
      <c r="A34" s="4"/>
      <c r="B34" s="9" t="s">
        <v>86</v>
      </c>
      <c r="C34" s="8" t="s">
        <v>46</v>
      </c>
      <c r="D34" s="28">
        <f>'пр-во тепловой энергии'!D34+'передача тепловой энергии'!D34</f>
        <v>0</v>
      </c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'пр-во тепловой энергии'!D36+'передача тепловой энергии'!D36</f>
        <v>426663.45597999997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3.6754623207604236</v>
      </c>
    </row>
    <row r="38" spans="1:4" x14ac:dyDescent="0.3">
      <c r="A38" s="4"/>
      <c r="B38" s="33" t="s">
        <v>14</v>
      </c>
      <c r="C38" s="26" t="s">
        <v>51</v>
      </c>
      <c r="D38" s="29">
        <f>'пр-во тепловой энергии'!D38+'передача тепловой энергии'!D38</f>
        <v>116084.296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'пр-во тепловой энергии'!D39+'передача тепловой энергии'!D39</f>
        <v>94781.215589999978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'пр-во тепловой энергии'!D40+'передача тепловой энергии'!D40</f>
        <v>2201.4362299999993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32">
        <f>'пр-во тепловой энергии'!D41+'передача тепловой энергии'!D41</f>
        <v>1123907.5833999997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32">
        <f>'пр-во тепловой энергии'!D42+'передача тепловой энергии'!D42</f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'пр-во тепловой энергии'!D43+'передача тепловой энергии'!D43</f>
        <v>13442.206310000001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'пр-во тепловой энергии'!D44+'передача тепловой энергии'!D44</f>
        <v>316639.85284999997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'пр-во тепловой энергии'!D45+'передача тепловой энергии'!D45</f>
        <v>625814.68668000004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32">
        <f>'пр-во тепловой энергии'!D46+'передача тепловой энергии'!D46</f>
        <v>65131.865819999999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'пр-во тепловой энергии'!D47+'передача тепловой энергии'!D47</f>
        <v>141407.47016999999</v>
      </c>
    </row>
    <row r="48" spans="1:4" s="20" customFormat="1" x14ac:dyDescent="0.3">
      <c r="A48" s="4"/>
      <c r="B48" s="5"/>
      <c r="C48" s="8" t="s">
        <v>46</v>
      </c>
      <c r="D48" s="28"/>
    </row>
    <row r="49" spans="1:12" x14ac:dyDescent="0.3">
      <c r="A49" s="4"/>
      <c r="B49" s="5"/>
      <c r="C49" s="8" t="s">
        <v>46</v>
      </c>
      <c r="D49" s="28"/>
    </row>
    <row r="50" spans="1:12" ht="43.2" x14ac:dyDescent="0.3">
      <c r="A50" s="4" t="s">
        <v>103</v>
      </c>
      <c r="B50" s="3" t="s">
        <v>104</v>
      </c>
      <c r="C50" s="8" t="s">
        <v>46</v>
      </c>
      <c r="D50" s="28">
        <f>'пр-во тепловой энергии'!D50+'передача тепловой энергии'!D50</f>
        <v>1202229.3615000001</v>
      </c>
    </row>
    <row r="51" spans="1:12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12" ht="28.8" x14ac:dyDescent="0.3">
      <c r="A52" s="4" t="s">
        <v>18</v>
      </c>
      <c r="B52" s="3" t="s">
        <v>53</v>
      </c>
      <c r="C52" s="8" t="s">
        <v>46</v>
      </c>
      <c r="D52" s="40">
        <f>'пр-во тепловой энергии'!D52+'передача тепловой энергии'!D52</f>
        <v>212414.3</v>
      </c>
    </row>
    <row r="53" spans="1:12" x14ac:dyDescent="0.3">
      <c r="A53" s="4"/>
      <c r="B53" s="10" t="s">
        <v>44</v>
      </c>
      <c r="C53" s="8" t="s">
        <v>46</v>
      </c>
      <c r="D53" s="41">
        <f>'пр-во тепловой энергии'!D53+'передача тепловой энергии'!D53</f>
        <v>212414.3</v>
      </c>
    </row>
    <row r="54" spans="1:12" x14ac:dyDescent="0.3">
      <c r="A54" s="4"/>
      <c r="B54" s="10" t="s">
        <v>45</v>
      </c>
      <c r="C54" s="8" t="s">
        <v>46</v>
      </c>
      <c r="D54" s="28">
        <f>'пр-во тепловой энергии'!D54+'передача тепловой энергии'!D54</f>
        <v>0</v>
      </c>
    </row>
    <row r="55" spans="1:12" ht="28.8" x14ac:dyDescent="0.3">
      <c r="A55" s="18" t="s">
        <v>19</v>
      </c>
      <c r="B55" s="16" t="s">
        <v>105</v>
      </c>
      <c r="C55" s="17" t="s">
        <v>46</v>
      </c>
      <c r="D55" s="27">
        <f>'пр-во тепловой энергии'!D55+'передача тепловой энергии'!D55</f>
        <v>-780149.07497999992</v>
      </c>
      <c r="E55" s="47" t="s">
        <v>129</v>
      </c>
      <c r="F55" s="48"/>
      <c r="G55" s="48"/>
      <c r="H55" s="48"/>
      <c r="I55" s="48"/>
      <c r="J55" s="48"/>
      <c r="K55" s="48"/>
      <c r="L55" s="48"/>
    </row>
    <row r="56" spans="1:12" ht="57.6" x14ac:dyDescent="0.3">
      <c r="A56" s="4" t="s">
        <v>20</v>
      </c>
      <c r="B56" s="3" t="s">
        <v>33</v>
      </c>
      <c r="C56" s="8"/>
      <c r="D56" s="27"/>
    </row>
    <row r="57" spans="1:12" ht="43.2" x14ac:dyDescent="0.3">
      <c r="A57" s="4" t="s">
        <v>21</v>
      </c>
      <c r="B57" s="3" t="s">
        <v>106</v>
      </c>
      <c r="C57" s="8" t="s">
        <v>63</v>
      </c>
      <c r="D57" s="28">
        <f>'пр-во тепловой энергии'!D57+'передача тепловой энергии'!D57</f>
        <v>2272.4969999999998</v>
      </c>
    </row>
    <row r="58" spans="1:12" ht="28.8" x14ac:dyDescent="0.3">
      <c r="A58" s="4" t="s">
        <v>22</v>
      </c>
      <c r="B58" s="3" t="s">
        <v>107</v>
      </c>
      <c r="C58" s="8" t="s">
        <v>63</v>
      </c>
      <c r="D58" s="28">
        <f>'пр-во тепловой энергии'!D58+'передача тепловой энергии'!D58</f>
        <v>937.90512454444456</v>
      </c>
    </row>
    <row r="59" spans="1:12" ht="28.8" x14ac:dyDescent="0.3">
      <c r="A59" s="4" t="s">
        <v>23</v>
      </c>
      <c r="B59" s="3" t="s">
        <v>108</v>
      </c>
      <c r="C59" s="8" t="s">
        <v>62</v>
      </c>
      <c r="D59" s="28">
        <f>'пр-во тепловой энергии'!D59+'передача тепловой энергии'!D59</f>
        <v>3036.8989999999994</v>
      </c>
    </row>
    <row r="60" spans="1:12" ht="28.8" x14ac:dyDescent="0.3">
      <c r="A60" s="4" t="s">
        <v>24</v>
      </c>
      <c r="B60" s="3" t="s">
        <v>109</v>
      </c>
      <c r="C60" s="8" t="s">
        <v>62</v>
      </c>
      <c r="D60" s="28">
        <f>'пр-во тепловой энергии'!D60+'передача тепловой энергии'!D60</f>
        <v>0</v>
      </c>
    </row>
    <row r="61" spans="1:12" ht="57.6" x14ac:dyDescent="0.3">
      <c r="A61" s="4" t="s">
        <v>25</v>
      </c>
      <c r="B61" s="3" t="s">
        <v>110</v>
      </c>
      <c r="C61" s="8" t="s">
        <v>62</v>
      </c>
      <c r="D61" s="28">
        <f>'пр-во тепловой энергии'!D61+'передача тепловой энергии'!D61</f>
        <v>4275.8944390000006</v>
      </c>
    </row>
    <row r="62" spans="1:12" ht="43.2" x14ac:dyDescent="0.3">
      <c r="A62" s="4" t="s">
        <v>26</v>
      </c>
      <c r="B62" s="3" t="s">
        <v>111</v>
      </c>
      <c r="C62" s="8" t="s">
        <v>61</v>
      </c>
      <c r="D62" s="28">
        <f>'пр-во тепловой энергии'!D62+'передача тепловой энергии'!D62</f>
        <v>484.49899999999991</v>
      </c>
    </row>
    <row r="63" spans="1:12" x14ac:dyDescent="0.3">
      <c r="A63" s="4" t="s">
        <v>27</v>
      </c>
      <c r="B63" s="3" t="s">
        <v>112</v>
      </c>
      <c r="C63" s="8" t="s">
        <v>60</v>
      </c>
      <c r="D63" s="28">
        <f>'пр-во тепловой энергии'!D63+'передача тепловой энергии'!D63</f>
        <v>502.36626900000005</v>
      </c>
    </row>
    <row r="64" spans="1:12" x14ac:dyDescent="0.3">
      <c r="A64" s="4" t="s">
        <v>28</v>
      </c>
      <c r="B64" s="3" t="s">
        <v>55</v>
      </c>
      <c r="C64" s="8" t="s">
        <v>54</v>
      </c>
      <c r="D64" s="28">
        <f>'пр-во тепловой энергии'!D64+'передача тепловой энергии'!D64</f>
        <v>1680.7999999999997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32"/>
    </row>
    <row r="67" spans="1:4" ht="57.6" x14ac:dyDescent="0.3">
      <c r="A67" s="4" t="s">
        <v>31</v>
      </c>
      <c r="B67" s="3" t="s">
        <v>115</v>
      </c>
      <c r="C67" s="8" t="s">
        <v>57</v>
      </c>
      <c r="D67" s="28"/>
    </row>
    <row r="68" spans="1:4" ht="57.6" x14ac:dyDescent="0.3">
      <c r="A68" s="4" t="s">
        <v>32</v>
      </c>
      <c r="B68" s="3" t="s">
        <v>116</v>
      </c>
      <c r="C68" s="8" t="s">
        <v>59</v>
      </c>
      <c r="D68" s="28"/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3">
    <mergeCell ref="A1:D1"/>
    <mergeCell ref="A3:D3"/>
    <mergeCell ref="E55:L55"/>
  </mergeCells>
  <pageMargins left="0.7" right="0.7" top="0.75" bottom="0.75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2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68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118316.39017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118316.39017</f>
        <v>118316.39017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146318.05363000001</v>
      </c>
      <c r="F9" s="23">
        <f>146318.05363</f>
        <v>146318.05363000001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67453.4709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67453.4709</f>
        <v>67453.4709</v>
      </c>
    </row>
    <row r="14" spans="1:6" x14ac:dyDescent="0.3">
      <c r="A14" s="4"/>
      <c r="B14" s="9" t="s">
        <v>37</v>
      </c>
      <c r="C14" s="8" t="s">
        <v>49</v>
      </c>
      <c r="D14" s="28">
        <f>5741.018</f>
        <v>5741.018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11.749391989364952</v>
      </c>
    </row>
    <row r="16" spans="1:6" x14ac:dyDescent="0.3">
      <c r="A16" s="4"/>
      <c r="B16" s="9" t="s">
        <v>86</v>
      </c>
      <c r="C16" s="8" t="s">
        <v>46</v>
      </c>
      <c r="D16" s="28">
        <f>1581.08747</f>
        <v>1581.0874699999999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6707.02126</f>
        <v>6707.0212600000004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4.2550086819157951</v>
      </c>
    </row>
    <row r="38" spans="1:4" x14ac:dyDescent="0.3">
      <c r="A38" s="4"/>
      <c r="B38" s="33" t="s">
        <v>14</v>
      </c>
      <c r="C38" s="26" t="s">
        <v>51</v>
      </c>
      <c r="D38" s="29">
        <f>1576.265</f>
        <v>1576.2650000000001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1719.04388</f>
        <v>1719.0438799999999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10.57408</f>
        <v>10.57408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23135.41709+7674.9542</f>
        <v>30810.371289999999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1972.87128</f>
        <v>1972.8712800000001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7716.31296</f>
        <v>7716.3129600000002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10834.80937</f>
        <v>10834.809370000001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1352.88212</f>
        <v>1352.88212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3934.64646</f>
        <v>3934.6464599999999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13806.05003000002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410.8</v>
      </c>
    </row>
    <row r="53" spans="1:4" x14ac:dyDescent="0.3">
      <c r="A53" s="4"/>
      <c r="B53" s="10" t="s">
        <v>44</v>
      </c>
      <c r="C53" s="8" t="s">
        <v>46</v>
      </c>
      <c r="D53" s="28">
        <f>410.8</f>
        <v>410.8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-28001.663460000011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47.11</f>
        <v>47.11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12.713200000000004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41.82</f>
        <v>41.82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34.4071</f>
        <v>34.4071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5.31</f>
        <v>5.31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6.27</f>
        <v>6.27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44.8</f>
        <v>44.8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185.93</f>
        <v>185.93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0.0375</f>
        <v>3.7499999999999999E-2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v>0.5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2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75" customHeight="1" x14ac:dyDescent="0.3">
      <c r="A3" s="45" t="s">
        <v>69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72215.824129999994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72215.82413</f>
        <v>72215.824129999994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90864.877339999992</v>
      </c>
      <c r="F9" s="23">
        <f>90864.87734</f>
        <v>90864.877340000006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40882.613920000003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40882.61392</f>
        <v>40882.613920000003</v>
      </c>
    </row>
    <row r="14" spans="1:6" x14ac:dyDescent="0.3">
      <c r="A14" s="4"/>
      <c r="B14" s="9" t="s">
        <v>37</v>
      </c>
      <c r="C14" s="8" t="s">
        <v>49</v>
      </c>
      <c r="D14" s="28">
        <f>3484.077</f>
        <v>3484.0770000000002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11.734130422490663</v>
      </c>
    </row>
    <row r="16" spans="1:6" x14ac:dyDescent="0.3">
      <c r="A16" s="4"/>
      <c r="B16" s="9" t="s">
        <v>86</v>
      </c>
      <c r="C16" s="8" t="s">
        <v>46</v>
      </c>
      <c r="D16" s="28">
        <f>1144.72919</f>
        <v>1144.72919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3642.45546</f>
        <v>3642.4554600000001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4.3036715582021836</v>
      </c>
    </row>
    <row r="38" spans="1:4" x14ac:dyDescent="0.3">
      <c r="A38" s="4"/>
      <c r="B38" s="33" t="s">
        <v>14</v>
      </c>
      <c r="C38" s="26" t="s">
        <v>51</v>
      </c>
      <c r="D38" s="29">
        <f>846.36</f>
        <v>846.36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420.0513</f>
        <v>420.05130000000003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v>0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13141.66707+4417.67588</f>
        <v>17559.342949999998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v>0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9011.56095</f>
        <v>9011.5609499999991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6646.04379</f>
        <v>6646.0437899999997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3153.9513</f>
        <v>3153.9513000000002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88.48266</f>
        <v>88.482659999999996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9460.3750100000088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272.2</v>
      </c>
    </row>
    <row r="53" spans="1:4" x14ac:dyDescent="0.3">
      <c r="A53" s="4"/>
      <c r="B53" s="10" t="s">
        <v>44</v>
      </c>
      <c r="C53" s="8" t="s">
        <v>46</v>
      </c>
      <c r="D53" s="28">
        <f>272.2</f>
        <v>272.2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-18649.053209999998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24.35</f>
        <v>24.35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7.6929999999999996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24.81</f>
        <v>24.81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21.3215</f>
        <v>21.3215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3.83</f>
        <v>3.83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3.64</f>
        <v>3.64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25.6</f>
        <v>25.6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190.2</f>
        <v>190.2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0.0335</f>
        <v>3.3500000000000002E-2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0.55</f>
        <v>0.55000000000000004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7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5" max="5" width="9.109375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75" customHeight="1" x14ac:dyDescent="0.3">
      <c r="A3" s="45" t="s">
        <v>70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32588.297470000001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32588.29747</f>
        <v>32588.297470000001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58679.777309999998</v>
      </c>
      <c r="F9" s="23">
        <f>58679.77731</f>
        <v>58679.777309999998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20855.069579999999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20855.06958</f>
        <v>20855.069579999999</v>
      </c>
    </row>
    <row r="14" spans="1:6" x14ac:dyDescent="0.3">
      <c r="A14" s="4"/>
      <c r="B14" s="9" t="s">
        <v>37</v>
      </c>
      <c r="C14" s="8" t="s">
        <v>49</v>
      </c>
      <c r="D14" s="28">
        <f>1778.901</f>
        <v>1778.9010000000001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11.723569540969395</v>
      </c>
    </row>
    <row r="16" spans="1:6" x14ac:dyDescent="0.3">
      <c r="A16" s="4"/>
      <c r="B16" s="9" t="s">
        <v>86</v>
      </c>
      <c r="C16" s="8" t="s">
        <v>46</v>
      </c>
      <c r="D16" s="28">
        <f>1059.95488</f>
        <v>1059.95488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2664.8927</f>
        <v>2664.8926999999999</v>
      </c>
    </row>
    <row r="37" spans="1:4" x14ac:dyDescent="0.3">
      <c r="A37" s="4"/>
      <c r="B37" s="33" t="s">
        <v>13</v>
      </c>
      <c r="C37" s="26" t="s">
        <v>50</v>
      </c>
      <c r="D37" s="38">
        <f>D36/D38</f>
        <v>4.2717567004360086</v>
      </c>
    </row>
    <row r="38" spans="1:4" x14ac:dyDescent="0.3">
      <c r="A38" s="4"/>
      <c r="B38" s="33" t="s">
        <v>14</v>
      </c>
      <c r="C38" s="26" t="s">
        <v>51</v>
      </c>
      <c r="D38" s="29">
        <f>623.84</f>
        <v>623.84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233.87372</f>
        <v>233.87371999999999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14.90993</f>
        <v>14.909929999999999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12080.6694+4016.40638</f>
        <v>16097.075780000001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18.89604</f>
        <v>18.896039999999999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2568.86614</f>
        <v>2568.8661400000001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7213.07844</f>
        <v>7213.0784400000002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2765.0962</f>
        <v>2765.0962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6248.0187799999985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-26091.479839999996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10.11</f>
        <v>10.11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4.109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11.52</f>
        <v>11.52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/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9.8186</f>
        <v>9.8186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3.13</f>
        <v>3.13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2.36</f>
        <v>2.36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25.4</f>
        <v>25.4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209.18</f>
        <v>209.18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0.054</f>
        <v>5.3999999999999999E-2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v>0.64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7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5" max="5" width="0" hidden="1" customWidth="1"/>
    <col min="6" max="6" width="9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71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72352.704190000004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48312.78562+24039.91857</f>
        <v>72352.704190000004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125707.57690000001</v>
      </c>
      <c r="F9" s="23">
        <f>80086.50319+45621.07371</f>
        <v>125707.5769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45501.531069999997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29805.39987+15696.1312</f>
        <v>45501.531069999997</v>
      </c>
    </row>
    <row r="14" spans="1:6" x14ac:dyDescent="0.3">
      <c r="A14" s="4"/>
      <c r="B14" s="9" t="s">
        <v>37</v>
      </c>
      <c r="C14" s="8" t="s">
        <v>49</v>
      </c>
      <c r="D14" s="28">
        <f>2541.06+1339.249</f>
        <v>3880.3090000000002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11.726264859319192</v>
      </c>
    </row>
    <row r="16" spans="1:6" x14ac:dyDescent="0.3">
      <c r="A16" s="4"/>
      <c r="B16" s="9" t="s">
        <v>86</v>
      </c>
      <c r="C16" s="8" t="s">
        <v>46</v>
      </c>
      <c r="D16" s="28">
        <f>1206.34589+678.95773</f>
        <v>1885.3036200000001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5183.18957+1544.64499</f>
        <v>6727.8345599999993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4.2680287477328713</v>
      </c>
    </row>
    <row r="38" spans="1:4" x14ac:dyDescent="0.3">
      <c r="A38" s="4"/>
      <c r="B38" s="33" t="s">
        <v>14</v>
      </c>
      <c r="C38" s="26" t="s">
        <v>51</v>
      </c>
      <c r="D38" s="29">
        <f>1214.522+361.811</f>
        <v>1576.3329999999999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589.52598+98.43433</f>
        <v>687.96031000000005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7.92033+7.04921</f>
        <v>14.96954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14064.51099+4694.38874+11263.6142+3797.18988</f>
        <v>33819.703809999999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v>0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4801.58161+2188.50648</f>
        <v>6990.0880900000002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8795.85442+3501.74376</f>
        <v>12297.598179999999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3007.17139+3016.70004</f>
        <v>6023.8714300000001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13644.019909999995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834.4</v>
      </c>
    </row>
    <row r="53" spans="1:4" x14ac:dyDescent="0.3">
      <c r="A53" s="4"/>
      <c r="B53" s="10" t="s">
        <v>44</v>
      </c>
      <c r="C53" s="8" t="s">
        <v>46</v>
      </c>
      <c r="D53" s="28">
        <f>834.4</f>
        <v>834.4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-53354.872710000011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19.92</f>
        <v>19.920000000000002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8.5760000000000005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24.65</f>
        <v>24.65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14.2512+7.2556</f>
        <v>21.506800000000002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5.18</f>
        <v>5.18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4.44</f>
        <v>4.4400000000000004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28.9+23</f>
        <v>51.9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213.18</f>
        <v>213.18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0.064</f>
        <v>6.4000000000000001E-2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0.88</f>
        <v>0.88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72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90972.849230000007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90972.84923</f>
        <v>90972.849230000007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117972.18548</v>
      </c>
      <c r="F9" s="23">
        <f>117972.18548</f>
        <v>117972.18548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48670.908300000003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48670.9083</f>
        <v>48670.908300000003</v>
      </c>
    </row>
    <row r="14" spans="1:6" x14ac:dyDescent="0.3">
      <c r="A14" s="4"/>
      <c r="B14" s="9" t="s">
        <v>37</v>
      </c>
      <c r="C14" s="8" t="s">
        <v>49</v>
      </c>
      <c r="D14" s="28">
        <f>4146.304</f>
        <v>4146.3040000000001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11.738383943869046</v>
      </c>
    </row>
    <row r="16" spans="1:6" x14ac:dyDescent="0.3">
      <c r="A16" s="4"/>
      <c r="B16" s="9" t="s">
        <v>86</v>
      </c>
      <c r="C16" s="8" t="s">
        <v>46</v>
      </c>
      <c r="D16" s="28">
        <f>1642.9424</f>
        <v>1642.9423999999999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5117.59741</f>
        <v>5117.5974100000003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4.301224920154648</v>
      </c>
    </row>
    <row r="38" spans="1:4" x14ac:dyDescent="0.3">
      <c r="A38" s="4"/>
      <c r="B38" s="33" t="s">
        <v>14</v>
      </c>
      <c r="C38" s="26" t="s">
        <v>51</v>
      </c>
      <c r="D38" s="29">
        <f>1189.8</f>
        <v>1189.8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1420.00711</f>
        <v>1420.00711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16.14598</f>
        <v>16.145980000000002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20725.1404+6916.57857</f>
        <v>27641.718970000002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81.68364</f>
        <v>81.683639999999997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8409.49585</f>
        <v>8409.4958499999993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9411.68148</f>
        <v>9411.6814799999993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3357.53959</f>
        <v>3357.5395899999999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13845.407149999999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-171.5</v>
      </c>
    </row>
    <row r="53" spans="1:4" x14ac:dyDescent="0.3">
      <c r="A53" s="4"/>
      <c r="B53" s="10" t="s">
        <v>44</v>
      </c>
      <c r="C53" s="8" t="s">
        <v>46</v>
      </c>
      <c r="D53" s="28">
        <f>-171.5</f>
        <v>-171.5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-26999.336249999993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18.25</f>
        <v>18.25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9.4089999999999989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34.25</f>
        <v>34.25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25.3977</f>
        <v>25.3977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4.25</f>
        <v>4.25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4.6</f>
        <v>4.5999999999999996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41</f>
        <v>41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179.65</f>
        <v>179.65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0.038</f>
        <v>3.7999999999999999E-2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0.95</f>
        <v>0.95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73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216568.42069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216568.42069</f>
        <v>216568.42069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264082.82853000006</v>
      </c>
      <c r="F9" s="23">
        <f>264082.82853</f>
        <v>264082.82853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134208.09034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134208.09034</f>
        <v>134208.09034</v>
      </c>
    </row>
    <row r="14" spans="1:6" x14ac:dyDescent="0.3">
      <c r="A14" s="4"/>
      <c r="B14" s="9" t="s">
        <v>37</v>
      </c>
      <c r="C14" s="8" t="s">
        <v>49</v>
      </c>
      <c r="D14" s="28">
        <f>11426.375</f>
        <v>11426.375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11.74546523635011</v>
      </c>
    </row>
    <row r="16" spans="1:6" x14ac:dyDescent="0.3">
      <c r="A16" s="4"/>
      <c r="B16" s="9" t="s">
        <v>86</v>
      </c>
      <c r="C16" s="8" t="s">
        <v>46</v>
      </c>
      <c r="D16" s="28">
        <f>3218.01896</f>
        <v>3218.0189599999999</v>
      </c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12931.06741</f>
        <v>12931.06741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4.6135358495305141</v>
      </c>
    </row>
    <row r="38" spans="1:4" x14ac:dyDescent="0.3">
      <c r="A38" s="4"/>
      <c r="B38" s="33" t="s">
        <v>14</v>
      </c>
      <c r="C38" s="26" t="s">
        <v>51</v>
      </c>
      <c r="D38" s="29">
        <f>2802.854</f>
        <v>2802.8539999999998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3117.06444</f>
        <v>3117.0644400000001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69.22038</f>
        <v>69.220380000000006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28006.02818+9279.69488</f>
        <v>37285.723060000004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f>30.83162</f>
        <v>30.831620000000001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8198.22213</f>
        <v>8198.2221300000001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20181.53068</f>
        <v>20181.53068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3269.16232</f>
        <v>3269.1623199999999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v>0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44791.916150000005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312.7</v>
      </c>
    </row>
    <row r="53" spans="1:4" x14ac:dyDescent="0.3">
      <c r="A53" s="4"/>
      <c r="B53" s="10" t="s">
        <v>44</v>
      </c>
      <c r="C53" s="8" t="s">
        <v>46</v>
      </c>
      <c r="D53" s="28">
        <f>312.7</f>
        <v>312.7</v>
      </c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-47514.407840000058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51.21</f>
        <v>51.21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26.622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88.45</f>
        <v>88.45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73.411</f>
        <v>73.411000000000001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4.2</f>
        <v>4.2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3.34</f>
        <v>3.34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56</f>
        <v>56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174.96</f>
        <v>174.96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0.032</f>
        <v>3.2000000000000001E-2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0.57</f>
        <v>0.56999999999999995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pane xSplit="1" ySplit="5" topLeftCell="B64" activePane="bottomRight" state="frozen"/>
      <selection pane="topRight" activeCell="B1" sqref="B1"/>
      <selection pane="bottomLeft" activeCell="A6" sqref="A6"/>
      <selection pane="bottomRight" activeCell="D68" sqref="D68"/>
    </sheetView>
  </sheetViews>
  <sheetFormatPr defaultRowHeight="14.4" x14ac:dyDescent="0.3"/>
  <cols>
    <col min="2" max="2" width="66.109375" customWidth="1"/>
    <col min="3" max="3" width="16.6640625" style="12" customWidth="1"/>
    <col min="4" max="4" width="17.44140625" bestFit="1" customWidth="1"/>
    <col min="6" max="6" width="9.109375" hidden="1" customWidth="1"/>
  </cols>
  <sheetData>
    <row r="1" spans="1:6" ht="39" customHeight="1" x14ac:dyDescent="0.35">
      <c r="A1" s="44" t="s">
        <v>117</v>
      </c>
      <c r="B1" s="44"/>
      <c r="C1" s="44"/>
      <c r="D1" s="44"/>
    </row>
    <row r="2" spans="1:6" ht="30.75" customHeight="1" x14ac:dyDescent="0.3">
      <c r="A2" s="7"/>
      <c r="B2" s="7"/>
      <c r="C2" s="7"/>
      <c r="D2" s="7"/>
    </row>
    <row r="3" spans="1:6" ht="15.6" x14ac:dyDescent="0.3">
      <c r="A3" s="45" t="s">
        <v>74</v>
      </c>
      <c r="B3" s="45"/>
      <c r="C3" s="45"/>
      <c r="D3" s="45"/>
    </row>
    <row r="5" spans="1:6" ht="28.8" x14ac:dyDescent="0.3">
      <c r="A5" s="13" t="s">
        <v>0</v>
      </c>
      <c r="B5" s="13" t="s">
        <v>1</v>
      </c>
      <c r="C5" s="14" t="s">
        <v>38</v>
      </c>
      <c r="D5" s="13" t="s">
        <v>39</v>
      </c>
    </row>
    <row r="6" spans="1:6" ht="28.8" x14ac:dyDescent="0.3">
      <c r="A6" s="15">
        <v>1</v>
      </c>
      <c r="B6" s="16" t="s">
        <v>47</v>
      </c>
      <c r="C6" s="17" t="s">
        <v>46</v>
      </c>
      <c r="D6" s="27">
        <f>D7+D8</f>
        <v>125790.07172000001</v>
      </c>
    </row>
    <row r="7" spans="1:6" x14ac:dyDescent="0.3">
      <c r="A7" s="4" t="s">
        <v>4</v>
      </c>
      <c r="B7" s="5" t="s">
        <v>2</v>
      </c>
      <c r="C7" s="8" t="s">
        <v>46</v>
      </c>
      <c r="D7" s="28">
        <f>125790.07172</f>
        <v>125790.07172000001</v>
      </c>
    </row>
    <row r="8" spans="1:6" x14ac:dyDescent="0.3">
      <c r="A8" s="4" t="s">
        <v>5</v>
      </c>
      <c r="B8" s="5" t="s">
        <v>3</v>
      </c>
      <c r="C8" s="8" t="s">
        <v>46</v>
      </c>
      <c r="D8" s="28"/>
    </row>
    <row r="9" spans="1:6" ht="28.8" x14ac:dyDescent="0.3">
      <c r="A9" s="18" t="s">
        <v>6</v>
      </c>
      <c r="B9" s="16" t="s">
        <v>48</v>
      </c>
      <c r="C9" s="17" t="s">
        <v>46</v>
      </c>
      <c r="D9" s="27">
        <f>D10+D11+D36+D39+D40+D41+D42+D43+D44+D45+D46+D47+D50</f>
        <v>189208.54712999999</v>
      </c>
      <c r="F9" s="23">
        <f>189208.54713</f>
        <v>189208.54712999999</v>
      </c>
    </row>
    <row r="10" spans="1:6" x14ac:dyDescent="0.3">
      <c r="A10" s="4" t="s">
        <v>90</v>
      </c>
      <c r="B10" s="3" t="s">
        <v>7</v>
      </c>
      <c r="C10" s="8" t="s">
        <v>46</v>
      </c>
      <c r="D10" s="28">
        <v>0</v>
      </c>
    </row>
    <row r="11" spans="1:6" x14ac:dyDescent="0.3">
      <c r="A11" s="4" t="s">
        <v>91</v>
      </c>
      <c r="B11" s="19" t="s">
        <v>35</v>
      </c>
      <c r="C11" s="8" t="s">
        <v>46</v>
      </c>
      <c r="D11" s="28">
        <f>D13+D19+D25+D31</f>
        <v>82021.367800000007</v>
      </c>
    </row>
    <row r="12" spans="1:6" x14ac:dyDescent="0.3">
      <c r="A12" s="4"/>
      <c r="B12" s="10" t="s">
        <v>34</v>
      </c>
      <c r="C12" s="8"/>
      <c r="D12" s="28"/>
    </row>
    <row r="13" spans="1:6" x14ac:dyDescent="0.3">
      <c r="A13" s="4"/>
      <c r="B13" s="9" t="s">
        <v>36</v>
      </c>
      <c r="C13" s="8" t="s">
        <v>46</v>
      </c>
      <c r="D13" s="28">
        <f>82021.3678</f>
        <v>82021.367800000007</v>
      </c>
    </row>
    <row r="14" spans="1:6" x14ac:dyDescent="0.3">
      <c r="A14" s="4"/>
      <c r="B14" s="9" t="s">
        <v>37</v>
      </c>
      <c r="C14" s="8" t="s">
        <v>49</v>
      </c>
      <c r="D14" s="28">
        <f>7010.558</f>
        <v>7010.558</v>
      </c>
    </row>
    <row r="15" spans="1:6" x14ac:dyDescent="0.3">
      <c r="A15" s="4"/>
      <c r="B15" s="9" t="s">
        <v>87</v>
      </c>
      <c r="C15" s="8" t="s">
        <v>46</v>
      </c>
      <c r="D15" s="34">
        <f>D13/D14</f>
        <v>11.69969177917079</v>
      </c>
    </row>
    <row r="16" spans="1:6" x14ac:dyDescent="0.3">
      <c r="A16" s="4"/>
      <c r="B16" s="9" t="s">
        <v>86</v>
      </c>
      <c r="C16" s="8" t="s">
        <v>46</v>
      </c>
      <c r="D16" s="28"/>
    </row>
    <row r="17" spans="1:4" x14ac:dyDescent="0.3">
      <c r="A17" s="4"/>
      <c r="B17" s="9" t="s">
        <v>43</v>
      </c>
      <c r="C17" s="8"/>
      <c r="D17" s="28"/>
    </row>
    <row r="18" spans="1:4" x14ac:dyDescent="0.3">
      <c r="A18" s="4"/>
      <c r="B18" s="10" t="s">
        <v>40</v>
      </c>
      <c r="C18" s="8"/>
      <c r="D18" s="28"/>
    </row>
    <row r="19" spans="1:4" x14ac:dyDescent="0.3">
      <c r="A19" s="4"/>
      <c r="B19" s="9" t="s">
        <v>36</v>
      </c>
      <c r="C19" s="8" t="s">
        <v>46</v>
      </c>
      <c r="D19" s="28"/>
    </row>
    <row r="20" spans="1:4" x14ac:dyDescent="0.3">
      <c r="A20" s="4"/>
      <c r="B20" s="9" t="s">
        <v>37</v>
      </c>
      <c r="C20" s="8" t="s">
        <v>49</v>
      </c>
      <c r="D20" s="28"/>
    </row>
    <row r="21" spans="1:4" x14ac:dyDescent="0.3">
      <c r="A21" s="4"/>
      <c r="B21" s="9" t="s">
        <v>87</v>
      </c>
      <c r="C21" s="8" t="s">
        <v>46</v>
      </c>
      <c r="D21" s="28"/>
    </row>
    <row r="22" spans="1:4" x14ac:dyDescent="0.3">
      <c r="A22" s="4"/>
      <c r="B22" s="9" t="s">
        <v>86</v>
      </c>
      <c r="C22" s="8" t="s">
        <v>46</v>
      </c>
      <c r="D22" s="28"/>
    </row>
    <row r="23" spans="1:4" x14ac:dyDescent="0.3">
      <c r="A23" s="4"/>
      <c r="B23" s="9" t="s">
        <v>43</v>
      </c>
      <c r="C23" s="8"/>
      <c r="D23" s="28"/>
    </row>
    <row r="24" spans="1:4" x14ac:dyDescent="0.3">
      <c r="A24" s="4"/>
      <c r="B24" s="10" t="s">
        <v>41</v>
      </c>
      <c r="C24" s="8"/>
      <c r="D24" s="28"/>
    </row>
    <row r="25" spans="1:4" x14ac:dyDescent="0.3">
      <c r="A25" s="4"/>
      <c r="B25" s="9" t="s">
        <v>36</v>
      </c>
      <c r="C25" s="8" t="s">
        <v>46</v>
      </c>
      <c r="D25" s="28"/>
    </row>
    <row r="26" spans="1:4" x14ac:dyDescent="0.3">
      <c r="A26" s="4"/>
      <c r="B26" s="9" t="s">
        <v>37</v>
      </c>
      <c r="C26" s="8" t="s">
        <v>49</v>
      </c>
      <c r="D26" s="28"/>
    </row>
    <row r="27" spans="1:4" x14ac:dyDescent="0.3">
      <c r="A27" s="4"/>
      <c r="B27" s="9" t="s">
        <v>87</v>
      </c>
      <c r="C27" s="8" t="s">
        <v>46</v>
      </c>
      <c r="D27" s="28"/>
    </row>
    <row r="28" spans="1:4" x14ac:dyDescent="0.3">
      <c r="A28" s="4"/>
      <c r="B28" s="9" t="s">
        <v>86</v>
      </c>
      <c r="C28" s="8" t="s">
        <v>46</v>
      </c>
      <c r="D28" s="28"/>
    </row>
    <row r="29" spans="1:4" x14ac:dyDescent="0.3">
      <c r="A29" s="4"/>
      <c r="B29" s="9" t="s">
        <v>43</v>
      </c>
      <c r="C29" s="8"/>
      <c r="D29" s="28"/>
    </row>
    <row r="30" spans="1:4" x14ac:dyDescent="0.3">
      <c r="A30" s="4"/>
      <c r="B30" s="10" t="s">
        <v>42</v>
      </c>
      <c r="C30" s="8"/>
      <c r="D30" s="28"/>
    </row>
    <row r="31" spans="1:4" x14ac:dyDescent="0.3">
      <c r="A31" s="4"/>
      <c r="B31" s="9" t="s">
        <v>36</v>
      </c>
      <c r="C31" s="8" t="s">
        <v>46</v>
      </c>
      <c r="D31" s="28"/>
    </row>
    <row r="32" spans="1:4" x14ac:dyDescent="0.3">
      <c r="A32" s="4"/>
      <c r="B32" s="9" t="s">
        <v>37</v>
      </c>
      <c r="C32" s="8" t="s">
        <v>49</v>
      </c>
      <c r="D32" s="28"/>
    </row>
    <row r="33" spans="1:4" x14ac:dyDescent="0.3">
      <c r="A33" s="4"/>
      <c r="B33" s="9" t="s">
        <v>87</v>
      </c>
      <c r="C33" s="8" t="s">
        <v>46</v>
      </c>
      <c r="D33" s="28"/>
    </row>
    <row r="34" spans="1:4" x14ac:dyDescent="0.3">
      <c r="A34" s="4"/>
      <c r="B34" s="9" t="s">
        <v>86</v>
      </c>
      <c r="C34" s="8" t="s">
        <v>46</v>
      </c>
      <c r="D34" s="28"/>
    </row>
    <row r="35" spans="1:4" x14ac:dyDescent="0.3">
      <c r="A35" s="4"/>
      <c r="B35" s="9" t="s">
        <v>43</v>
      </c>
      <c r="C35" s="8"/>
      <c r="D35" s="28"/>
    </row>
    <row r="36" spans="1:4" ht="57.6" x14ac:dyDescent="0.3">
      <c r="A36" s="4" t="s">
        <v>92</v>
      </c>
      <c r="B36" s="3" t="s">
        <v>8</v>
      </c>
      <c r="C36" s="8" t="s">
        <v>46</v>
      </c>
      <c r="D36" s="28">
        <f>7271.93322</f>
        <v>7271.9332199999999</v>
      </c>
    </row>
    <row r="37" spans="1:4" x14ac:dyDescent="0.3">
      <c r="A37" s="4"/>
      <c r="B37" s="33" t="s">
        <v>13</v>
      </c>
      <c r="C37" s="26" t="s">
        <v>50</v>
      </c>
      <c r="D37" s="37">
        <f>D36/D38</f>
        <v>4.4774440037287748</v>
      </c>
    </row>
    <row r="38" spans="1:4" x14ac:dyDescent="0.3">
      <c r="A38" s="4"/>
      <c r="B38" s="33" t="s">
        <v>14</v>
      </c>
      <c r="C38" s="26" t="s">
        <v>51</v>
      </c>
      <c r="D38" s="29">
        <f>1624.126</f>
        <v>1624.126</v>
      </c>
    </row>
    <row r="39" spans="1:4" ht="28.8" x14ac:dyDescent="0.3">
      <c r="A39" s="4" t="s">
        <v>93</v>
      </c>
      <c r="B39" s="3" t="s">
        <v>9</v>
      </c>
      <c r="C39" s="8" t="s">
        <v>46</v>
      </c>
      <c r="D39" s="28">
        <f>2503.42288</f>
        <v>2503.4228800000001</v>
      </c>
    </row>
    <row r="40" spans="1:4" ht="28.8" x14ac:dyDescent="0.3">
      <c r="A40" s="4" t="s">
        <v>94</v>
      </c>
      <c r="B40" s="3" t="s">
        <v>52</v>
      </c>
      <c r="C40" s="8" t="s">
        <v>46</v>
      </c>
      <c r="D40" s="28">
        <f>11.47874</f>
        <v>11.47874</v>
      </c>
    </row>
    <row r="41" spans="1:4" ht="28.8" x14ac:dyDescent="0.3">
      <c r="A41" s="4" t="s">
        <v>95</v>
      </c>
      <c r="B41" s="3" t="s">
        <v>10</v>
      </c>
      <c r="C41" s="8" t="s">
        <v>46</v>
      </c>
      <c r="D41" s="28">
        <f>31098.78071+10345.2561</f>
        <v>41444.036809999998</v>
      </c>
    </row>
    <row r="42" spans="1:4" ht="28.8" x14ac:dyDescent="0.3">
      <c r="A42" s="4" t="s">
        <v>96</v>
      </c>
      <c r="B42" s="3" t="s">
        <v>88</v>
      </c>
      <c r="C42" s="8" t="s">
        <v>46</v>
      </c>
      <c r="D42" s="28">
        <v>0</v>
      </c>
    </row>
    <row r="43" spans="1:4" x14ac:dyDescent="0.3">
      <c r="A43" s="4" t="s">
        <v>97</v>
      </c>
      <c r="B43" s="3" t="s">
        <v>11</v>
      </c>
      <c r="C43" s="8" t="s">
        <v>46</v>
      </c>
      <c r="D43" s="28">
        <v>0</v>
      </c>
    </row>
    <row r="44" spans="1:4" ht="28.8" x14ac:dyDescent="0.3">
      <c r="A44" s="4" t="s">
        <v>99</v>
      </c>
      <c r="B44" s="22" t="s">
        <v>98</v>
      </c>
      <c r="C44" s="8" t="s">
        <v>46</v>
      </c>
      <c r="D44" s="28">
        <f>14753.82928</f>
        <v>14753.82928</v>
      </c>
    </row>
    <row r="45" spans="1:4" ht="28.8" x14ac:dyDescent="0.3">
      <c r="A45" s="4" t="s">
        <v>100</v>
      </c>
      <c r="B45" s="3" t="s">
        <v>12</v>
      </c>
      <c r="C45" s="8" t="s">
        <v>46</v>
      </c>
      <c r="D45" s="28">
        <f>16910.68424</f>
        <v>16910.684239999999</v>
      </c>
    </row>
    <row r="46" spans="1:4" ht="28.8" x14ac:dyDescent="0.3">
      <c r="A46" s="4" t="s">
        <v>101</v>
      </c>
      <c r="B46" s="3" t="s">
        <v>15</v>
      </c>
      <c r="C46" s="8" t="s">
        <v>46</v>
      </c>
      <c r="D46" s="28">
        <f>6377.89596</f>
        <v>6377.8959599999998</v>
      </c>
    </row>
    <row r="47" spans="1:4" ht="72" x14ac:dyDescent="0.3">
      <c r="A47" s="4" t="s">
        <v>102</v>
      </c>
      <c r="B47" s="3" t="s">
        <v>16</v>
      </c>
      <c r="C47" s="8" t="s">
        <v>46</v>
      </c>
      <c r="D47" s="28">
        <f>85.32457</f>
        <v>85.324569999999994</v>
      </c>
    </row>
    <row r="48" spans="1:4" s="20" customFormat="1" x14ac:dyDescent="0.3">
      <c r="A48" s="4"/>
      <c r="B48" s="5"/>
      <c r="C48" s="8" t="s">
        <v>46</v>
      </c>
      <c r="D48" s="28"/>
    </row>
    <row r="49" spans="1:4" x14ac:dyDescent="0.3">
      <c r="A49" s="4"/>
      <c r="B49" s="5"/>
      <c r="C49" s="8" t="s">
        <v>46</v>
      </c>
      <c r="D49" s="28"/>
    </row>
    <row r="50" spans="1:4" ht="43.2" x14ac:dyDescent="0.3">
      <c r="A50" s="4" t="s">
        <v>103</v>
      </c>
      <c r="B50" s="3" t="s">
        <v>104</v>
      </c>
      <c r="C50" s="8" t="s">
        <v>46</v>
      </c>
      <c r="D50" s="28">
        <f>F9-D11-D36-D40-D41-D39-D42-D43-D44-D45-D46-D47</f>
        <v>17828.573629999981</v>
      </c>
    </row>
    <row r="51" spans="1:4" ht="57.6" x14ac:dyDescent="0.3">
      <c r="A51" s="18" t="s">
        <v>17</v>
      </c>
      <c r="B51" s="16" t="s">
        <v>64</v>
      </c>
      <c r="C51" s="17" t="s">
        <v>46</v>
      </c>
      <c r="D51" s="30" t="s">
        <v>67</v>
      </c>
    </row>
    <row r="52" spans="1:4" ht="28.8" x14ac:dyDescent="0.3">
      <c r="A52" s="4" t="s">
        <v>18</v>
      </c>
      <c r="B52" s="3" t="s">
        <v>53</v>
      </c>
      <c r="C52" s="8" t="s">
        <v>46</v>
      </c>
      <c r="D52" s="27">
        <f>D53</f>
        <v>0</v>
      </c>
    </row>
    <row r="53" spans="1:4" x14ac:dyDescent="0.3">
      <c r="A53" s="4"/>
      <c r="B53" s="10" t="s">
        <v>44</v>
      </c>
      <c r="C53" s="8" t="s">
        <v>46</v>
      </c>
      <c r="D53" s="28"/>
    </row>
    <row r="54" spans="1:4" x14ac:dyDescent="0.3">
      <c r="A54" s="4"/>
      <c r="B54" s="10" t="s">
        <v>45</v>
      </c>
      <c r="C54" s="8" t="s">
        <v>46</v>
      </c>
      <c r="D54" s="28"/>
    </row>
    <row r="55" spans="1:4" ht="28.8" x14ac:dyDescent="0.3">
      <c r="A55" s="18" t="s">
        <v>19</v>
      </c>
      <c r="B55" s="16" t="s">
        <v>105</v>
      </c>
      <c r="C55" s="17" t="s">
        <v>46</v>
      </c>
      <c r="D55" s="27">
        <f>D6-D9</f>
        <v>-63418.475409999985</v>
      </c>
    </row>
    <row r="56" spans="1:4" ht="57.6" x14ac:dyDescent="0.3">
      <c r="A56" s="4" t="s">
        <v>20</v>
      </c>
      <c r="B56" s="3" t="s">
        <v>33</v>
      </c>
      <c r="C56" s="8"/>
      <c r="D56" s="6"/>
    </row>
    <row r="57" spans="1:4" ht="43.2" x14ac:dyDescent="0.3">
      <c r="A57" s="4" t="s">
        <v>21</v>
      </c>
      <c r="B57" s="3" t="s">
        <v>106</v>
      </c>
      <c r="C57" s="8" t="s">
        <v>63</v>
      </c>
      <c r="D57" s="28">
        <f>39.48</f>
        <v>39.479999999999997</v>
      </c>
    </row>
    <row r="58" spans="1:4" ht="28.8" x14ac:dyDescent="0.3">
      <c r="A58" s="4" t="s">
        <v>22</v>
      </c>
      <c r="B58" s="3" t="s">
        <v>107</v>
      </c>
      <c r="C58" s="8" t="s">
        <v>63</v>
      </c>
      <c r="D58" s="28">
        <v>13.667999999999999</v>
      </c>
    </row>
    <row r="59" spans="1:4" ht="28.8" x14ac:dyDescent="0.3">
      <c r="A59" s="4" t="s">
        <v>23</v>
      </c>
      <c r="B59" s="3" t="s">
        <v>108</v>
      </c>
      <c r="C59" s="8" t="s">
        <v>62</v>
      </c>
      <c r="D59" s="28">
        <f>41.6</f>
        <v>41.6</v>
      </c>
    </row>
    <row r="60" spans="1:4" ht="28.8" x14ac:dyDescent="0.3">
      <c r="A60" s="4" t="s">
        <v>24</v>
      </c>
      <c r="B60" s="3" t="s">
        <v>109</v>
      </c>
      <c r="C60" s="8" t="s">
        <v>62</v>
      </c>
      <c r="D60" s="28">
        <v>0</v>
      </c>
    </row>
    <row r="61" spans="1:4" ht="57.6" x14ac:dyDescent="0.3">
      <c r="A61" s="4" t="s">
        <v>25</v>
      </c>
      <c r="B61" s="3" t="s">
        <v>110</v>
      </c>
      <c r="C61" s="8" t="s">
        <v>62</v>
      </c>
      <c r="D61" s="28">
        <f>34.6707</f>
        <v>34.670699999999997</v>
      </c>
    </row>
    <row r="62" spans="1:4" ht="43.2" x14ac:dyDescent="0.3">
      <c r="A62" s="4" t="s">
        <v>26</v>
      </c>
      <c r="B62" s="3" t="s">
        <v>111</v>
      </c>
      <c r="C62" s="8" t="s">
        <v>61</v>
      </c>
      <c r="D62" s="28">
        <f>8.09</f>
        <v>8.09</v>
      </c>
    </row>
    <row r="63" spans="1:4" x14ac:dyDescent="0.3">
      <c r="A63" s="4" t="s">
        <v>27</v>
      </c>
      <c r="B63" s="3" t="s">
        <v>112</v>
      </c>
      <c r="C63" s="8" t="s">
        <v>60</v>
      </c>
      <c r="D63" s="28">
        <f>8.65</f>
        <v>8.65</v>
      </c>
    </row>
    <row r="64" spans="1:4" x14ac:dyDescent="0.3">
      <c r="A64" s="4" t="s">
        <v>28</v>
      </c>
      <c r="B64" s="3" t="s">
        <v>55</v>
      </c>
      <c r="C64" s="8" t="s">
        <v>54</v>
      </c>
      <c r="D64" s="28">
        <f>63.4</f>
        <v>63.4</v>
      </c>
    </row>
    <row r="65" spans="1:4" ht="28.8" x14ac:dyDescent="0.3">
      <c r="A65" s="4" t="s">
        <v>29</v>
      </c>
      <c r="B65" s="3" t="s">
        <v>113</v>
      </c>
      <c r="C65" s="8" t="s">
        <v>54</v>
      </c>
      <c r="D65" s="25" t="s">
        <v>89</v>
      </c>
    </row>
    <row r="66" spans="1:4" ht="57.6" x14ac:dyDescent="0.3">
      <c r="A66" s="4" t="s">
        <v>30</v>
      </c>
      <c r="B66" s="3" t="s">
        <v>114</v>
      </c>
      <c r="C66" s="8" t="s">
        <v>56</v>
      </c>
      <c r="D66" s="28">
        <f>228.22</f>
        <v>228.22</v>
      </c>
    </row>
    <row r="67" spans="1:4" ht="57.6" x14ac:dyDescent="0.3">
      <c r="A67" s="4" t="s">
        <v>31</v>
      </c>
      <c r="B67" s="3" t="s">
        <v>115</v>
      </c>
      <c r="C67" s="8" t="s">
        <v>57</v>
      </c>
      <c r="D67" s="34">
        <f>0.039</f>
        <v>3.9E-2</v>
      </c>
    </row>
    <row r="68" spans="1:4" ht="57.6" x14ac:dyDescent="0.3">
      <c r="A68" s="4" t="s">
        <v>32</v>
      </c>
      <c r="B68" s="3" t="s">
        <v>116</v>
      </c>
      <c r="C68" s="8" t="s">
        <v>59</v>
      </c>
      <c r="D68" s="34">
        <f>0.99</f>
        <v>0.99</v>
      </c>
    </row>
    <row r="69" spans="1:4" x14ac:dyDescent="0.3">
      <c r="A69" s="2"/>
      <c r="B69" s="1"/>
      <c r="C69" s="11"/>
    </row>
    <row r="70" spans="1:4" x14ac:dyDescent="0.3">
      <c r="A70" s="2"/>
      <c r="B70" s="1"/>
      <c r="C70" s="11"/>
    </row>
    <row r="71" spans="1:4" x14ac:dyDescent="0.3">
      <c r="A71" s="2"/>
      <c r="B71" s="1"/>
      <c r="C71" s="11"/>
    </row>
    <row r="72" spans="1:4" x14ac:dyDescent="0.3">
      <c r="A72" s="2"/>
      <c r="B72" s="1"/>
      <c r="C72" s="11"/>
    </row>
    <row r="73" spans="1:4" x14ac:dyDescent="0.3">
      <c r="A73" s="2"/>
      <c r="B73" s="1"/>
      <c r="C73" s="11"/>
    </row>
    <row r="74" spans="1:4" x14ac:dyDescent="0.3">
      <c r="A74" s="2"/>
      <c r="B74" s="1"/>
      <c r="C74" s="11"/>
    </row>
    <row r="75" spans="1:4" x14ac:dyDescent="0.3">
      <c r="A75" s="2"/>
      <c r="B75" s="1"/>
      <c r="C75" s="11"/>
    </row>
    <row r="76" spans="1:4" x14ac:dyDescent="0.3">
      <c r="A76" s="2"/>
      <c r="B76" s="1"/>
      <c r="C76" s="11"/>
    </row>
    <row r="77" spans="1:4" x14ac:dyDescent="0.3">
      <c r="A77" s="2"/>
      <c r="B77" s="1"/>
      <c r="C77" s="11"/>
    </row>
    <row r="78" spans="1:4" x14ac:dyDescent="0.3">
      <c r="A78" s="2"/>
      <c r="B78" s="1"/>
      <c r="C78" s="11"/>
    </row>
    <row r="79" spans="1:4" x14ac:dyDescent="0.3">
      <c r="A79" s="2"/>
      <c r="B79" s="1"/>
      <c r="C79" s="11"/>
    </row>
    <row r="80" spans="1:4" x14ac:dyDescent="0.3">
      <c r="A80" s="2"/>
      <c r="B80" s="1"/>
      <c r="C80" s="11"/>
    </row>
    <row r="81" spans="1:3" x14ac:dyDescent="0.3">
      <c r="A81" s="2"/>
      <c r="B81" s="1"/>
      <c r="C81" s="11"/>
    </row>
    <row r="82" spans="1:3" x14ac:dyDescent="0.3">
      <c r="A82" s="2"/>
      <c r="B82" s="1"/>
      <c r="C82" s="11"/>
    </row>
    <row r="83" spans="1:3" x14ac:dyDescent="0.3">
      <c r="A83" s="2"/>
      <c r="B83" s="1"/>
      <c r="C83" s="11"/>
    </row>
    <row r="84" spans="1:3" x14ac:dyDescent="0.3">
      <c r="A84" s="2"/>
      <c r="B84" s="1"/>
      <c r="C84" s="11"/>
    </row>
    <row r="85" spans="1:3" x14ac:dyDescent="0.3">
      <c r="A85" s="2"/>
      <c r="B85" s="1"/>
      <c r="C85" s="11"/>
    </row>
    <row r="86" spans="1:3" x14ac:dyDescent="0.3">
      <c r="A86" s="2"/>
      <c r="B86" s="1"/>
      <c r="C86" s="11"/>
    </row>
    <row r="87" spans="1:3" x14ac:dyDescent="0.3">
      <c r="A87" s="2"/>
      <c r="B87" s="1"/>
      <c r="C87" s="11"/>
    </row>
    <row r="88" spans="1:3" x14ac:dyDescent="0.3">
      <c r="B88" s="1"/>
      <c r="C88" s="11"/>
    </row>
    <row r="89" spans="1:3" x14ac:dyDescent="0.3">
      <c r="B89" s="1"/>
      <c r="C89" s="11"/>
    </row>
    <row r="90" spans="1:3" x14ac:dyDescent="0.3">
      <c r="B90" s="1"/>
      <c r="C90" s="11"/>
    </row>
    <row r="91" spans="1:3" x14ac:dyDescent="0.3">
      <c r="B91" s="1"/>
      <c r="C91" s="11"/>
    </row>
    <row r="92" spans="1:3" x14ac:dyDescent="0.3">
      <c r="B92" s="1"/>
      <c r="C92" s="11"/>
    </row>
    <row r="93" spans="1:3" x14ac:dyDescent="0.3">
      <c r="B93" s="1"/>
      <c r="C93" s="11"/>
    </row>
    <row r="94" spans="1:3" x14ac:dyDescent="0.3">
      <c r="B94" s="1"/>
      <c r="C94" s="11"/>
    </row>
    <row r="95" spans="1:3" x14ac:dyDescent="0.3">
      <c r="B95" s="1"/>
      <c r="C95" s="11"/>
    </row>
    <row r="96" spans="1:3" x14ac:dyDescent="0.3">
      <c r="B96" s="1"/>
      <c r="C96" s="11"/>
    </row>
    <row r="97" spans="2:3" x14ac:dyDescent="0.3">
      <c r="B97" s="1"/>
      <c r="C97" s="11"/>
    </row>
    <row r="98" spans="2:3" x14ac:dyDescent="0.3">
      <c r="B98" s="1"/>
      <c r="C98" s="11"/>
    </row>
    <row r="99" spans="2:3" x14ac:dyDescent="0.3">
      <c r="B99" s="1"/>
      <c r="C99" s="11"/>
    </row>
    <row r="100" spans="2:3" x14ac:dyDescent="0.3">
      <c r="B100" s="1"/>
      <c r="C100" s="11"/>
    </row>
    <row r="101" spans="2:3" x14ac:dyDescent="0.3">
      <c r="B101" s="1"/>
      <c r="C101" s="11"/>
    </row>
    <row r="102" spans="2:3" x14ac:dyDescent="0.3">
      <c r="B102" s="1"/>
      <c r="C102" s="11"/>
    </row>
    <row r="103" spans="2:3" x14ac:dyDescent="0.3">
      <c r="B103" s="1"/>
      <c r="C103" s="11"/>
    </row>
    <row r="104" spans="2:3" x14ac:dyDescent="0.3">
      <c r="B104" s="1"/>
      <c r="C104" s="11"/>
    </row>
    <row r="105" spans="2:3" x14ac:dyDescent="0.3">
      <c r="B105" s="1"/>
      <c r="C105" s="11"/>
    </row>
    <row r="106" spans="2:3" x14ac:dyDescent="0.3">
      <c r="B106" s="1"/>
      <c r="C106" s="11"/>
    </row>
    <row r="107" spans="2:3" x14ac:dyDescent="0.3">
      <c r="B107" s="1"/>
      <c r="C107" s="11"/>
    </row>
    <row r="108" spans="2:3" x14ac:dyDescent="0.3">
      <c r="B108" s="1"/>
      <c r="C108" s="11"/>
    </row>
    <row r="109" spans="2:3" x14ac:dyDescent="0.3">
      <c r="B109" s="1"/>
      <c r="C109" s="11"/>
    </row>
  </sheetData>
  <mergeCells count="2">
    <mergeCell ref="A1:D1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г.Мурманск</vt:lpstr>
      <vt:lpstr>г.п.Кола</vt:lpstr>
      <vt:lpstr>г.п.Молочный</vt:lpstr>
      <vt:lpstr>г.п.Мурмаши</vt:lpstr>
      <vt:lpstr>г.п.Верхнетуломский</vt:lpstr>
      <vt:lpstr>г.п.Кильдинстрой-Шонгуй</vt:lpstr>
      <vt:lpstr>с.п.Ловозеро</vt:lpstr>
      <vt:lpstr>г.п.Ревда</vt:lpstr>
      <vt:lpstr>н.п.Высокий</vt:lpstr>
      <vt:lpstr>г.Гаджиево</vt:lpstr>
      <vt:lpstr>г.Североморск</vt:lpstr>
      <vt:lpstr>г.п.Никель</vt:lpstr>
      <vt:lpstr>г.Полярный</vt:lpstr>
      <vt:lpstr>г.Снежногорск</vt:lpstr>
      <vt:lpstr>с.п.Териберка</vt:lpstr>
      <vt:lpstr>г.Кандалакша</vt:lpstr>
      <vt:lpstr>с.п.Умба</vt:lpstr>
      <vt:lpstr>с.п.Зеленоборский</vt:lpstr>
      <vt:lpstr>с.п.Ёнский</vt:lpstr>
      <vt:lpstr>Росляково</vt:lpstr>
      <vt:lpstr>с.п.Белое море</vt:lpstr>
      <vt:lpstr>Нива-3</vt:lpstr>
      <vt:lpstr>Лопарская</vt:lpstr>
      <vt:lpstr>Ура-Губа</vt:lpstr>
      <vt:lpstr>Видяево</vt:lpstr>
      <vt:lpstr>пр-во тепловой энергии</vt:lpstr>
      <vt:lpstr>передача тепловой энергии</vt:lpstr>
      <vt:lpstr>ИТОГО регулируемые виды деятель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2018-04-13T13:41:02Z</dcterms:modified>
</cp:coreProperties>
</file>